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Grille audit niveau 3\Grille d'audit v1.11\"/>
    </mc:Choice>
  </mc:AlternateContent>
  <bookViews>
    <workbookView xWindow="0" yWindow="0" windowWidth="20490" windowHeight="6720" tabRatio="940" firstSheet="1" activeTab="1"/>
  </bookViews>
  <sheets>
    <sheet name="Suivi modif" sheetId="19" r:id="rId1"/>
    <sheet name="Accueil" sheetId="1" r:id="rId2"/>
    <sheet name="Identification" sheetId="3" r:id="rId3"/>
    <sheet name="Surfaces" sheetId="4" r:id="rId4"/>
    <sheet name="Surfaces_Horti" sheetId="23" r:id="rId5"/>
    <sheet name="Biodiversité" sheetId="5" r:id="rId6"/>
    <sheet name="Phyto" sheetId="6" r:id="rId7"/>
    <sheet name="Fertilisation" sheetId="7" r:id="rId8"/>
    <sheet name="Irrigation" sheetId="8" r:id="rId9"/>
    <sheet name="SYNTHESE" sheetId="10" r:id="rId10"/>
    <sheet name="CTRL" sheetId="24" state="veryHidden" r:id="rId11"/>
    <sheet name="Listes" sheetId="2" state="veryHidden" r:id="rId12"/>
    <sheet name="Paramètres" sheetId="9" state="veryHidden" r:id="rId13"/>
    <sheet name="Ctrl_Siret" sheetId="25" state="veryHidden" r:id="rId14"/>
    <sheet name="Ctrl_mail" sheetId="29" state="veryHidden" r:id="rId15"/>
    <sheet name="OTEX" sheetId="18" r:id="rId16"/>
    <sheet name="Scoring_GC" sheetId="11" r:id="rId17"/>
    <sheet name="Scoring_Arboriculture" sheetId="13" r:id="rId18"/>
    <sheet name="Scoring_Viticulture" sheetId="15" r:id="rId19"/>
    <sheet name="Communes_07-26" sheetId="17" r:id="rId20"/>
    <sheet name="BDD_OC" sheetId="16" r:id="rId21"/>
    <sheet name="BDD_SC" sheetId="22" r:id="rId22"/>
    <sheet name="Synthese_coll_v1.01" sheetId="26" r:id="rId23"/>
  </sheets>
  <definedNames>
    <definedName name="_xlnm._FilterDatabase" localSheetId="10" hidden="1">CTRL!$A$1:$N$1</definedName>
    <definedName name="_xlnm._FilterDatabase" localSheetId="12" hidden="1">Paramètres!$BB$4:$BF$4</definedName>
    <definedName name="_xlnm._FilterDatabase" localSheetId="17" hidden="1">Scoring_Arboriculture!$E$3:$K$282</definedName>
    <definedName name="_xlnm._FilterDatabase" localSheetId="16" hidden="1">Scoring_GC!$B$4:$F$26</definedName>
    <definedName name="A_ACTIVITE_PRINCIPALE">Identification!$T$61</definedName>
    <definedName name="A_ACTIVITE_SECOND">Identification!$T$63</definedName>
    <definedName name="A_AUTRE_ACTIVITE">Identification!$T$65</definedName>
    <definedName name="ADRESSE_EXPLOITATION_SIEGE">Identification!$F$43</definedName>
    <definedName name="AJONC_N">Surfaces!$O$32</definedName>
    <definedName name="AJONC_N1">Surfaces!$P$32</definedName>
    <definedName name="AJONC_N2">Surfaces!$Q$32</definedName>
    <definedName name="ALIGN_CONV_ARA">Biodiversité!$W$18</definedName>
    <definedName name="ALIGN_CONV_SURF">Biodiversité!$Y$18</definedName>
    <definedName name="ALIGN_REEL_ARA">Biodiversité!$P$18</definedName>
    <definedName name="ALIGN_REEL_SURF">Biodiversité!$R$18</definedName>
    <definedName name="ALIGN_UNITE">Biodiversité!$T$18</definedName>
    <definedName name="ALTER_POURCENTAGE_SURF_HORS_HORTI">Phyto!$N$236</definedName>
    <definedName name="ALTER_POURCENTAGE_SURF_HORTI">Phyto!$N$237</definedName>
    <definedName name="ALTER_RESULTAT_HORS_HORTI">Phyto!$P$236</definedName>
    <definedName name="ALTER_RESULTAT_HORTI">Phyto!$P$237</definedName>
    <definedName name="ALTER_SAU_HORS_HORTI">Phyto!$N$234</definedName>
    <definedName name="ALTER_SURF_HORS_HORTI">Phyto!$N$228</definedName>
    <definedName name="ALTER_SURF_HORTI">Phyto!$N$229</definedName>
    <definedName name="ANALYSE_MICROBIO">Biodiversité!$O$242</definedName>
    <definedName name="ANCIENNE_REGION">Phyto!$I$73</definedName>
    <definedName name="ANNEE_CREATION_EXPLOITATION">Identification!$F$40</definedName>
    <definedName name="ARBO_ANC_PLAFOND_IFT_HERBICIDES">Phyto!$N$88</definedName>
    <definedName name="ARBO_ANC_PLAFOND_IFT_HORS_HERBICIDES">Phyto!$N$89</definedName>
    <definedName name="ARBO_ANC_PLANCHER_IFT_HERBICIDES">Phyto!$P$88</definedName>
    <definedName name="ARBO_ANC_PLANCHER_IFT_HORS_HERBICIDES">Phyto!$P$89</definedName>
    <definedName name="ARBO_ANCIENNE_NOTATION">Phyto!$R$112</definedName>
    <definedName name="ARBO_CONDITION_ANCIENNE_NOTATION">Phyto!$T$106</definedName>
    <definedName name="ARBO_IFT_REALISE_HERBICIDES">Phyto!$P$102</definedName>
    <definedName name="ARBO_IFT_REALISE_HORS_HERBICIDES">Phyto!$P$103</definedName>
    <definedName name="ARBO_IFT_REALISE_N_HERBICIDES">Phyto!$P$96</definedName>
    <definedName name="ARBO_IFT_REALISE_N_HORS_HERBICIDES">Phyto!$P$97</definedName>
    <definedName name="ARBO_IFT_REALISE_N1_HERBICIDES">Phyto!$P$98</definedName>
    <definedName name="ARBO_IFT_REALISE_N1_HORS_HERBICIDES">Phyto!$P$99</definedName>
    <definedName name="ARBO_IFT_REALISE_N2_HERBICIDES">Phyto!$P$100</definedName>
    <definedName name="ARBO_IFT_REALISE_N2_HORS_HERBICIDES">Phyto!$P$101</definedName>
    <definedName name="ARBO_MAX_POINTS">Phyto!$O$118</definedName>
    <definedName name="ARBO_NB_2_VARIETES">Phyto!$J$276</definedName>
    <definedName name="ARBO_NB_3_VARIETES">Phyto!$J$277</definedName>
    <definedName name="ARBO_PLAFOND_IFT_HERBICIDES">Phyto!$J$88</definedName>
    <definedName name="ARBO_PLAFOND_IFT_HORS_HERBICIDES">Phyto!$J$89</definedName>
    <definedName name="ARBO_PLANCHER_IFT_HERBICIDES">Phyto!$L$88</definedName>
    <definedName name="ARBO_PLANCHER_IFT_HORS_HERBICIDES">Phyto!$L$89</definedName>
    <definedName name="ARBO_RESULTAT">Phyto!$M$118</definedName>
    <definedName name="ARBO_RESULTAT_ANC_NOTATION_HERBICIDES">Phyto!$R$108</definedName>
    <definedName name="ARBO_RESULTAT_ANC_NOTATION_HORS_HERBICIDES">Phyto!$R$109</definedName>
    <definedName name="ARBO_RESULTAT_HERBICIDES">Phyto!$R$106</definedName>
    <definedName name="ARBO_RESULTAT_HORS_HERBICIDES">Phyto!$R$107</definedName>
    <definedName name="ARBO_SURF">Phyto!$K$118</definedName>
    <definedName name="AUTRE_DEMARCHE1">Identification!$G$86</definedName>
    <definedName name="AUTRE_DEMARCHE2">Identification!$G$88</definedName>
    <definedName name="AUTRE_DEMARCHE3">Identification!$G$90</definedName>
    <definedName name="AUTRES_CEREALES_N">Surfaces!$O$82</definedName>
    <definedName name="AUTRES_CEREALES_N1">Surfaces!$P$82</definedName>
    <definedName name="AUTRES_CEREALES_N2">Surfaces!$Q$82</definedName>
    <definedName name="AUTRES_CULTURES_INDUSTRIELLES_N">Surfaces!$O$128</definedName>
    <definedName name="AUTRES_CULTURES_INDUSTRIELLES_N1">Surfaces!$P$128</definedName>
    <definedName name="AUTRES_CULTURES_INDUSTRIELLES_N2">Surfaces!$Q$128</definedName>
    <definedName name="AUTRES_CULTURES_PERMANENTES_N">Surfaces!$O$161</definedName>
    <definedName name="AUTRES_CULTURES_PERMANENTES_N1">Surfaces!$P$161</definedName>
    <definedName name="AUTRES_CULTURES_PERMANENTES_N2">Surfaces!$Q$161</definedName>
    <definedName name="AUTRES_ELEMENTS_NATURELS_N">Surfaces!$O$55</definedName>
    <definedName name="AUTRES_ELEMENTS_NATURELS_N1">Surfaces!$P$55</definedName>
    <definedName name="AUTRES_ELEMENTS_NATURELS_N2">Surfaces!$Q$55</definedName>
    <definedName name="AUTRES_FOURRAGES_N">Surfaces!$O$110</definedName>
    <definedName name="AUTRES_FOURRAGES_N1">Surfaces!$P$110</definedName>
    <definedName name="AUTRES_FOURRAGES_N2">Surfaces!$Q$110</definedName>
    <definedName name="AUTRES_HORS_RUINES_CONV_SURF">Biodiversité!$Y$35</definedName>
    <definedName name="AUTRES_HORS_RUINES_REEL_SURF">Biodiversité!$R$35</definedName>
    <definedName name="AUTRES_HORS_RUINES_UNITE">Biodiversité!$T$35</definedName>
    <definedName name="AUTRES_OLEAGINEUX_N">Surfaces!$O$89</definedName>
    <definedName name="AUTRES_OLEAGINEUX_N1">Surfaces!$P$89</definedName>
    <definedName name="AUTRES_OLEAGINEUX_N2">Surfaces!$Q$89</definedName>
    <definedName name="AUTRES_PRAIRIES_N">Surfaces!$O$121</definedName>
    <definedName name="AUTRES_PRAIRIES_N1">Surfaces!$P$121</definedName>
    <definedName name="AUTRES_PRAIRIES_N2">Surfaces!$Q$121</definedName>
    <definedName name="AUTRES_PRATIQUES">Irrigation!$K$43</definedName>
    <definedName name="AUTRES_PROTEAGINEUX_N">Surfaces!$O$94</definedName>
    <definedName name="AUTRES_PROTEAGINEUX_N1">Surfaces!$P$94</definedName>
    <definedName name="AUTRES_PROTEAGINEUX_N2">Surfaces!$Q$94</definedName>
    <definedName name="AUTRES_RUINES_CONV_SURF">Biodiversité!$Y$34</definedName>
    <definedName name="AUTRES_RUINES_REEL_SURF">Biodiversité!$R$34</definedName>
    <definedName name="AUTRES_RUINES_UNITE">Biodiversité!$T$34</definedName>
    <definedName name="AUTRES_SURF_NON_TRAITEES">Phyto!$M$46</definedName>
    <definedName name="AUTRES_SURFACES_NON_FERTILISEES">Fertilisation!$J$208</definedName>
    <definedName name="AUTRES_SURFACIQUES_CONV_SURF">Biodiversité!$Y$33</definedName>
    <definedName name="AUTRES_SURFACIQUES_REEL_SURF">Biodiversité!$R$33</definedName>
    <definedName name="AUTRES_SURFACIQUES_UNITE">Biodiversité!$T$33</definedName>
    <definedName name="BANDES_CONV_SURF">Biodiversité!$Y$30</definedName>
    <definedName name="BANDES_REEL_SURF">Biodiversité!$R$30</definedName>
    <definedName name="BANDES_UNITE">Biodiversité!$T$30</definedName>
    <definedName name="BASSIN_VITICOLE_EXPLOITATION_SIEGE">Identification!$R$38</definedName>
    <definedName name="BENDES_REEL_SURF">Biodiversité!$R$30</definedName>
    <definedName name="BETTERAVES_INDUSTRIELLES_N">Surfaces!$O$127</definedName>
    <definedName name="BETTERAVES_INDUSTRIELLES_N1">Surfaces!$P$127</definedName>
    <definedName name="BETTERAVES_INDUSTRIELLES_N2">Surfaces!$Q$127</definedName>
    <definedName name="BGA_BALANCE_APRES_ENGRAIS_N">Fertilisation!$P$25</definedName>
    <definedName name="BGA_BALANCE_APRES_ENGRAIS_N1">Fertilisation!$S$25</definedName>
    <definedName name="BGA_BALANCE_APRES_ENGRAIS_N2">Fertilisation!$V$25</definedName>
    <definedName name="BGA_BALANCE_AVANT_ENGRAIS_N">Fertilisation!$P$23</definedName>
    <definedName name="BGA_BALANCE_AVANT_ENGRAIS_N1">Fertilisation!$S$23</definedName>
    <definedName name="BGA_BALANCE_AVANT_ENGRAIS_N2">Fertilisation!$V$23</definedName>
    <definedName name="BGA_ENTREE_E1_1_N">Fertilisation!$P$12</definedName>
    <definedName name="BGA_ENTREE_E1_1_N1">Fertilisation!$S$12</definedName>
    <definedName name="BGA_ENTREE_E1_1_N2">Fertilisation!$V$12</definedName>
    <definedName name="BGA_ENTREE_E1_2_N">Fertilisation!$P$13</definedName>
    <definedName name="BGA_ENTREE_E1_2_N1">Fertilisation!$S$13</definedName>
    <definedName name="BGA_ENTREE_E1_2_N2">Fertilisation!$V$13</definedName>
    <definedName name="BGA_ENTREE_E2_N">Fertilisation!$P$14</definedName>
    <definedName name="BGA_ENTREE_E2_N1">Fertilisation!$S$14</definedName>
    <definedName name="BGA_ENTREE_E2_N2">Fertilisation!$V$14</definedName>
    <definedName name="BGA_ENTREE_E3_N">Fertilisation!$P$15</definedName>
    <definedName name="BGA_ENTREE_E3_N1">Fertilisation!$S$15</definedName>
    <definedName name="BGA_ENTREE_E3_N2">Fertilisation!$V$15</definedName>
    <definedName name="BGA_SORTIE_E1_3_N">Fertilisation!$P$18</definedName>
    <definedName name="BGA_SORTIE_E1_3_N1">Fertilisation!$S$18</definedName>
    <definedName name="BGA_SORTIE_E1_3_N2">Fertilisation!$V$18</definedName>
    <definedName name="BGA_SORTIE_S1_1_N">Fertilisation!$P$19</definedName>
    <definedName name="BGA_SORTIE_S1_1_N1">Fertilisation!$S$19</definedName>
    <definedName name="BGA_SORTIE_S1_1_N2">Fertilisation!$V$19</definedName>
    <definedName name="BGA_SORTIE_S1_2_N">Fertilisation!$P$20</definedName>
    <definedName name="BGA_SORTIE_S1_2_N1">Fertilisation!$S$20</definedName>
    <definedName name="BGA_SORTIE_S1_2_N2">Fertilisation!$V$20</definedName>
    <definedName name="BGA_SORTIE_S1_3_N">Fertilisation!$P$21</definedName>
    <definedName name="BGA_SORTIE_S1_3_N1">Fertilisation!$S$21</definedName>
    <definedName name="BGA_SORTIE_S1_3_N2">Fertilisation!$V$21</definedName>
    <definedName name="BIL_AP_BALANCE_APRES_ENGRAIS_N">Fertilisation!$P$46</definedName>
    <definedName name="BIL_AP_BALANCE_APRES_ENGRAIS_N1">Fertilisation!$S$46</definedName>
    <definedName name="BIL_AP_BALANCE_APRES_ENGRAIS_N2">Fertilisation!$V$46</definedName>
    <definedName name="BIL_AP_BALANCE_AVANT_ENGRAIS_N">Fertilisation!$P$44</definedName>
    <definedName name="BIL_AP_BALANCE_AVANT_ENGRAIS_N1">Fertilisation!$S$44</definedName>
    <definedName name="BIL_AP_BALANCE_AVANT_ENGRAIS_N2">Fertilisation!$V$44</definedName>
    <definedName name="BIL_AP_ENTREE_E1_N">Fertilisation!$P$31</definedName>
    <definedName name="BIL_AP_ENTREE_E1_N1">Fertilisation!$S$31</definedName>
    <definedName name="BIL_AP_ENTREE_E1_N2">Fertilisation!$V$31</definedName>
    <definedName name="BIL_AP_ENTREE_E2_1_N">Fertilisation!$P$32</definedName>
    <definedName name="BIL_AP_ENTREE_E2_1_N1">Fertilisation!$S$32</definedName>
    <definedName name="BIL_AP_ENTREE_E2_1_N2">Fertilisation!$V$32</definedName>
    <definedName name="BIL_AP_ENTREE_E2_2_N">Fertilisation!$P$33</definedName>
    <definedName name="BIL_AP_ENTREE_E2_2_N1">Fertilisation!$S$33</definedName>
    <definedName name="BIL_AP_ENTREE_E2_2_N2">Fertilisation!$V$33</definedName>
    <definedName name="BIL_AP_ENTREE_E2_3_N">Fertilisation!$P$34</definedName>
    <definedName name="BIL_AP_ENTREE_E2_3_N1">Fertilisation!$S$34</definedName>
    <definedName name="BIL_AP_ENTREE_E2_3_N2">Fertilisation!$V$34</definedName>
    <definedName name="BIL_AP_ENTREE_E3_N">Fertilisation!$P$35</definedName>
    <definedName name="BIL_AP_ENTREE_E3_N1">Fertilisation!$S$35</definedName>
    <definedName name="BIL_AP_ENTREE_E3_N2">Fertilisation!$V$35</definedName>
    <definedName name="BIL_AP_ENTREE_E4_N">Fertilisation!$P$36</definedName>
    <definedName name="BIL_AP_ENTREE_E4_N1">Fertilisation!$S$36</definedName>
    <definedName name="BIL_AP_ENTREE_E4_N2">Fertilisation!$V$36</definedName>
    <definedName name="BIL_AP_SORTIE_S1_N">Fertilisation!$P$39</definedName>
    <definedName name="BIL_AP_SORTIE_S1_N1">Fertilisation!$S$39</definedName>
    <definedName name="BIL_AP_SORTIE_S1_N2">Fertilisation!$V$39</definedName>
    <definedName name="BIL_AP_SORTIE_S2_N">Fertilisation!$P$40</definedName>
    <definedName name="BIL_AP_SORTIE_S2_N1">Fertilisation!$S$40</definedName>
    <definedName name="BIL_AP_SORTIE_S2_N2">Fertilisation!$V$40</definedName>
    <definedName name="BIL_AP_SORTIE_S3_N">Fertilisation!$P$41</definedName>
    <definedName name="BIL_AP_SORTIE_S3_N1">Fertilisation!$S$41</definedName>
    <definedName name="BIL_AP_SORTIE_S3_N2">Fertilisation!$V$41</definedName>
    <definedName name="BIL_AP_SORTIE_S4_N">Fertilisation!$P$42</definedName>
    <definedName name="BIL_AP_SORTIE_S4_N1">Fertilisation!$S$42</definedName>
    <definedName name="BIL_AP_SORTIE_S4_N2">Fertilisation!$V$42</definedName>
    <definedName name="BLE_DUR_N">Surfaces!$O$77</definedName>
    <definedName name="BLE_DUR_N1">Surfaces!$P$77</definedName>
    <definedName name="BLE_DUR_N2">Surfaces!$Q$77</definedName>
    <definedName name="BLE_TENDRE_N">Surfaces!$O$76</definedName>
    <definedName name="BLE_TENDRE_N1">Surfaces!$P$76</definedName>
    <definedName name="BLE_TENDRE_N2">Surfaces!$Q$76</definedName>
    <definedName name="BORDURES_OBL_CONV_ARA">Biodiversité!$W$24</definedName>
    <definedName name="BORDURES_OBL_REEL_ARA">Biodiversité!$P$24</definedName>
    <definedName name="BORDURES_OBL_UNITE">Biodiversité!$T$24</definedName>
    <definedName name="BORDURES_POIDS_CONV_SURF">Biodiversité!$Y$25</definedName>
    <definedName name="BORDURES_POIDS_REEL_SURF">Biodiversité!$R$25</definedName>
    <definedName name="BORDURES_POIDS_UNITE">Biodiversité!$T$25</definedName>
    <definedName name="BOSQUETS_CONV_ARA">Biodiversité!$W$20</definedName>
    <definedName name="BOSQUETS_CONV_SURF">Biodiversité!$Y$20</definedName>
    <definedName name="BOSQUETS_REEL_ARA">Biodiversité!$P$20</definedName>
    <definedName name="BOSQUETS_REEL_SURF">Biodiversité!$R$20</definedName>
    <definedName name="BOSQUETS_UNITE">Biodiversité!$T$20</definedName>
    <definedName name="CALCUL_POINTS_PRATIQUES">Irrigation!$K$51</definedName>
    <definedName name="CAMPAGNE_EVALUEE">Identification!$F$23</definedName>
    <definedName name="cBassinViti">Phyto!$I$75</definedName>
    <definedName name="cCampagneN">Paramètres!$BP$5</definedName>
    <definedName name="cCampagneN1">Paramètres!$BP$8</definedName>
    <definedName name="CCampagneN2">Paramètres!$BP$9</definedName>
    <definedName name="cCMR2">Phyto!$P$22</definedName>
    <definedName name="CHANVRE_LIN_N">Surfaces!$O$100</definedName>
    <definedName name="CHANVRE_LIN_N1">Surfaces!$P$100</definedName>
    <definedName name="CHANVRE_LIN_N2">Surfaces!$Q$100</definedName>
    <definedName name="CHEMIN_RAMPE_N">Surfaces!$O$37</definedName>
    <definedName name="CHEMIN_RAMPE_N1">Surfaces!$P$37</definedName>
    <definedName name="CHEMIN_RAMPE_N2">Surfaces!$Q$37</definedName>
    <definedName name="cIrriguante">Irrigation!$K$10</definedName>
    <definedName name="CODE_A_ACTIVITE_PRINCIPALE">Identification!$Y$61</definedName>
    <definedName name="CODE_A_ACTIVITE_SECOND">Identification!$Y$63</definedName>
    <definedName name="CODE_A_AUTRE_ACTIVITE">Identification!$Y$65</definedName>
    <definedName name="CODE_DEMARCHE_NIV2">Identification!$X$81</definedName>
    <definedName name="CODE_POSTAL_EXPLOITATION_SIEGE">Identification!$F$47</definedName>
    <definedName name="CODE_STATUT_JURIDIQUE">Identification!$J$56</definedName>
    <definedName name="CODE_V_ACTIVITE_PRINCIPALE">Identification!$M$61</definedName>
    <definedName name="CODE_V_ACTIVITE_SECOND">Identification!$M$63</definedName>
    <definedName name="CODE_V_AUTRE_ACTIVITE">Identification!$M$65</definedName>
    <definedName name="COLZA_NAVETTE_N">Surfaces!$O$86</definedName>
    <definedName name="COLZA_NAVETTE_N1">Surfaces!$P$86</definedName>
    <definedName name="COLZA_NAVETTE_N2">Surfaces!$Q$86</definedName>
    <definedName name="COMMUNE_EXPLOITATION_SIEGE">Identification!$F$49</definedName>
    <definedName name="COMPLEMENT_ADRESSE_EXPLOITATION_SIEGE">Identification!$F$45</definedName>
    <definedName name="CONCERNE_SURF_CULTUREES_ANNUELLES">Phyto!$R$178</definedName>
    <definedName name="CONCERNE_SURF_CULTUREES_PERENNES">Phyto!$R$183</definedName>
    <definedName name="CORRECTION_NOMBRE_POINTS">Fertilisation!$M$62</definedName>
    <definedName name="COUVERT_VEG_ARBO">Phyto!$J$316</definedName>
    <definedName name="COUVERT_VEG_HORTI">Phyto!$J$317</definedName>
    <definedName name="COUVERT_VEG_VIGNES">Phyto!$J$315</definedName>
    <definedName name="COUVERTURE_HORS_CULTURES_PERENNES">Fertilisation!$O$262</definedName>
    <definedName name="cRegion">Phyto!$I$73</definedName>
    <definedName name="CRITERE_OBLIGATOIRE">Biodiversité!$W$41</definedName>
    <definedName name="cSAU">Surfaces!$O$24</definedName>
    <definedName name="cTypeAudit">Identification!$F$14</definedName>
    <definedName name="CULTURE_IRRIGUEE">Irrigation!$K$40</definedName>
    <definedName name="CULTURES_HORS_SOL_2_VARIETES">Phyto!$J$286</definedName>
    <definedName name="CULTURES_HORS_SOL_3_VARIETES">Phyto!$J$287</definedName>
    <definedName name="CULTURES_MINEURES_POURCENTAGE_SURF_PPF">Fertilisation!$N$185</definedName>
    <definedName name="CULTURES_MINEURES_POURCENTAGE_SURF_PPF_AJ_ODP">Fertilisation!$N$184</definedName>
    <definedName name="CULTURES_MINEURES_RESULTAT_PPF">Fertilisation!$P$185</definedName>
    <definedName name="CULTURES_MINEURES_RESULTAT_PPF_AJ_ODP">Fertilisation!$P$184</definedName>
    <definedName name="CULTURES_MINEURES_SURF_UTILISATION_PPF">Fertilisation!$L$152</definedName>
    <definedName name="CULTURES_MINEURES_SURF_UTILISATION_PPF_AJ">Fertilisation!$L$151</definedName>
    <definedName name="CVI_EXPLOITATION">Identification!$F$38</definedName>
    <definedName name="DATE_AUDIT">Identification!$F$10</definedName>
    <definedName name="DATE_DECISION">SYNTHESE!$D$83</definedName>
    <definedName name="DATE_PERIODE_APPORT">Irrigation!$K$31</definedName>
    <definedName name="DATE_SEMIS">Irrigation!$K$42</definedName>
    <definedName name="DECISION_AUDIT">SYNTHESE!$J$83</definedName>
    <definedName name="DEMARCHE_COLLECTIVE">Irrigation!$J$133</definedName>
    <definedName name="DEMARCHE_NIV2">Identification!$L$81</definedName>
    <definedName name="DEPARTEMENT_EXPLOITATION_SIEGE">Identification!$R$32</definedName>
    <definedName name="DEROGATION_CMR1">Phyto!$D$14</definedName>
    <definedName name="DESCRIPTION_MATERIEL_UTILISE">Irrigation!$C$112</definedName>
    <definedName name="DESCRIPTION_PRATIQUES_AGRO">Irrigation!$C$157</definedName>
    <definedName name="DESHYDRATATION_N">Surfaces!$O$108</definedName>
    <definedName name="DESHYDRATATION_N1">Surfaces!$P$108</definedName>
    <definedName name="DESHYDRATATION_N2">Surfaces!$Q$108</definedName>
    <definedName name="DIVERSITE_VIGNE">Phyto!$J$272</definedName>
    <definedName name="DUREE_AUDIT">Identification!$F$25</definedName>
    <definedName name="ELEMENTS_ARTIFICIELS_N">Surfaces!$O$53</definedName>
    <definedName name="ELEMENTS_ARTIFICIELS_N1">Surfaces!$P$53</definedName>
    <definedName name="ELEMENTS_ARTIFICIELS_N2">Surfaces!$Q$53</definedName>
    <definedName name="EMAIL_EXPLOITATION">Identification!$R$45</definedName>
    <definedName name="ENREGISTREMENT_PRATIQUES_IRRIGATION">Irrigation!$K$24</definedName>
    <definedName name="EQUIV_NB_ESPECES_SEMEES_PURES">Biodiversité!$L$133</definedName>
    <definedName name="EQUIV_PART_PP">Biodiversité!$L$141</definedName>
    <definedName name="EQUIV_SURF_SEMEES_COMPLEXE">Biodiversité!$L$136</definedName>
    <definedName name="EQUIV_SURF_SEMEES_GRAMINEES">Biodiversité!$L$135</definedName>
    <definedName name="EQUIV_SURF_SEMEES_LEGUMINEUSE">Biodiversité!$L$134</definedName>
    <definedName name="ESPACE_DEUX_SERRES_N">Surfaces!$O$41</definedName>
    <definedName name="ESPACE_DEUX_SERRES_N1">Surfaces!$P$41</definedName>
    <definedName name="ESPACE_DEUX_SERRES_N2">Surfaces!$Q$41</definedName>
    <definedName name="ESTIMATION_VOLUME_APPORT">Irrigation!$K$32</definedName>
    <definedName name="EXPLOIT_IRRIGANTE">Irrigation!$K$10</definedName>
    <definedName name="FACTEUR_DECLENCHANT_IRRIGATION">Irrigation!$K$37</definedName>
    <definedName name="FOSSE_CONV_ARA">Biodiversité!$W$22</definedName>
    <definedName name="FOSSE_CONV_SURF">Biodiversité!$Y$22</definedName>
    <definedName name="FOSSE_REEL_ARA">Biodiversité!$P$22</definedName>
    <definedName name="FOSSE_REEL_SURF">Biodiversité!$R$22</definedName>
    <definedName name="FOSSE_UNITE">Biodiversité!$T$22</definedName>
    <definedName name="FUMIER_N">Surfaces!$O$28</definedName>
    <definedName name="FUMIER_N1">Surfaces!$P$28</definedName>
    <definedName name="FUMIER_N2">Surfaces!$Q$28</definedName>
    <definedName name="GC_ANC_PLAFOND_IFT_HERBICIDES">Phyto!$N$80</definedName>
    <definedName name="GC_ANC_PLAFOND_IFT_HORS_HERBICIDES">Phyto!$N$81</definedName>
    <definedName name="GC_ANC_PLANCHER_IFT_HERBICIDES">Phyto!$P$80</definedName>
    <definedName name="GC_ANC_PLANCHER_IFT_HORS_HERBICIDES">Phyto!$P$81</definedName>
    <definedName name="GC_ANCIENNE_NOTATION">Phyto!$H$112</definedName>
    <definedName name="GC_CONDITION_ANCIENNE_NOTATION">Phyto!$J$106</definedName>
    <definedName name="GC_IFT_REALISE_HERBICIDES">Phyto!$J$102</definedName>
    <definedName name="GC_IFT_REALISE_HORS_HERBICIDES">Phyto!$J$103</definedName>
    <definedName name="GC_IFT_REALISE_N_HERBICIDES">Phyto!$J$96</definedName>
    <definedName name="GC_IFT_REALISE_N_HORS_HERBICIDES">Phyto!$J$97</definedName>
    <definedName name="GC_IFT_REALISE_N1_HERBICIDES">Phyto!$J$98</definedName>
    <definedName name="GC_IFT_REALISE_N1_HORS_HERBICIDES">Phyto!$J$99</definedName>
    <definedName name="GC_IFT_REALISE_N2_HERBICIDES">Phyto!$J$100</definedName>
    <definedName name="GC_IFT_REALISE_N2_HORS_HERBICIDES">Phyto!$J$101</definedName>
    <definedName name="GC_MAX_POINTS">Phyto!$O$116</definedName>
    <definedName name="GC_PLAFOND_IFT_HERBICIDES">Phyto!$J$80</definedName>
    <definedName name="GC_PLAFOND_IFT_HORS_HERBICIDES">Phyto!$J$81</definedName>
    <definedName name="GC_PLANCHER_IFT_HERBICIDES">Phyto!$L$80</definedName>
    <definedName name="GC_PLANCHER_IFT_HORS_HERBICIDES">Phyto!$L$81</definedName>
    <definedName name="GC_POURCENTAGE_SURF_CONCERNEE_ODP">Fertilisation!$N$170</definedName>
    <definedName name="GC_POURCENTAGE_SURF_CONCERNEE_OPI">Fertilisation!$N$171</definedName>
    <definedName name="GC_POURCENTAGE_SURF_CONCERNEE_PPF_AJ">Fertilisation!$N$169</definedName>
    <definedName name="GC_RESULTAT">Phyto!$M$116</definedName>
    <definedName name="GC_RESULTAT_ANC_NOTATION_HERBICIDES">Phyto!$H$108</definedName>
    <definedName name="GC_RESULTAT_ANC_NOTATION_HORS_HERBICIDES">Phyto!$H$109</definedName>
    <definedName name="GC_RESULTAT_HERBICIDES">Phyto!$H$106</definedName>
    <definedName name="GC_RESULTAT_HORS_HERBICIDES">Phyto!$H$107</definedName>
    <definedName name="GC_RESULTAT_ODP">Fertilisation!$P$170</definedName>
    <definedName name="GC_RESULTAT_OPI">Fertilisation!$P$171</definedName>
    <definedName name="GC_RESULTAT_PPF_AJ">Fertilisation!$P$169</definedName>
    <definedName name="GC_RESULTAT_UTILISATION_OUTIL_PPF">Fertilisation!$P$168</definedName>
    <definedName name="GC_SURF">Phyto!$K$116</definedName>
    <definedName name="GC_SURF_UTILISATION_ODP">Fertilisation!$L$142</definedName>
    <definedName name="GC_SURF_UTILISATION_OPI">Fertilisation!$L$143</definedName>
    <definedName name="GC_SURF_UTILISATION_PPF">Fertilisation!$L$140</definedName>
    <definedName name="GC_SURF_UTILISATION_PPF_AJ">Fertilisation!$L$141</definedName>
    <definedName name="GC_UTILISATION_OUTIL_PPF">Fertilisation!$N$168</definedName>
    <definedName name="GESCO_NATURE_AUDIT">Identification!$R$12</definedName>
    <definedName name="GESCO_NOM_SC">Identification!$R$16</definedName>
    <definedName name="GESCO_SIRET_SC">Identification!$R$14</definedName>
    <definedName name="HAIE_CONV_ARA">Biodiversité!$W$17</definedName>
    <definedName name="HAIE_CONV_SURF">Biodiversité!$Y$17</definedName>
    <definedName name="HAIE_REEL_ARA">Biodiversité!$P$17</definedName>
    <definedName name="HAIE_REEL_SURF">Biodiversité!$R$17</definedName>
    <definedName name="HAIE_UNITE">Biodiversité!$T$17</definedName>
    <definedName name="HORS_ZONE_VULNERABLE_COUVERTE">Fertilisation!$O$277</definedName>
    <definedName name="HORS_ZONE_VULNERABLE_NB_SEMAINES_COUVERT">Fertilisation!$O$278</definedName>
    <definedName name="HORS_ZONE_VULNERABLE_POURCENT_SAU_HORS_VITI_ARBO_HORTI">Fertilisation!$O$296</definedName>
    <definedName name="HORS_ZONE_VULNERABLE_POURCENT_SURF_HORS_VITI_ARBO_HORTI">Fertilisation!$O$290</definedName>
    <definedName name="HORS_ZONE_VULNERABLE_RESPECT_DUREE_REGLEMENTAIRE">Fertilisation!$O$269</definedName>
    <definedName name="HORS_ZONE_VULNERABLE_SURF_TOTALE_CONCERNEE">Fertilisation!$O$276</definedName>
    <definedName name="IAE_EXHAUSTIF">Biodiversité!$T$60</definedName>
    <definedName name="ISOLE_CONV_ARA">Biodiversité!$W$19</definedName>
    <definedName name="ISOLE_CONV_SURF">Biodiversité!$Y$19</definedName>
    <definedName name="ISOLE_REEL_ARA">Biodiversité!$P$19</definedName>
    <definedName name="ISOLE_REEL_SURF">Biodiversité!$R$19</definedName>
    <definedName name="ISOLE_UNITE">Biodiversité!$T$19</definedName>
    <definedName name="JACHERE_5ANS_MOINS_N">Surfaces!$O$102</definedName>
    <definedName name="JACHERE_5ANS_MOINS_N1">Surfaces!$P$102</definedName>
    <definedName name="JACHERE_5ANS_MOINS_N2">Surfaces!$Q$102</definedName>
    <definedName name="JACHERE_6ANS_PLUS_N">Surfaces!$O$103</definedName>
    <definedName name="JACHERE_6ANS_PLUS_N1">Surfaces!$P$103</definedName>
    <definedName name="JACHERE_6ANS_PLUS_N2">Surfaces!$Q$103</definedName>
    <definedName name="JACHERE_CONV_ARA">Biodiversité!$W$26</definedName>
    <definedName name="JACHERE_CONV_SURF">Biodiversité!$Y$26</definedName>
    <definedName name="JACHERE_MELLI_CONV_ARA">Biodiversité!$W$27</definedName>
    <definedName name="JACHERE_MELLI_CONV_SURF">Biodiversité!$Y$27</definedName>
    <definedName name="JACHERE_MELLI_REEL_ARA">Biodiversité!$P$27</definedName>
    <definedName name="JACHERE_MELLI_REEL_SURF">Biodiversité!$R$27</definedName>
    <definedName name="JACHERE_MELLI_UNITE">Biodiversité!$T$27</definedName>
    <definedName name="JACHERE_NOIRE_N">Surfaces!$O$104</definedName>
    <definedName name="JACHERE_NOIRE_N1">Surfaces!$P$104</definedName>
    <definedName name="JACHERE_NOIRE_N2">Surfaces!$Q$104</definedName>
    <definedName name="JACHERE_REEL_ARA">Biodiversité!$P$26</definedName>
    <definedName name="JACHERE_REEL_SURF">Biodiversité!$R$26</definedName>
    <definedName name="JACHERE_UNITE">Biodiversité!$T$26</definedName>
    <definedName name="LEG_FRUITS_2_VARIETES">Phyto!$J$281</definedName>
    <definedName name="LEG_FRUITS_3_VARIETES">Phyto!$J$282</definedName>
    <definedName name="LEG_FRUITS_NB_ESPECES">Phyto!$J$280</definedName>
    <definedName name="LEGUMES_FLEURS_PLEIN_AIR_N">Surfaces!$O$133</definedName>
    <definedName name="LEGUMES_FLEURS_PLEIN_AIR_N1">Surfaces!$P$133</definedName>
    <definedName name="LEGUMES_FLEURS_PLEIN_AIR_N2">Surfaces!$Q$133</definedName>
    <definedName name="LEGUMES_FLEURS_SERRE_N">Surfaces!$O$135</definedName>
    <definedName name="LEGUMES_FLEURS_SERRE_N1">Surfaces!$P$135</definedName>
    <definedName name="LEGUMES_FLEURS_SERRE_N2">Surfaces!$Q$135</definedName>
    <definedName name="LEGUMES_FLEURS_TUNNEL_N">Surfaces!$O$134</definedName>
    <definedName name="LEGUMES_FLEURS_TUNNEL_N1">Surfaces!$P$134</definedName>
    <definedName name="LEGUMES_FLEURS_TUNNEL_N2">Surfaces!$Q$134</definedName>
    <definedName name="LEGUMES_SEC_N">Surfaces!$O$95</definedName>
    <definedName name="LEGUMES_SEC_N1">Surfaces!$P$95</definedName>
    <definedName name="LEGUMES_SEC_N2">Surfaces!$Q$95</definedName>
    <definedName name="LISTE_MATERIEL_UTILISE">Phyto!$C$254</definedName>
    <definedName name="LISTE_MATERIELS_METHODES">Phyto!$C$221</definedName>
    <definedName name="lstActivitesAnimales">OFFSET(Listes!$J$3,1,0,COUNTA(Listes!$J:$J)-1,1)</definedName>
    <definedName name="lstActivitesVegetales">OFFSET(Listes!$G$3,1,0,COUNTA(Listes!$G:$G)-1,1)</definedName>
    <definedName name="LstAOCBeaujolais">Listes!$AT$8:$AT$9</definedName>
    <definedName name="LstAutresDemarches">OFFSET(Listes!$AE$3,1,0,COUNTA(Listes!$AE:$AE)-1,1)</definedName>
    <definedName name="lstBassinViticole">OFFSET(Listes!#REF!,1,0,COUNTA(Listes!#REF!)-1,1)</definedName>
    <definedName name="lstCalculBilan">OFFSET(Listes!$X$3,1,0,COUNTA(Listes!$X:$X)-1,1)</definedName>
    <definedName name="lstCultureFruits">OFFSET(Listes!$U$3,1,0,COUNTA(Listes!$U:$U)-1,1)</definedName>
    <definedName name="lstDecisionInitial">Listes!$AI$4:$AI$5</definedName>
    <definedName name="lstDecisionRenouvellement">Listes!$AM$4:$AM$5</definedName>
    <definedName name="lstDecisionSuivi">Listes!$AK$4:$AK$6</definedName>
    <definedName name="lstDepartements">OFFSET(Paramètres!$BC$4,1,0,COUNTA(Paramètres!$BC:$BC)-1,1)</definedName>
    <definedName name="lstNatureAudit">Listes!$AR$4:$AR$5</definedName>
    <definedName name="LstNordSud">Listes!$AT$4:$AT$5</definedName>
    <definedName name="LstNumDepartements">OFFSET(Listes!#REF!,1,0,COUNTA(Listes!#REF!)-1,1)</definedName>
    <definedName name="lstRegions">OFFSET(Listes!$E$3,1,0,COUNTA(Listes!$E:$E)-1,1)</definedName>
    <definedName name="lstStatutJuridique">OFFSET(Listes!$B$3,1,0,COUNTA(Listes!$B:$B)-1,1)</definedName>
    <definedName name="lstTypeAuditCollectif">Listes!$M$4:$M$7</definedName>
    <definedName name="lstTypeAuditIndividuel">Listes!$M$11:$M$13</definedName>
    <definedName name="lstVersion">OFFSET(Listes!$AG$3,1,0,COUNTA(Listes!$AG:$AG)-1,1)</definedName>
    <definedName name="MAIS_FOURRAGE_ENSILAGE_N">Surfaces!$O$109</definedName>
    <definedName name="MAIS_FOURRAGE_ENSILAGE_N1">Surfaces!$P$109</definedName>
    <definedName name="MAIS_FOURRAGE_ENSILAGE_N2">Surfaces!$Q$109</definedName>
    <definedName name="MAIS_N">Surfaces!$O$78</definedName>
    <definedName name="MAIS_N1">Surfaces!$P$78</definedName>
    <definedName name="MAIS_N2">Surfaces!$Q$78</definedName>
    <definedName name="MARAIS_SALANTS_N">Surfaces!$O$57</definedName>
    <definedName name="MARAIS_SALANTS_N1">Surfaces!$P$57</definedName>
    <definedName name="MARAIS_SALANTS_N2">Surfaces!$Q$57</definedName>
    <definedName name="MARE_CONV_ARA">Biodiversité!$W$21</definedName>
    <definedName name="MARE_CONV_SURF">Biodiversité!$Y$21</definedName>
    <definedName name="MARE_REEL_ARA">Biodiversité!$P$21</definedName>
    <definedName name="MARE_REEL_SURF">Biodiversité!$R$21</definedName>
    <definedName name="MARE_UNITE">Biodiversité!$T$21</definedName>
    <definedName name="MATERIEL_UTILISE">Irrigation!$K$35</definedName>
    <definedName name="MAX_NOTE_GLOBALE_IRRIGATION">Irrigation!$W$259</definedName>
    <definedName name="MAX_POINTS_APPORTS_FERTILISANTS">Fertilisation!$W$325</definedName>
    <definedName name="MAX_POINTS_AZOTE_ORGA">Fertilisation!$W$122</definedName>
    <definedName name="MAX_POINTS_BILAN_AZOTE">Fertilisation!$W$64</definedName>
    <definedName name="MAX_POINTS_BIODIVERSITE">Biodiversité!$W$263</definedName>
    <definedName name="MAX_POINTS_CMR">Phyto!$W$25</definedName>
    <definedName name="MAX_POINTS_COUVERT_VEGETAL">Phyto!$W$329</definedName>
    <definedName name="MAX_POINTS_COUVERTURE_SOLS">Fertilisation!$W$300</definedName>
    <definedName name="MAX_POINTS_DEMARCHE_COLL">Irrigation!$W$139</definedName>
    <definedName name="MAX_POINTS_DIVERSITE">Phyto!$W$296</definedName>
    <definedName name="MAX_POINTS_FERTILISATION">Fertilisation!$W$370</definedName>
    <definedName name="MAX_POINTS_IAE">Biodiversité!$Y$58</definedName>
    <definedName name="MAX_POINTS_LEGUMINEUSES">Fertilisation!$W$243</definedName>
    <definedName name="MAX_POINTS_MATERIEL_UTILISE">Phyto!$W$263</definedName>
    <definedName name="MAX_POINTS_MENACEES">Biodiversité!$W$231</definedName>
    <definedName name="MAX_POINTS_METHODES_ALTERNATIVES">Phyto!$W$239</definedName>
    <definedName name="MAX_POINTS_NB_ESPECES_ANIMALES_ELEVEES">Biodiversité!$W$180</definedName>
    <definedName name="MAX_POINTS_NB_ESPECES_VEG_CULTIVEES">Biodiversité!$W$154</definedName>
    <definedName name="MAX_POINTS_OAD">Fertilisation!$W$191</definedName>
    <definedName name="MAX_POINTS_PHYTO">Phyto!$W$380</definedName>
    <definedName name="MAX_POINTS_POIDS_CULTURE_PRINCIPALE">Biodiversité!$W$112</definedName>
    <definedName name="MAX_POINTS_PRATIQUES">Irrigation!$W$51</definedName>
    <definedName name="MAX_POINTS_PRATIQUES_AGRO">Irrigation!$W$167</definedName>
    <definedName name="MAX_POINTS_PRESENCE_RUCHES">Biodiversité!$W$199</definedName>
    <definedName name="MAX_POINTS_QUALITE_BIO_SOL">Biodiversité!$W$247</definedName>
    <definedName name="MAX_POINTS_QUANTITE_AZOTE">Fertilisation!$W$100</definedName>
    <definedName name="MAX_POINTS_RECUP_EAU_PLUIE">Irrigation!$W$242</definedName>
    <definedName name="MAX_POINTS_RECYCLAGE">Phyto!$W$363</definedName>
    <definedName name="MAX_POINTS_RECYCLAGE_TRAITEMENT">Irrigation!$W$219</definedName>
    <definedName name="MAX_POINTS_RECYCLAGE_TRAITEMENT_EAUX_IRRIG">Fertilisation!$W$353</definedName>
    <definedName name="MAX_POINTS_SAU_NON_FERTILISEE">Fertilisation!$W$215</definedName>
    <definedName name="MAX_POINTS_SUBST_ACT">Phyto!$W$157</definedName>
    <definedName name="MAX_POINTS_SURF_NON_TRAITEE">Phyto!$W$55</definedName>
    <definedName name="MAX_POINTS_SURVEILLANCE">Phyto!$W$197</definedName>
    <definedName name="MAX_POINTS_TAILLES_PARCELLES">Biodiversité!$W$85</definedName>
    <definedName name="MAX_POINTS_UTILISATION_MATERIEL">Irrigation!$W$124</definedName>
    <definedName name="MAX_POINTS_UTILISATION_OUTILS">Irrigation!$W$92</definedName>
    <definedName name="MAX_PRELEVE_ETIAGE">Irrigation!$W$190</definedName>
    <definedName name="MELANGES_CULTURE_N">Surfaces!$O$96</definedName>
    <definedName name="MELANGES_CULTURE_N1">Surfaces!$P$96</definedName>
    <definedName name="MELANGES_CULTURE_N2">Surfaces!$Q$96</definedName>
    <definedName name="METHODE_CALCUL_RETENUE">Fertilisation!$M$52</definedName>
    <definedName name="MODE_IRRIGATION">Irrigation!$K$34</definedName>
    <definedName name="MUR_CONV_ARA">Biodiversité!$W$23</definedName>
    <definedName name="MUR_CONV_SURF">Biodiversité!$Y$23</definedName>
    <definedName name="MUR_REEL_ARA">Biodiversité!$P$23</definedName>
    <definedName name="MUR_REEL_SURF">Biodiversité!$R$23</definedName>
    <definedName name="MUR_UNITE">Biodiversité!$T$23</definedName>
    <definedName name="NB_APPORTS_EAU">Irrigation!$K$27</definedName>
    <definedName name="NB_ARBO">Biodiversité!$I$147</definedName>
    <definedName name="NB_AUTRES_CULT_ARABLES">Biodiversité!$I$130</definedName>
    <definedName name="NB_CAMPAGNE_BILAN_AZOTE">Fertilisation!$M$54</definedName>
    <definedName name="NB_CAMPAGNE_IFT">Phyto!$V$74</definedName>
    <definedName name="NB_CAMPAGNE_QUANTITE_AZOTE">Fertilisation!$Q$93</definedName>
    <definedName name="NB_CAMPAGNES_CONCERNEES">Phyto!$Q$150</definedName>
    <definedName name="NB_CULTURES_FOURRAGERES">Biodiversité!$I$129</definedName>
    <definedName name="NB_CULTURES_HORS_SOL">Biodiversité!$I$148</definedName>
    <definedName name="NB_DONNEES_A_ENREGISTRER">Irrigation!$K$28</definedName>
    <definedName name="NB_DONNEES_MANQUANTES">Irrigation!$K$46</definedName>
    <definedName name="NB_ESPECES_AUTRES">Biodiversité!$I$176</definedName>
    <definedName name="NB_ESPECES_BOVINES">Biodiversité!$I$171</definedName>
    <definedName name="NB_ESPECES_CAPRINES">Biodiversité!$I$174</definedName>
    <definedName name="NB_ESPECES_OVINES">Biodiversité!$I$173</definedName>
    <definedName name="NB_ESPECES_PORCINES">Biodiversité!$I$172</definedName>
    <definedName name="NB_ESPECES_SEMEES">Biodiversité!$I$133</definedName>
    <definedName name="NB_ESPECES_VOLAILLES">Biodiversité!$I$175</definedName>
    <definedName name="NB_FLEURS">Biodiversité!$I$146</definedName>
    <definedName name="NB_LEG_FRUITS_HORS_ARBO">Biodiversité!$I$145</definedName>
    <definedName name="NB_MATERIEL_UTILISE">Phyto!$J$250</definedName>
    <definedName name="NB_OUTILS_EVAL_DEMANDE">Irrigation!$M$77</definedName>
    <definedName name="NB_OUTILS_EVAL_OFFRE">Irrigation!$M$76</definedName>
    <definedName name="NB_OUTILS_MIXTE">Irrigation!$M$78</definedName>
    <definedName name="NB_PARCELLES_IRRIGUEES">Irrigation!$K$26</definedName>
    <definedName name="NB_RACES_ANIMALES_MENACEES">Biodiversité!$I$216</definedName>
    <definedName name="NB_RUCHES">Biodiversité!$I$196</definedName>
    <definedName name="NB_TYPE_IAE">Biodiversité!$T$56</definedName>
    <definedName name="NB_VAR_VEG_MENACEES">Biodiversité!$I$215</definedName>
    <definedName name="NB_VIGNES">Biodiversité!$I$144</definedName>
    <definedName name="NOM_AUDITEUR">Identification!$F$19</definedName>
    <definedName name="NOM_CULTURE_PRINCIPALE">Biodiversité!$N$104</definedName>
    <definedName name="NOM_DEMARCHE_COLLECTIVE">Irrigation!$J$134</definedName>
    <definedName name="NOM_EXPLOITANT">Identification!$F$32</definedName>
    <definedName name="NOMS_MENACEES">Biodiversité!$C$220</definedName>
    <definedName name="NOTE_GLOBALE_BIODIVERSITE">Biodiversité!$S$263</definedName>
    <definedName name="NOTE_GLOBALE_FERTILISATION">Fertilisation!$R$370</definedName>
    <definedName name="NOTE_GLOBALE_IRRIGATION">Irrigation!$R$259</definedName>
    <definedName name="NOTE_GLOBALE_PHYTO">Phyto!$R$380</definedName>
    <definedName name="NUMERO_EXPLOITATION_SIEGE">Identification!$R$43</definedName>
    <definedName name="OBL_HERBE">Biodiversité!$T$44</definedName>
    <definedName name="OBL_PART_IAE_CONCERNE">Biodiversité!$W$48</definedName>
    <definedName name="OBL_PRAIRIES">Biodiversité!$T$43</definedName>
    <definedName name="OBL_SOCLE_ITEM">Biodiversité!$T$48</definedName>
    <definedName name="OBL_SURF_IAE">Biodiversité!$T$46</definedName>
    <definedName name="OBL_TERRES_ARA">Biodiversité!$T$47</definedName>
    <definedName name="ORGA_AUDITEUR">Identification!$M$16</definedName>
    <definedName name="ORGE_N">Surfaces!$O$79</definedName>
    <definedName name="ORGE_N1">Surfaces!$P$79</definedName>
    <definedName name="ORGE_N2">Surfaces!$Q$79</definedName>
    <definedName name="ORIGINE_EAU">Irrigation!$K$36</definedName>
    <definedName name="OTEX">Identification!$F$69</definedName>
    <definedName name="OTEX_CONCERNE">Fertilisation!$M$51</definedName>
    <definedName name="OUTIL_DIAGNOSTIC">Phyto!$R$172</definedName>
    <definedName name="PANNEAUX_PHOTO_N">Surfaces!$O$45</definedName>
    <definedName name="PANNEAUX_PHOTO_N1">Surfaces!$P$45</definedName>
    <definedName name="PANNEAUX_PHOTO_N2">Surfaces!$Q$45</definedName>
    <definedName name="PARCOURS_ENHERBES_VOLAILLES_N">Surfaces!$O$42</definedName>
    <definedName name="PARCOURS_ENHERBES_VOLAILLES_N1">Surfaces!$P$42</definedName>
    <definedName name="PARCOURS_ENHERBES_VOLAILLES_N2">Surfaces!$Q$42</definedName>
    <definedName name="PART_ARBO_COUVERTE">Phyto!$J$326</definedName>
    <definedName name="PART_HORTI_HORS_PEPI_COUVERTE">Phyto!$J$327</definedName>
    <definedName name="PART_PRELEVE_ETIAGE">Irrigation!$K$190</definedName>
    <definedName name="PART_SAU_HORS_HORTICULTURE">Irrigation!$M$90</definedName>
    <definedName name="PART_SAU_HORTICULTURE">Irrigation!$M$91</definedName>
    <definedName name="PART_SURF_CULTURES_HORS_SOL">Irrigation!$N$241</definedName>
    <definedName name="PART_SURF_HORTICULTURE">Irrigation!$M$85</definedName>
    <definedName name="PART_SURF_HS_SYSTEME_PARTIEL">Fertilisation!$L$351</definedName>
    <definedName name="PART_SURF_HS_SYSTEME_TOTAL">Fertilisation!$L$350</definedName>
    <definedName name="PART_SURF_IRRIGUEE_EQUIPEE">Irrigation!$J$124</definedName>
    <definedName name="PART_SURF_IRRIGUEE_PRATIQUES_AGRO">Irrigation!$L$167</definedName>
    <definedName name="PART_SURF_PRAIRIES_PERM">Biodiversité!$N$109</definedName>
    <definedName name="PART_VIGNES_COUVERTE">Phyto!$J$325</definedName>
    <definedName name="PARTICIPATION_CAMPAGNE_PROSPECTION">Phyto!$R$174</definedName>
    <definedName name="PASSAGE_ENROULEUR_N">Surfaces!$O$38</definedName>
    <definedName name="PASSAGE_ENROULEUR_N1">Surfaces!$P$38</definedName>
    <definedName name="PASSAGE_ENROULEUR_N2">Surfaces!$Q$38</definedName>
    <definedName name="PDT_IFT_REALISE_N_HERBICIDES">Phyto!$L$96</definedName>
    <definedName name="PDT_IFT_REALISE_N_HORS_HERBICIDES">Phyto!$L$97</definedName>
    <definedName name="PDT_IFT_REALISE_N1_HERBICIDES">Phyto!$L$98</definedName>
    <definedName name="PDT_IFT_REALISE_N1_HORS_HERBICIDES">Phyto!$L$99</definedName>
    <definedName name="PDT_IFT_REALISE_N2_HERBICIDES">Phyto!$L$100</definedName>
    <definedName name="PDT_IFT_REALISE_N2_HORS_HERBICIDES">Phyto!$L$101</definedName>
    <definedName name="PEUPLERAIE_N">Surfaces!$O$30</definedName>
    <definedName name="PEUPLERAIE_N1">Surfaces!$P$30</definedName>
    <definedName name="PEUPLERAIE_N2">Surfaces!$Q$30</definedName>
    <definedName name="PLAFOND_QUANTITE_AZOTE_APPORTEE_N">Fertilisation!$S$87</definedName>
    <definedName name="PLAFOND_QUANTITE_AZOTE_APPORTEE_N1">Fertilisation!$S$88</definedName>
    <definedName name="PLAFOND_QUANTITE_AZOTE_APPORTEE_N2">Fertilisation!$S$89</definedName>
    <definedName name="PLAFOND_RETENU_QUANTITE_AZOTE">Fertilisation!$Q$95</definedName>
    <definedName name="PLAFOND_SUBST_ACT_N">Phyto!$S$144</definedName>
    <definedName name="PLAFOND_SUBST_ACT_N1">Phyto!$S$145</definedName>
    <definedName name="PLAFOND_SUBST_ACT_N2">Phyto!$S$146</definedName>
    <definedName name="PLANCHER_QUANTITE_AZOTE_APPORTEE_N">Fertilisation!$U$87</definedName>
    <definedName name="PLANCHER_QUANTITE_AZOTE_APPORTEE_N1">Fertilisation!$U$88</definedName>
    <definedName name="PLANCHER_QUANTITE_AZOTE_APPORTEE_N2">Fertilisation!$U$89</definedName>
    <definedName name="PLANCHER_RETENU_QUANTITE_AZOTE">Fertilisation!$Q$96</definedName>
    <definedName name="PLANCHER_SUBST_ACT_N">Phyto!$U$144</definedName>
    <definedName name="PLANCHER_SUBST_ACT_N1">Phyto!$U$145</definedName>
    <definedName name="PLANCHER_SUBST_ACT_N2">Phyto!$U$146</definedName>
    <definedName name="POIDS_IAE_TOT_EXPL">Biodiversité!$T$51</definedName>
    <definedName name="POIDS_PART_IAE">Biodiversité!$T$53</definedName>
    <definedName name="POIDS_SURF_TOT">Biodiversité!$T$52</definedName>
    <definedName name="POINTS_HORS_HORTICULTURE">Irrigation!$O$80</definedName>
    <definedName name="POINTS_HORTICULTURE">Irrigation!$O$87</definedName>
    <definedName name="POINTS_RECUP_EAU_PLUIE">Irrigation!$P$242</definedName>
    <definedName name="POINTS_RECYCLAGE_TRAITEMENT">Irrigation!$N$219</definedName>
    <definedName name="POINTS_UTILISATION_OUTILS">Irrigation!$O$92</definedName>
    <definedName name="POIS_PROTEAGINEUX_N">Surfaces!$O$93</definedName>
    <definedName name="POIS_PROTEAGINEUX_N1">Surfaces!$P$93</definedName>
    <definedName name="POIS_PROTEAGINEUX_N2">Surfaces!$Q$93</definedName>
    <definedName name="POMMES_DE_TERRES_N">Surfaces!$O$132</definedName>
    <definedName name="POMMES_DE_TERRES_N1">Surfaces!$P$132</definedName>
    <definedName name="POMMES_DE_TERRES_N2">Surfaces!$Q$132</definedName>
    <definedName name="POURCENTAGE_AZOTE_APPORTE">Fertilisation!$N$122</definedName>
    <definedName name="POURCENTAGE_CULTURES_MINEURES">Fertilisation!$M$60</definedName>
    <definedName name="POURCENTAGE_SAU_ARBO">Fertilisation!$O$298</definedName>
    <definedName name="POURCENTAGE_SAU_HORTI">Fertilisation!$O$299</definedName>
    <definedName name="POURCENTAGE_SAU_NON_TRAITEE">Phyto!$M$55</definedName>
    <definedName name="POURCENTAGE_SAU_VIGNES">Fertilisation!$O$297</definedName>
    <definedName name="POURCENTAGE_SURF_ARBO">Phyto!$J$292</definedName>
    <definedName name="POURCENTAGE_SURF_CULTURES_HORS_SOL">Phyto!$J$294</definedName>
    <definedName name="POURCENTAGE_SURF_HORTI_EQUIPEE">Fertilisation!$O$323</definedName>
    <definedName name="POURCENTAGE_SURF_LEG_FRUITS">Phyto!$J$293</definedName>
    <definedName name="POURCENTAGE_SURF_LEGUMINEUSES">Fertilisation!$N$243</definedName>
    <definedName name="POURCENTAGE_SURF_VIGNES">Phyto!$J$291</definedName>
    <definedName name="POURCENTAGE_SURFACES_NON_FERTILISEES">Fertilisation!$J$215</definedName>
    <definedName name="PP_FERTILISEES_N">Surfaces!$O$120</definedName>
    <definedName name="PP_FERTILISEES_N1">Surfaces!$P$120</definedName>
    <definedName name="PP_FERTILISEES_N2">Surfaces!$Q$120</definedName>
    <definedName name="PP_NON_FERTILISEES_N">Surfaces!$O$119</definedName>
    <definedName name="PP_NON_FERTILISEES_N1">Surfaces!$P$119</definedName>
    <definedName name="PP_NON_FERTILISEES_N2">Surfaces!$Q$119</definedName>
    <definedName name="PRAIRIES_CONV_SURF">Biodiversité!$Y$31</definedName>
    <definedName name="PRAIRIES_REEL_SURF">Biodiversité!$R$31</definedName>
    <definedName name="PRAIRIES_UNITE">Biodiversité!$T$31</definedName>
    <definedName name="PRISE_EN_COMPTE_CULTURE_MOYENNE">Fertilisation!$M$57</definedName>
    <definedName name="PROD_COUV_ARBRES_ARBUSTES_EN_POT_N_M01">Surfaces_Horti!$B$14</definedName>
    <definedName name="PROD_COUV_ARBRES_ARBUSTES_EN_POT_N_M02">Surfaces_Horti!$C$14</definedName>
    <definedName name="PROD_COUV_ARBRES_ARBUSTES_EN_POT_N_M03">Surfaces_Horti!$D$14</definedName>
    <definedName name="PROD_COUV_ARBRES_ARBUSTES_EN_POT_N_M04">Surfaces_Horti!$E$14</definedName>
    <definedName name="PROD_COUV_ARBRES_ARBUSTES_EN_POT_N_M05">Surfaces_Horti!$F$14</definedName>
    <definedName name="PROD_COUV_ARBRES_ARBUSTES_EN_POT_N_M06">Surfaces_Horti!$G$14</definedName>
    <definedName name="PROD_COUV_ARBRES_ARBUSTES_EN_POT_N_M07">Surfaces_Horti!$H$14</definedName>
    <definedName name="PROD_COUV_ARBRES_ARBUSTES_EN_POT_N_M08">Surfaces_Horti!$I$14</definedName>
    <definedName name="PROD_COUV_ARBRES_ARBUSTES_EN_POT_N_M09">Surfaces_Horti!$J$14</definedName>
    <definedName name="PROD_COUV_ARBRES_ARBUSTES_EN_POT_N_M10">Surfaces_Horti!$K$14</definedName>
    <definedName name="PROD_COUV_ARBRES_ARBUSTES_EN_POT_N_M11">Surfaces_Horti!$L$14</definedName>
    <definedName name="PROD_COUV_ARBRES_ARBUSTES_EN_POT_N_M12">Surfaces_Horti!$M$14</definedName>
    <definedName name="PROD_COUV_ARBRES_ARBUSTES_EN_POT_N_MOY">Surfaces_Horti!$N$14</definedName>
    <definedName name="PROD_COUV_ARBRES_ARBUSTES_EN_POT_N1_M01">Surfaces_Horti!$B$51</definedName>
    <definedName name="PROD_COUV_ARBRES_ARBUSTES_EN_POT_N1_M02">Surfaces_Horti!$C$51</definedName>
    <definedName name="PROD_COUV_ARBRES_ARBUSTES_EN_POT_N1_M03">Surfaces_Horti!$D$51</definedName>
    <definedName name="PROD_COUV_ARBRES_ARBUSTES_EN_POT_N1_M04">Surfaces_Horti!$E$51</definedName>
    <definedName name="PROD_COUV_ARBRES_ARBUSTES_EN_POT_N1_M05">Surfaces_Horti!$F$51</definedName>
    <definedName name="PROD_COUV_ARBRES_ARBUSTES_EN_POT_N1_M06">Surfaces_Horti!$G$51</definedName>
    <definedName name="PROD_COUV_ARBRES_ARBUSTES_EN_POT_N1_M07">Surfaces_Horti!$H$51</definedName>
    <definedName name="PROD_COUV_ARBRES_ARBUSTES_EN_POT_N1_M08">Surfaces_Horti!$I$51</definedName>
    <definedName name="PROD_COUV_ARBRES_ARBUSTES_EN_POT_N1_M09">Surfaces_Horti!$J$51</definedName>
    <definedName name="PROD_COUV_ARBRES_ARBUSTES_EN_POT_N1_M10">Surfaces_Horti!$K$51</definedName>
    <definedName name="PROD_COUV_ARBRES_ARBUSTES_EN_POT_N1_M11">Surfaces_Horti!$L$51</definedName>
    <definedName name="PROD_COUV_ARBRES_ARBUSTES_EN_POT_N1_M12">Surfaces_Horti!$M$51</definedName>
    <definedName name="PROD_COUV_ARBRES_ARBUSTES_EN_POT_N1_MOY">Surfaces_Horti!$N$51</definedName>
    <definedName name="PROD_COUV_ARBRES_ARBUSTES_EN_POT_N2_M01">Surfaces_Horti!$B$88</definedName>
    <definedName name="PROD_COUV_ARBRES_ARBUSTES_EN_POT_N2_M02">Surfaces_Horti!$C$88</definedName>
    <definedName name="PROD_COUV_ARBRES_ARBUSTES_EN_POT_N2_M03">Surfaces_Horti!$D$88</definedName>
    <definedName name="PROD_COUV_ARBRES_ARBUSTES_EN_POT_N2_M04">Surfaces_Horti!$E$88</definedName>
    <definedName name="PROD_COUV_ARBRES_ARBUSTES_EN_POT_N2_M05">Surfaces_Horti!$F$88</definedName>
    <definedName name="PROD_COUV_ARBRES_ARBUSTES_EN_POT_N2_M06">Surfaces_Horti!$G$88</definedName>
    <definedName name="PROD_COUV_ARBRES_ARBUSTES_EN_POT_N2_M07">Surfaces_Horti!$H$88</definedName>
    <definedName name="PROD_COUV_ARBRES_ARBUSTES_EN_POT_N2_M08">Surfaces_Horti!$I$88</definedName>
    <definedName name="PROD_COUV_ARBRES_ARBUSTES_EN_POT_N2_M09">Surfaces_Horti!$J$88</definedName>
    <definedName name="PROD_COUV_ARBRES_ARBUSTES_EN_POT_N2_M10">Surfaces_Horti!$K$88</definedName>
    <definedName name="PROD_COUV_ARBRES_ARBUSTES_EN_POT_N2_M11">Surfaces_Horti!$L$88</definedName>
    <definedName name="PROD_COUV_ARBRES_ARBUSTES_EN_POT_N2_M12">Surfaces_Horti!$M$88</definedName>
    <definedName name="PROD_COUV_ARBRES_ARBUSTES_EN_POT_N2_MOY">Surfaces_Horti!$N$88</definedName>
    <definedName name="PROD_COUV_AUTRES_ARBRES_EN_POT_N_M01">Surfaces_Horti!$B$16</definedName>
    <definedName name="PROD_COUV_AUTRES_ARBRES_EN_POT_N_M02">Surfaces_Horti!$C$16</definedName>
    <definedName name="PROD_COUV_AUTRES_ARBRES_EN_POT_N_M03">Surfaces_Horti!$D$16</definedName>
    <definedName name="PROD_COUV_AUTRES_ARBRES_EN_POT_N_M04">Surfaces_Horti!$E$16</definedName>
    <definedName name="PROD_COUV_AUTRES_ARBRES_EN_POT_N_M05">Surfaces_Horti!$F$16</definedName>
    <definedName name="PROD_COUV_AUTRES_ARBRES_EN_POT_N_M06">Surfaces_Horti!$G$16</definedName>
    <definedName name="PROD_COUV_AUTRES_ARBRES_EN_POT_N_M07">Surfaces_Horti!$H$16</definedName>
    <definedName name="PROD_COUV_AUTRES_ARBRES_EN_POT_N_M08">Surfaces_Horti!$I$16</definedName>
    <definedName name="PROD_COUV_AUTRES_ARBRES_EN_POT_N_M09">Surfaces_Horti!$J$16</definedName>
    <definedName name="PROD_COUV_AUTRES_ARBRES_EN_POT_N_M10">Surfaces_Horti!$K$16</definedName>
    <definedName name="PROD_COUV_AUTRES_ARBRES_EN_POT_N_M11">Surfaces_Horti!$L$16</definedName>
    <definedName name="PROD_COUV_AUTRES_ARBRES_EN_POT_N_M12">Surfaces_Horti!$M$16</definedName>
    <definedName name="PROD_COUV_AUTRES_ARBRES_EN_POT_N_MOY">Surfaces_Horti!$N$16</definedName>
    <definedName name="PROD_COUV_AUTRES_ARBRES_EN_POT_N1_M01">Surfaces_Horti!$B$53</definedName>
    <definedName name="PROD_COUV_AUTRES_ARBRES_EN_POT_N1_M02">Surfaces_Horti!$C$53</definedName>
    <definedName name="PROD_COUV_AUTRES_ARBRES_EN_POT_N1_M03">Surfaces_Horti!$D$53</definedName>
    <definedName name="PROD_COUV_AUTRES_ARBRES_EN_POT_N1_M04">Surfaces_Horti!$E$53</definedName>
    <definedName name="PROD_COUV_AUTRES_ARBRES_EN_POT_N1_M05">Surfaces_Horti!$F$53</definedName>
    <definedName name="PROD_COUV_AUTRES_ARBRES_EN_POT_N1_M06">Surfaces_Horti!$G$53</definedName>
    <definedName name="PROD_COUV_AUTRES_ARBRES_EN_POT_N1_M07">Surfaces_Horti!$H$53</definedName>
    <definedName name="PROD_COUV_AUTRES_ARBRES_EN_POT_N1_M08">Surfaces_Horti!$I$53</definedName>
    <definedName name="PROD_COUV_AUTRES_ARBRES_EN_POT_N1_M09">Surfaces_Horti!$J$53</definedName>
    <definedName name="PROD_COUV_AUTRES_ARBRES_EN_POT_N1_M10">Surfaces_Horti!$K$53</definedName>
    <definedName name="PROD_COUV_AUTRES_ARBRES_EN_POT_N1_M11">Surfaces_Horti!$L$53</definedName>
    <definedName name="PROD_COUV_AUTRES_ARBRES_EN_POT_N1_M12">Surfaces_Horti!$M$53</definedName>
    <definedName name="PROD_COUV_AUTRES_ARBRES_EN_POT_N1_MOY">Surfaces_Horti!$N$53</definedName>
    <definedName name="PROD_COUV_AUTRES_ARBRES_EN_POT_N2_M01">Surfaces_Horti!$B$90</definedName>
    <definedName name="PROD_COUV_AUTRES_ARBRES_EN_POT_N2_M02">Surfaces_Horti!$C$90</definedName>
    <definedName name="PROD_COUV_AUTRES_ARBRES_EN_POT_N2_M03">Surfaces_Horti!$D$90</definedName>
    <definedName name="PROD_COUV_AUTRES_ARBRES_EN_POT_N2_M04">Surfaces_Horti!$E$90</definedName>
    <definedName name="PROD_COUV_AUTRES_ARBRES_EN_POT_N2_M05">Surfaces_Horti!$F$90</definedName>
    <definedName name="PROD_COUV_AUTRES_ARBRES_EN_POT_N2_M06">Surfaces_Horti!$G$90</definedName>
    <definedName name="PROD_COUV_AUTRES_ARBRES_EN_POT_N2_M07">Surfaces_Horti!$H$90</definedName>
    <definedName name="PROD_COUV_AUTRES_ARBRES_EN_POT_N2_M08">Surfaces_Horti!$I$90</definedName>
    <definedName name="PROD_COUV_AUTRES_ARBRES_EN_POT_N2_M09">Surfaces_Horti!$J$90</definedName>
    <definedName name="PROD_COUV_AUTRES_ARBRES_EN_POT_N2_M10">Surfaces_Horti!$K$90</definedName>
    <definedName name="PROD_COUV_AUTRES_ARBRES_EN_POT_N2_M11">Surfaces_Horti!$L$90</definedName>
    <definedName name="PROD_COUV_AUTRES_ARBRES_EN_POT_N2_M12">Surfaces_Horti!$M$90</definedName>
    <definedName name="PROD_COUV_AUTRES_ARBRES_EN_POT_N2_MOY">Surfaces_Horti!$N$90</definedName>
    <definedName name="PROD_COUV_AUTRES_CULTURES_PLEINE_TERRE_N_M01">Surfaces_Horti!$B$19</definedName>
    <definedName name="PROD_COUV_AUTRES_CULTURES_PLEINE_TERRE_N_M02">Surfaces_Horti!$C$19</definedName>
    <definedName name="PROD_COUV_AUTRES_CULTURES_PLEINE_TERRE_N_M03">Surfaces_Horti!$D$19</definedName>
    <definedName name="PROD_COUV_AUTRES_CULTURES_PLEINE_TERRE_N_M04">Surfaces_Horti!$E$19</definedName>
    <definedName name="PROD_COUV_AUTRES_CULTURES_PLEINE_TERRE_N_M05">Surfaces_Horti!$F$19</definedName>
    <definedName name="PROD_COUV_AUTRES_CULTURES_PLEINE_TERRE_N_M06">Surfaces_Horti!$G$19</definedName>
    <definedName name="PROD_COUV_AUTRES_CULTURES_PLEINE_TERRE_N_M07">Surfaces_Horti!$H$19</definedName>
    <definedName name="PROD_COUV_AUTRES_CULTURES_PLEINE_TERRE_N_M08">Surfaces_Horti!$I$19</definedName>
    <definedName name="PROD_COUV_AUTRES_CULTURES_PLEINE_TERRE_N_M09">Surfaces_Horti!$J$19</definedName>
    <definedName name="PROD_COUV_AUTRES_CULTURES_PLEINE_TERRE_N_M10">Surfaces_Horti!$K$19</definedName>
    <definedName name="PROD_COUV_AUTRES_CULTURES_PLEINE_TERRE_N_M11">Surfaces_Horti!$L$19</definedName>
    <definedName name="PROD_COUV_AUTRES_CULTURES_PLEINE_TERRE_N_M12">Surfaces_Horti!$M$19</definedName>
    <definedName name="PROD_COUV_AUTRES_CULTURES_PLEINE_TERRE_N_MOY">Surfaces_Horti!$N$19</definedName>
    <definedName name="PROD_COUV_AUTRES_CULTURES_PLEINE_TERRE_N1_M01">Surfaces_Horti!$B$56</definedName>
    <definedName name="PROD_COUV_AUTRES_CULTURES_PLEINE_TERRE_N1_M02">Surfaces_Horti!$C$56</definedName>
    <definedName name="PROD_COUV_AUTRES_CULTURES_PLEINE_TERRE_N1_M03">Surfaces_Horti!$D$56</definedName>
    <definedName name="PROD_COUV_AUTRES_CULTURES_PLEINE_TERRE_N1_M04">Surfaces_Horti!$E$56</definedName>
    <definedName name="PROD_COUV_AUTRES_CULTURES_PLEINE_TERRE_N1_M05">Surfaces_Horti!$F$56</definedName>
    <definedName name="PROD_COUV_AUTRES_CULTURES_PLEINE_TERRE_N1_M06">Surfaces_Horti!$G$56</definedName>
    <definedName name="PROD_COUV_AUTRES_CULTURES_PLEINE_TERRE_N1_M07">Surfaces_Horti!$H$56</definedName>
    <definedName name="PROD_COUV_AUTRES_CULTURES_PLEINE_TERRE_N1_M08">Surfaces_Horti!$I$56</definedName>
    <definedName name="PROD_COUV_AUTRES_CULTURES_PLEINE_TERRE_N1_M09">Surfaces_Horti!$J$56</definedName>
    <definedName name="PROD_COUV_AUTRES_CULTURES_PLEINE_TERRE_N1_M10">Surfaces_Horti!$K$56</definedName>
    <definedName name="PROD_COUV_AUTRES_CULTURES_PLEINE_TERRE_N1_M11">Surfaces_Horti!$L$56</definedName>
    <definedName name="PROD_COUV_AUTRES_CULTURES_PLEINE_TERRE_N1_M12">Surfaces_Horti!$M$56</definedName>
    <definedName name="PROD_COUV_AUTRES_CULTURES_PLEINE_TERRE_N1_MOY">Surfaces_Horti!$N$56</definedName>
    <definedName name="PROD_COUV_AUTRES_CULTURES_PLEINE_TERRE_N2_M01">Surfaces_Horti!$B$93</definedName>
    <definedName name="PROD_COUV_AUTRES_CULTURES_PLEINE_TERRE_N2_M02">Surfaces_Horti!$C$93</definedName>
    <definedName name="PROD_COUV_AUTRES_CULTURES_PLEINE_TERRE_N2_M03">Surfaces_Horti!$D$93</definedName>
    <definedName name="PROD_COUV_AUTRES_CULTURES_PLEINE_TERRE_N2_M04">Surfaces_Horti!$E$93</definedName>
    <definedName name="PROD_COUV_AUTRES_CULTURES_PLEINE_TERRE_N2_M05">Surfaces_Horti!$F$93</definedName>
    <definedName name="PROD_COUV_AUTRES_CULTURES_PLEINE_TERRE_N2_M06">Surfaces_Horti!$G$93</definedName>
    <definedName name="PROD_COUV_AUTRES_CULTURES_PLEINE_TERRE_N2_M07">Surfaces_Horti!$H$93</definedName>
    <definedName name="PROD_COUV_AUTRES_CULTURES_PLEINE_TERRE_N2_M08">Surfaces_Horti!$I$93</definedName>
    <definedName name="PROD_COUV_AUTRES_CULTURES_PLEINE_TERRE_N2_M09">Surfaces_Horti!$J$93</definedName>
    <definedName name="PROD_COUV_AUTRES_CULTURES_PLEINE_TERRE_N2_M10">Surfaces_Horti!$K$93</definedName>
    <definedName name="PROD_COUV_AUTRES_CULTURES_PLEINE_TERRE_N2_M11">Surfaces_Horti!$L$93</definedName>
    <definedName name="PROD_COUV_AUTRES_CULTURES_PLEINE_TERRE_N2_M12">Surfaces_Horti!$M$93</definedName>
    <definedName name="PROD_COUV_AUTRES_CULTURES_PLEINE_TERRE_N2_MOY">Surfaces_Horti!$N$93</definedName>
    <definedName name="PROD_COUV_AUTRES_FLEURS_COUPEES_EN_POT_N_M01">Surfaces_Horti!$B$18</definedName>
    <definedName name="PROD_COUV_AUTRES_FLEURS_COUPEES_EN_POT_N_M02">Surfaces_Horti!$C$18</definedName>
    <definedName name="PROD_COUV_AUTRES_FLEURS_COUPEES_EN_POT_N_M03">Surfaces_Horti!$D$18</definedName>
    <definedName name="PROD_COUV_AUTRES_FLEURS_COUPEES_EN_POT_N_M04">Surfaces_Horti!$E$18</definedName>
    <definedName name="PROD_COUV_AUTRES_FLEURS_COUPEES_EN_POT_N_M05">Surfaces_Horti!$F$18</definedName>
    <definedName name="PROD_COUV_AUTRES_FLEURS_COUPEES_EN_POT_N_M06">Surfaces_Horti!$G$18</definedName>
    <definedName name="PROD_COUV_AUTRES_FLEURS_COUPEES_EN_POT_N_M07">Surfaces_Horti!$H$18</definedName>
    <definedName name="PROD_COUV_AUTRES_FLEURS_COUPEES_EN_POT_N_M08">Surfaces_Horti!$I$18</definedName>
    <definedName name="PROD_COUV_AUTRES_FLEURS_COUPEES_EN_POT_N_M09">Surfaces_Horti!$J$18</definedName>
    <definedName name="PROD_COUV_AUTRES_FLEURS_COUPEES_EN_POT_N_M10">Surfaces_Horti!$K$18</definedName>
    <definedName name="PROD_COUV_AUTRES_FLEURS_COUPEES_EN_POT_N_M11">Surfaces_Horti!$L$18</definedName>
    <definedName name="PROD_COUV_AUTRES_FLEURS_COUPEES_EN_POT_N_M12">Surfaces_Horti!$M$18</definedName>
    <definedName name="PROD_COUV_AUTRES_FLEURS_COUPEES_EN_POT_N_MOY">Surfaces_Horti!$N$18</definedName>
    <definedName name="PROD_COUV_AUTRES_FLEURS_COUPEES_EN_POT_N1_M01">Surfaces_Horti!$B$55</definedName>
    <definedName name="PROD_COUV_AUTRES_FLEURS_COUPEES_EN_POT_N1_M02">Surfaces_Horti!$C$55</definedName>
    <definedName name="PROD_COUV_AUTRES_FLEURS_COUPEES_EN_POT_N1_M03">Surfaces_Horti!$D$55</definedName>
    <definedName name="PROD_COUV_AUTRES_FLEURS_COUPEES_EN_POT_N1_M04">Surfaces_Horti!$E$55</definedName>
    <definedName name="PROD_COUV_AUTRES_FLEURS_COUPEES_EN_POT_N1_M05">Surfaces_Horti!$F$55</definedName>
    <definedName name="PROD_COUV_AUTRES_FLEURS_COUPEES_EN_POT_N1_M06">Surfaces_Horti!$G$55</definedName>
    <definedName name="PROD_COUV_AUTRES_FLEURS_COUPEES_EN_POT_N1_M07">Surfaces_Horti!$H$55</definedName>
    <definedName name="PROD_COUV_AUTRES_FLEURS_COUPEES_EN_POT_N1_M08">Surfaces_Horti!$I$55</definedName>
    <definedName name="PROD_COUV_AUTRES_FLEURS_COUPEES_EN_POT_N1_M09">Surfaces_Horti!$J$55</definedName>
    <definedName name="PROD_COUV_AUTRES_FLEURS_COUPEES_EN_POT_N1_M10">Surfaces_Horti!$K$55</definedName>
    <definedName name="PROD_COUV_AUTRES_FLEURS_COUPEES_EN_POT_N1_M11">Surfaces_Horti!$L$55</definedName>
    <definedName name="PROD_COUV_AUTRES_FLEURS_COUPEES_EN_POT_N1_M12">Surfaces_Horti!$M$55</definedName>
    <definedName name="PROD_COUV_AUTRES_FLEURS_COUPEES_EN_POT_N1_MOY">Surfaces_Horti!$N$55</definedName>
    <definedName name="PROD_COUV_AUTRES_FLEURS_COUPEES_EN_POT_N2_M01">Surfaces_Horti!$B$92</definedName>
    <definedName name="PROD_COUV_AUTRES_FLEURS_COUPEES_EN_POT_N2_M02">Surfaces_Horti!$C$92</definedName>
    <definedName name="PROD_COUV_AUTRES_FLEURS_COUPEES_EN_POT_N2_M03">Surfaces_Horti!$D$92</definedName>
    <definedName name="PROD_COUV_AUTRES_FLEURS_COUPEES_EN_POT_N2_M04">Surfaces_Horti!$E$92</definedName>
    <definedName name="PROD_COUV_AUTRES_FLEURS_COUPEES_EN_POT_N2_M05">Surfaces_Horti!$F$92</definedName>
    <definedName name="PROD_COUV_AUTRES_FLEURS_COUPEES_EN_POT_N2_M06">Surfaces_Horti!$G$92</definedName>
    <definedName name="PROD_COUV_AUTRES_FLEURS_COUPEES_EN_POT_N2_M07">Surfaces_Horti!$H$92</definedName>
    <definedName name="PROD_COUV_AUTRES_FLEURS_COUPEES_EN_POT_N2_M08">Surfaces_Horti!$I$92</definedName>
    <definedName name="PROD_COUV_AUTRES_FLEURS_COUPEES_EN_POT_N2_M09">Surfaces_Horti!$J$92</definedName>
    <definedName name="PROD_COUV_AUTRES_FLEURS_COUPEES_EN_POT_N2_M10">Surfaces_Horti!$K$92</definedName>
    <definedName name="PROD_COUV_AUTRES_FLEURS_COUPEES_EN_POT_N2_M11">Surfaces_Horti!$L$92</definedName>
    <definedName name="PROD_COUV_AUTRES_FLEURS_COUPEES_EN_POT_N2_M12">Surfaces_Horti!$M$92</definedName>
    <definedName name="PROD_COUV_AUTRES_FLEURS_COUPEES_EN_POT_N2_MOY">Surfaces_Horti!$N$92</definedName>
    <definedName name="PROD_COUV_FLEURS_COUPEES_PLEINE_TERRE_N_M01">Surfaces_Horti!$B$17</definedName>
    <definedName name="PROD_COUV_FLEURS_COUPEES_PLEINE_TERRE_N_M02">Surfaces_Horti!$C$17</definedName>
    <definedName name="PROD_COUV_FLEURS_COUPEES_PLEINE_TERRE_N_M03">Surfaces_Horti!$D$17</definedName>
    <definedName name="PROD_COUV_FLEURS_COUPEES_PLEINE_TERRE_N_M04">Surfaces_Horti!$E$17</definedName>
    <definedName name="PROD_COUV_FLEURS_COUPEES_PLEINE_TERRE_N_M05">Surfaces_Horti!$F$17</definedName>
    <definedName name="PROD_COUV_FLEURS_COUPEES_PLEINE_TERRE_N_M06">Surfaces_Horti!$G$17</definedName>
    <definedName name="PROD_COUV_FLEURS_COUPEES_PLEINE_TERRE_N_M07">Surfaces_Horti!$H$17</definedName>
    <definedName name="PROD_COUV_FLEURS_COUPEES_PLEINE_TERRE_N_M08">Surfaces_Horti!$I$17</definedName>
    <definedName name="PROD_COUV_FLEURS_COUPEES_PLEINE_TERRE_N_M09">Surfaces_Horti!$J$17</definedName>
    <definedName name="PROD_COUV_FLEURS_COUPEES_PLEINE_TERRE_N_M10">Surfaces_Horti!$K$17</definedName>
    <definedName name="PROD_COUV_FLEURS_COUPEES_PLEINE_TERRE_N_M11">Surfaces_Horti!$L$17</definedName>
    <definedName name="PROD_COUV_FLEURS_COUPEES_PLEINE_TERRE_N_M12">Surfaces_Horti!$M$17</definedName>
    <definedName name="PROD_COUV_FLEURS_COUPEES_PLEINE_TERRE_N_MOY">Surfaces_Horti!$N$17</definedName>
    <definedName name="PROD_COUV_FLEURS_COUPEES_PLEINE_TERRE_N1_M01">Surfaces_Horti!$B$54</definedName>
    <definedName name="PROD_COUV_FLEURS_COUPEES_PLEINE_TERRE_N1_M02">Surfaces_Horti!$C$54</definedName>
    <definedName name="PROD_COUV_FLEURS_COUPEES_PLEINE_TERRE_N1_M03">Surfaces_Horti!$D$54</definedName>
    <definedName name="PROD_COUV_FLEURS_COUPEES_PLEINE_TERRE_N1_M04">Surfaces_Horti!$E$54</definedName>
    <definedName name="PROD_COUV_FLEURS_COUPEES_PLEINE_TERRE_N1_M05">Surfaces_Horti!$F$54</definedName>
    <definedName name="PROD_COUV_FLEURS_COUPEES_PLEINE_TERRE_N1_M06">Surfaces_Horti!$G$54</definedName>
    <definedName name="PROD_COUV_FLEURS_COUPEES_PLEINE_TERRE_N1_M07">Surfaces_Horti!$H$54</definedName>
    <definedName name="PROD_COUV_FLEURS_COUPEES_PLEINE_TERRE_N1_M08">Surfaces_Horti!$I$54</definedName>
    <definedName name="PROD_COUV_FLEURS_COUPEES_PLEINE_TERRE_N1_M09">Surfaces_Horti!$J$54</definedName>
    <definedName name="PROD_COUV_FLEURS_COUPEES_PLEINE_TERRE_N1_M10">Surfaces_Horti!$K$54</definedName>
    <definedName name="PROD_COUV_FLEURS_COUPEES_PLEINE_TERRE_N1_M11">Surfaces_Horti!$L$54</definedName>
    <definedName name="PROD_COUV_FLEURS_COUPEES_PLEINE_TERRE_N1_M12">Surfaces_Horti!$M$54</definedName>
    <definedName name="PROD_COUV_FLEURS_COUPEES_PLEINE_TERRE_N1_MOY">Surfaces_Horti!$N$54</definedName>
    <definedName name="PROD_COUV_FLEURS_COUPEES_PLEINE_TERRE_N2_M01">Surfaces_Horti!$B$91</definedName>
    <definedName name="PROD_COUV_FLEURS_COUPEES_PLEINE_TERRE_N2_M02">Surfaces_Horti!$C$91</definedName>
    <definedName name="PROD_COUV_FLEURS_COUPEES_PLEINE_TERRE_N2_M03">Surfaces_Horti!$D$91</definedName>
    <definedName name="PROD_COUV_FLEURS_COUPEES_PLEINE_TERRE_N2_M04">Surfaces_Horti!$E$91</definedName>
    <definedName name="PROD_COUV_FLEURS_COUPEES_PLEINE_TERRE_N2_M05">Surfaces_Horti!$F$91</definedName>
    <definedName name="PROD_COUV_FLEURS_COUPEES_PLEINE_TERRE_N2_M06">Surfaces_Horti!$G$91</definedName>
    <definedName name="PROD_COUV_FLEURS_COUPEES_PLEINE_TERRE_N2_M07">Surfaces_Horti!$H$91</definedName>
    <definedName name="PROD_COUV_FLEURS_COUPEES_PLEINE_TERRE_N2_M08">Surfaces_Horti!$I$91</definedName>
    <definedName name="PROD_COUV_FLEURS_COUPEES_PLEINE_TERRE_N2_M09">Surfaces_Horti!$J$91</definedName>
    <definedName name="PROD_COUV_FLEURS_COUPEES_PLEINE_TERRE_N2_M10">Surfaces_Horti!$K$91</definedName>
    <definedName name="PROD_COUV_FLEURS_COUPEES_PLEINE_TERRE_N2_M11">Surfaces_Horti!$L$91</definedName>
    <definedName name="PROD_COUV_FLEURS_COUPEES_PLEINE_TERRE_N2_M12">Surfaces_Horti!$M$91</definedName>
    <definedName name="PROD_COUV_FLEURS_COUPEES_PLEINE_TERRE_N2_MOY">Surfaces_Horti!$N$91</definedName>
    <definedName name="PROD_COUV_PLANTES_EN_POT_N_M01">Surfaces_Horti!$B$13</definedName>
    <definedName name="PROD_COUV_PLANTES_EN_POT_N_M02">Surfaces_Horti!$C$13</definedName>
    <definedName name="PROD_COUV_PLANTES_EN_POT_N_M03">Surfaces_Horti!$D$13</definedName>
    <definedName name="PROD_COUV_PLANTES_EN_POT_N_M04">Surfaces_Horti!$E$13</definedName>
    <definedName name="PROD_COUV_PLANTES_EN_POT_N_M05">Surfaces_Horti!$F$13</definedName>
    <definedName name="PROD_COUV_PLANTES_EN_POT_N_M06">Surfaces_Horti!$G$13</definedName>
    <definedName name="PROD_COUV_PLANTES_EN_POT_N_M07">Surfaces_Horti!$H$13</definedName>
    <definedName name="PROD_COUV_PLANTES_EN_POT_N_M08">Surfaces_Horti!$I$13</definedName>
    <definedName name="PROD_COUV_PLANTES_EN_POT_N_M09">Surfaces_Horti!$J$13</definedName>
    <definedName name="PROD_COUV_PLANTES_EN_POT_N_M10">Surfaces_Horti!$K$13</definedName>
    <definedName name="PROD_COUV_PLANTES_EN_POT_N_M11">Surfaces_Horti!$L$13</definedName>
    <definedName name="PROD_COUV_PLANTES_EN_POT_N_M12">Surfaces_Horti!$M$13</definedName>
    <definedName name="PROD_COUV_PLANTES_EN_POT_N_MOY">Surfaces_Horti!$N$13</definedName>
    <definedName name="PROD_COUV_PLANTES_EN_POT_N1_M01">Surfaces_Horti!$B$50</definedName>
    <definedName name="PROD_COUV_PLANTES_EN_POT_N1_M02">Surfaces_Horti!$C$50</definedName>
    <definedName name="PROD_COUV_PLANTES_EN_POT_N1_M03">Surfaces_Horti!$D$50</definedName>
    <definedName name="PROD_COUV_PLANTES_EN_POT_N1_M04">Surfaces_Horti!$E$50</definedName>
    <definedName name="PROD_COUV_PLANTES_EN_POT_N1_M05">Surfaces_Horti!$F$50</definedName>
    <definedName name="PROD_COUV_PLANTES_EN_POT_N1_M06">Surfaces_Horti!$G$50</definedName>
    <definedName name="PROD_COUV_PLANTES_EN_POT_N1_M07">Surfaces_Horti!$H$50</definedName>
    <definedName name="PROD_COUV_PLANTES_EN_POT_N1_M08">Surfaces_Horti!$I$50</definedName>
    <definedName name="PROD_COUV_PLANTES_EN_POT_N1_M09">Surfaces_Horti!$J$50</definedName>
    <definedName name="PROD_COUV_PLANTES_EN_POT_N1_M10">Surfaces_Horti!$K$50</definedName>
    <definedName name="PROD_COUV_PLANTES_EN_POT_N1_M11">Surfaces_Horti!$L$50</definedName>
    <definedName name="PROD_COUV_PLANTES_EN_POT_N1_M12">Surfaces_Horti!$M$50</definedName>
    <definedName name="PROD_COUV_PLANTES_EN_POT_N1_MOY">Surfaces_Horti!$N$50</definedName>
    <definedName name="PROD_COUV_PLANTES_EN_POT_N2_M01">Surfaces_Horti!$B$87</definedName>
    <definedName name="PROD_COUV_PLANTES_EN_POT_N2_M02">Surfaces_Horti!$C$87</definedName>
    <definedName name="PROD_COUV_PLANTES_EN_POT_N2_M03">Surfaces_Horti!$D$87</definedName>
    <definedName name="PROD_COUV_PLANTES_EN_POT_N2_M04">Surfaces_Horti!$E$87</definedName>
    <definedName name="PROD_COUV_PLANTES_EN_POT_N2_M05">Surfaces_Horti!$F$87</definedName>
    <definedName name="PROD_COUV_PLANTES_EN_POT_N2_M06">Surfaces_Horti!$G$87</definedName>
    <definedName name="PROD_COUV_PLANTES_EN_POT_N2_M07">Surfaces_Horti!$H$87</definedName>
    <definedName name="PROD_COUV_PLANTES_EN_POT_N2_M08">Surfaces_Horti!$I$87</definedName>
    <definedName name="PROD_COUV_PLANTES_EN_POT_N2_M09">Surfaces_Horti!$J$87</definedName>
    <definedName name="PROD_COUV_PLANTES_EN_POT_N2_M10">Surfaces_Horti!$K$87</definedName>
    <definedName name="PROD_COUV_PLANTES_EN_POT_N2_M11">Surfaces_Horti!$L$87</definedName>
    <definedName name="PROD_COUV_PLANTES_EN_POT_N2_M12">Surfaces_Horti!$M$87</definedName>
    <definedName name="PROD_COUV_PLANTES_EN_POT_N2_MOY">Surfaces_Horti!$N$87</definedName>
    <definedName name="PROD_COUV_PLANTES_MASSIF_VIVACES_N_M01">Surfaces_Horti!$B$12</definedName>
    <definedName name="PROD_COUV_PLANTES_MASSIF_VIVACES_N_M02">Surfaces_Horti!$C$12</definedName>
    <definedName name="PROD_COUV_PLANTES_MASSIF_VIVACES_N_M03">Surfaces_Horti!$D$12</definedName>
    <definedName name="PROD_COUV_PLANTES_MASSIF_VIVACES_N_M04">Surfaces_Horti!$E$12</definedName>
    <definedName name="PROD_COUV_PLANTES_MASSIF_VIVACES_N_M05">Surfaces_Horti!$F$12</definedName>
    <definedName name="PROD_COUV_PLANTES_MASSIF_VIVACES_N_M06">Surfaces_Horti!$G$12</definedName>
    <definedName name="PROD_COUV_PLANTES_MASSIF_VIVACES_N_M07">Surfaces_Horti!$H$12</definedName>
    <definedName name="PROD_COUV_PLANTES_MASSIF_VIVACES_N_M08">Surfaces_Horti!$I$12</definedName>
    <definedName name="PROD_COUV_PLANTES_MASSIF_VIVACES_N_M09">Surfaces_Horti!$J$12</definedName>
    <definedName name="PROD_COUV_PLANTES_MASSIF_VIVACES_N_M10">Surfaces_Horti!$K$12</definedName>
    <definedName name="PROD_COUV_PLANTES_MASSIF_VIVACES_N_M11">Surfaces_Horti!$L$12</definedName>
    <definedName name="PROD_COUV_PLANTES_MASSIF_VIVACES_N_M12">Surfaces_Horti!$M$12</definedName>
    <definedName name="PROD_COUV_PLANTES_MASSIF_VIVACES_N_MOY">Surfaces_Horti!$N$12</definedName>
    <definedName name="PROD_COUV_PLANTES_MASSIF_VIVACES_N1_M01">Surfaces_Horti!$B$49</definedName>
    <definedName name="PROD_COUV_PLANTES_MASSIF_VIVACES_N1_M02">Surfaces_Horti!$C$49</definedName>
    <definedName name="PROD_COUV_PLANTES_MASSIF_VIVACES_N1_M03">Surfaces_Horti!$D$49</definedName>
    <definedName name="PROD_COUV_PLANTES_MASSIF_VIVACES_N1_M04">Surfaces_Horti!$E$49</definedName>
    <definedName name="PROD_COUV_PLANTES_MASSIF_VIVACES_N1_M05">Surfaces_Horti!$F$49</definedName>
    <definedName name="PROD_COUV_PLANTES_MASSIF_VIVACES_N1_M06">Surfaces_Horti!$G$49</definedName>
    <definedName name="PROD_COUV_PLANTES_MASSIF_VIVACES_N1_M07">Surfaces_Horti!$H$49</definedName>
    <definedName name="PROD_COUV_PLANTES_MASSIF_VIVACES_N1_M08">Surfaces_Horti!$I$49</definedName>
    <definedName name="PROD_COUV_PLANTES_MASSIF_VIVACES_N1_M09">Surfaces_Horti!$J$49</definedName>
    <definedName name="PROD_COUV_PLANTES_MASSIF_VIVACES_N1_M10">Surfaces_Horti!$K$49</definedName>
    <definedName name="PROD_COUV_PLANTES_MASSIF_VIVACES_N1_M11">Surfaces_Horti!$L$49</definedName>
    <definedName name="PROD_COUV_PLANTES_MASSIF_VIVACES_N1_M12">Surfaces_Horti!$M$49</definedName>
    <definedName name="PROD_COUV_PLANTES_MASSIF_VIVACES_N1_MOY">Surfaces_Horti!$N$49</definedName>
    <definedName name="PROD_COUV_PLANTES_MASSIF_VIVACES_N2_M01">Surfaces_Horti!$B$86</definedName>
    <definedName name="PROD_COUV_PLANTES_MASSIF_VIVACES_N2_M02">Surfaces_Horti!$C$86</definedName>
    <definedName name="PROD_COUV_PLANTES_MASSIF_VIVACES_N2_M03">Surfaces_Horti!$D$86</definedName>
    <definedName name="PROD_COUV_PLANTES_MASSIF_VIVACES_N2_M04">Surfaces_Horti!$E$86</definedName>
    <definedName name="PROD_COUV_PLANTES_MASSIF_VIVACES_N2_M05">Surfaces_Horti!$F$86</definedName>
    <definedName name="PROD_COUV_PLANTES_MASSIF_VIVACES_N2_M06">Surfaces_Horti!$G$86</definedName>
    <definedName name="PROD_COUV_PLANTES_MASSIF_VIVACES_N2_M07">Surfaces_Horti!$H$86</definedName>
    <definedName name="PROD_COUV_PLANTES_MASSIF_VIVACES_N2_M08">Surfaces_Horti!$I$86</definedName>
    <definedName name="PROD_COUV_PLANTES_MASSIF_VIVACES_N2_M09">Surfaces_Horti!$J$86</definedName>
    <definedName name="PROD_COUV_PLANTES_MASSIF_VIVACES_N2_M10">Surfaces_Horti!$K$86</definedName>
    <definedName name="PROD_COUV_PLANTES_MASSIF_VIVACES_N2_M11">Surfaces_Horti!$L$86</definedName>
    <definedName name="PROD_COUV_PLANTES_MASSIF_VIVACES_N2_M12">Surfaces_Horti!$M$86</definedName>
    <definedName name="PROD_COUV_PLANTES_MASSIF_VIVACES_N2_MOY">Surfaces_Horti!$N$86</definedName>
    <definedName name="PROD_COUV_PLANTES_MED_EN_POT_N_M01">Surfaces_Horti!$B$15</definedName>
    <definedName name="PROD_COUV_PLANTES_MED_EN_POT_N_M02">Surfaces_Horti!$C$15</definedName>
    <definedName name="PROD_COUV_PLANTES_MED_EN_POT_N_M03">Surfaces_Horti!$D$15</definedName>
    <definedName name="PROD_COUV_PLANTES_MED_EN_POT_N_M04">Surfaces_Horti!$E$15</definedName>
    <definedName name="PROD_COUV_PLANTES_MED_EN_POT_N_M05">Surfaces_Horti!$F$15</definedName>
    <definedName name="PROD_COUV_PLANTES_MED_EN_POT_N_M06">Surfaces_Horti!$G$15</definedName>
    <definedName name="PROD_COUV_PLANTES_MED_EN_POT_N_M07">Surfaces_Horti!$H$15</definedName>
    <definedName name="PROD_COUV_PLANTES_MED_EN_POT_N_M08">Surfaces_Horti!$I$15</definedName>
    <definedName name="PROD_COUV_PLANTES_MED_EN_POT_N_M09">Surfaces_Horti!$J$15</definedName>
    <definedName name="PROD_COUV_PLANTES_MED_EN_POT_N_M10">Surfaces_Horti!$K$15</definedName>
    <definedName name="PROD_COUV_PLANTES_MED_EN_POT_N_M11">Surfaces_Horti!$L$15</definedName>
    <definedName name="PROD_COUV_PLANTES_MED_EN_POT_N_M12">Surfaces_Horti!$M$15</definedName>
    <definedName name="PROD_COUV_PLANTES_MED_EN_POT_N_MOY">Surfaces_Horti!$N$15</definedName>
    <definedName name="PROD_COUV_PLANTES_MED_EN_POT_N1_M01">Surfaces_Horti!$B$52</definedName>
    <definedName name="PROD_COUV_PLANTES_MED_EN_POT_N1_M02">Surfaces_Horti!$C$52</definedName>
    <definedName name="PROD_COUV_PLANTES_MED_EN_POT_N1_M03">Surfaces_Horti!$D$52</definedName>
    <definedName name="PROD_COUV_PLANTES_MED_EN_POT_N1_M04">Surfaces_Horti!$E$52</definedName>
    <definedName name="PROD_COUV_PLANTES_MED_EN_POT_N1_M05">Surfaces_Horti!$F$52</definedName>
    <definedName name="PROD_COUV_PLANTES_MED_EN_POT_N1_M06">Surfaces_Horti!$G$52</definedName>
    <definedName name="PROD_COUV_PLANTES_MED_EN_POT_N1_M07">Surfaces_Horti!$H$52</definedName>
    <definedName name="PROD_COUV_PLANTES_MED_EN_POT_N1_M08">Surfaces_Horti!$I$52</definedName>
    <definedName name="PROD_COUV_PLANTES_MED_EN_POT_N1_M09">Surfaces_Horti!$J$52</definedName>
    <definedName name="PROD_COUV_PLANTES_MED_EN_POT_N1_M10">Surfaces_Horti!$K$52</definedName>
    <definedName name="PROD_COUV_PLANTES_MED_EN_POT_N1_M11">Surfaces_Horti!$L$52</definedName>
    <definedName name="PROD_COUV_PLANTES_MED_EN_POT_N1_M12">Surfaces_Horti!$M$52</definedName>
    <definedName name="PROD_COUV_PLANTES_MED_EN_POT_N1_MOY">Surfaces_Horti!$N$52</definedName>
    <definedName name="PROD_COUV_PLANTES_MED_EN_POT_N2_M01">Surfaces_Horti!$B$89</definedName>
    <definedName name="PROD_COUV_PLANTES_MED_EN_POT_N2_M02">Surfaces_Horti!$C$89</definedName>
    <definedName name="PROD_COUV_PLANTES_MED_EN_POT_N2_M03">Surfaces_Horti!$D$89</definedName>
    <definedName name="PROD_COUV_PLANTES_MED_EN_POT_N2_M04">Surfaces_Horti!$E$89</definedName>
    <definedName name="PROD_COUV_PLANTES_MED_EN_POT_N2_M05">Surfaces_Horti!$F$89</definedName>
    <definedName name="PROD_COUV_PLANTES_MED_EN_POT_N2_M06">Surfaces_Horti!$G$89</definedName>
    <definedName name="PROD_COUV_PLANTES_MED_EN_POT_N2_M07">Surfaces_Horti!$H$89</definedName>
    <definedName name="PROD_COUV_PLANTES_MED_EN_POT_N2_M08">Surfaces_Horti!$I$89</definedName>
    <definedName name="PROD_COUV_PLANTES_MED_EN_POT_N2_M09">Surfaces_Horti!$J$89</definedName>
    <definedName name="PROD_COUV_PLANTES_MED_EN_POT_N2_M10">Surfaces_Horti!$K$89</definedName>
    <definedName name="PROD_COUV_PLANTES_MED_EN_POT_N2_M11">Surfaces_Horti!$L$89</definedName>
    <definedName name="PROD_COUV_PLANTES_MED_EN_POT_N2_M12">Surfaces_Horti!$M$89</definedName>
    <definedName name="PROD_COUV_PLANTES_MED_EN_POT_N2_MOY">Surfaces_Horti!$N$89</definedName>
    <definedName name="PROD_EXT_ARBRES_ARBUSTES_EN_POT_N_M01">Surfaces_Horti!$B$25</definedName>
    <definedName name="PROD_EXT_ARBRES_ARBUSTES_EN_POT_N_M02">Surfaces_Horti!$C$25</definedName>
    <definedName name="PROD_EXT_ARBRES_ARBUSTES_EN_POT_N_M03">Surfaces_Horti!$D$25</definedName>
    <definedName name="PROD_EXT_ARBRES_ARBUSTES_EN_POT_N_M04">Surfaces_Horti!$E$25</definedName>
    <definedName name="PROD_EXT_ARBRES_ARBUSTES_EN_POT_N_M05">Surfaces_Horti!$F$25</definedName>
    <definedName name="PROD_EXT_ARBRES_ARBUSTES_EN_POT_N_M06">Surfaces_Horti!$G$25</definedName>
    <definedName name="PROD_EXT_ARBRES_ARBUSTES_EN_POT_N_M07">Surfaces_Horti!$H$25</definedName>
    <definedName name="PROD_EXT_ARBRES_ARBUSTES_EN_POT_N_M08">Surfaces_Horti!$I$25</definedName>
    <definedName name="PROD_EXT_ARBRES_ARBUSTES_EN_POT_N_M09">Surfaces_Horti!$J$25</definedName>
    <definedName name="PROD_EXT_ARBRES_ARBUSTES_EN_POT_N_M10">Surfaces_Horti!$K$25</definedName>
    <definedName name="PROD_EXT_ARBRES_ARBUSTES_EN_POT_N_M11">Surfaces_Horti!$L$25</definedName>
    <definedName name="PROD_EXT_ARBRES_ARBUSTES_EN_POT_N_M12">Surfaces_Horti!$M$25</definedName>
    <definedName name="PROD_EXT_ARBRES_ARBUSTES_EN_POT_N_MOY">Surfaces_Horti!$N$25</definedName>
    <definedName name="PROD_EXT_ARBRES_ARBUSTES_EN_POT_N1_M01">Surfaces_Horti!$B$62</definedName>
    <definedName name="PROD_EXT_ARBRES_ARBUSTES_EN_POT_N1_M02">Surfaces_Horti!$C$62</definedName>
    <definedName name="PROD_EXT_ARBRES_ARBUSTES_EN_POT_N1_M03">Surfaces_Horti!$D$62</definedName>
    <definedName name="PROD_EXT_ARBRES_ARBUSTES_EN_POT_N1_M04">Surfaces_Horti!$E$62</definedName>
    <definedName name="PROD_EXT_ARBRES_ARBUSTES_EN_POT_N1_M05">Surfaces_Horti!$F$62</definedName>
    <definedName name="PROD_EXT_ARBRES_ARBUSTES_EN_POT_N1_M06">Surfaces_Horti!$G$62</definedName>
    <definedName name="PROD_EXT_ARBRES_ARBUSTES_EN_POT_N1_M07">Surfaces_Horti!$H$62</definedName>
    <definedName name="PROD_EXT_ARBRES_ARBUSTES_EN_POT_N1_M08">Surfaces_Horti!$I$62</definedName>
    <definedName name="PROD_EXT_ARBRES_ARBUSTES_EN_POT_N1_M09">Surfaces_Horti!$J$62</definedName>
    <definedName name="PROD_EXT_ARBRES_ARBUSTES_EN_POT_N1_M10">Surfaces_Horti!$K$62</definedName>
    <definedName name="PROD_EXT_ARBRES_ARBUSTES_EN_POT_N1_M11">Surfaces_Horti!$L$62</definedName>
    <definedName name="PROD_EXT_ARBRES_ARBUSTES_EN_POT_N1_M12">Surfaces_Horti!$M$62</definedName>
    <definedName name="PROD_EXT_ARBRES_ARBUSTES_EN_POT_N1_MOY">Surfaces_Horti!$N$62</definedName>
    <definedName name="PROD_EXT_ARBRES_ARBUSTES_EN_POT_N2_M01">Surfaces_Horti!$B$99</definedName>
    <definedName name="PROD_EXT_ARBRES_ARBUSTES_EN_POT_N2_M02">Surfaces_Horti!$C$99</definedName>
    <definedName name="PROD_EXT_ARBRES_ARBUSTES_EN_POT_N2_M03">Surfaces_Horti!$D$99</definedName>
    <definedName name="PROD_EXT_ARBRES_ARBUSTES_EN_POT_N2_M04">Surfaces_Horti!$E$99</definedName>
    <definedName name="PROD_EXT_ARBRES_ARBUSTES_EN_POT_N2_M05">Surfaces_Horti!$F$99</definedName>
    <definedName name="PROD_EXT_ARBRES_ARBUSTES_EN_POT_N2_M06">Surfaces_Horti!$G$99</definedName>
    <definedName name="PROD_EXT_ARBRES_ARBUSTES_EN_POT_N2_M07">Surfaces_Horti!$H$99</definedName>
    <definedName name="PROD_EXT_ARBRES_ARBUSTES_EN_POT_N2_M08">Surfaces_Horti!$I$99</definedName>
    <definedName name="PROD_EXT_ARBRES_ARBUSTES_EN_POT_N2_M09">Surfaces_Horti!$J$99</definedName>
    <definedName name="PROD_EXT_ARBRES_ARBUSTES_EN_POT_N2_M10">Surfaces_Horti!$K$99</definedName>
    <definedName name="PROD_EXT_ARBRES_ARBUSTES_EN_POT_N2_M11">Surfaces_Horti!$L$99</definedName>
    <definedName name="PROD_EXT_ARBRES_ARBUSTES_EN_POT_N2_M12">Surfaces_Horti!$M$99</definedName>
    <definedName name="PROD_EXT_ARBRES_ARBUSTES_EN_POT_N2_MOY">Surfaces_Horti!$N$99</definedName>
    <definedName name="PROD_EXT_ARBRES_PLEINE_TERRE_N_M01">Surfaces_Horti!$B$28</definedName>
    <definedName name="PROD_EXT_ARBRES_PLEINE_TERRE_N_M02">Surfaces_Horti!$C$28</definedName>
    <definedName name="PROD_EXT_ARBRES_PLEINE_TERRE_N_M03">Surfaces_Horti!$D$28</definedName>
    <definedName name="PROD_EXT_ARBRES_PLEINE_TERRE_N_M04">Surfaces_Horti!$E$28</definedName>
    <definedName name="PROD_EXT_ARBRES_PLEINE_TERRE_N_M05">Surfaces_Horti!$F$28</definedName>
    <definedName name="PROD_EXT_ARBRES_PLEINE_TERRE_N_M06">Surfaces_Horti!$G$28</definedName>
    <definedName name="PROD_EXT_ARBRES_PLEINE_TERRE_N_M07">Surfaces_Horti!$H$28</definedName>
    <definedName name="PROD_EXT_ARBRES_PLEINE_TERRE_N_M08">Surfaces_Horti!$I$28</definedName>
    <definedName name="PROD_EXT_ARBRES_PLEINE_TERRE_N_M09">Surfaces_Horti!$J$28</definedName>
    <definedName name="PROD_EXT_ARBRES_PLEINE_TERRE_N_M10">Surfaces_Horti!$K$28</definedName>
    <definedName name="PROD_EXT_ARBRES_PLEINE_TERRE_N_M11">Surfaces_Horti!$L$28</definedName>
    <definedName name="PROD_EXT_ARBRES_PLEINE_TERRE_N_M12">Surfaces_Horti!$M$28</definedName>
    <definedName name="PROD_EXT_ARBRES_PLEINE_TERRE_N_MOY">Surfaces_Horti!$N$28</definedName>
    <definedName name="PROD_EXT_ARBRES_PLEINE_TERRE_N1_M01">Surfaces_Horti!$B$65</definedName>
    <definedName name="PROD_EXT_ARBRES_PLEINE_TERRE_N1_M02">Surfaces_Horti!$C$65</definedName>
    <definedName name="PROD_EXT_ARBRES_PLEINE_TERRE_N1_M03">Surfaces_Horti!$D$65</definedName>
    <definedName name="PROD_EXT_ARBRES_PLEINE_TERRE_N1_M04">Surfaces_Horti!$E$65</definedName>
    <definedName name="PROD_EXT_ARBRES_PLEINE_TERRE_N1_M05">Surfaces_Horti!$F$65</definedName>
    <definedName name="PROD_EXT_ARBRES_PLEINE_TERRE_N1_M06">Surfaces_Horti!$G$65</definedName>
    <definedName name="PROD_EXT_ARBRES_PLEINE_TERRE_N1_M07">Surfaces_Horti!$H$65</definedName>
    <definedName name="PROD_EXT_ARBRES_PLEINE_TERRE_N1_M08">Surfaces_Horti!$I$65</definedName>
    <definedName name="PROD_EXT_ARBRES_PLEINE_TERRE_N1_M09">Surfaces_Horti!$J$65</definedName>
    <definedName name="PROD_EXT_ARBRES_PLEINE_TERRE_N1_M10">Surfaces_Horti!$K$65</definedName>
    <definedName name="PROD_EXT_ARBRES_PLEINE_TERRE_N1_M11">Surfaces_Horti!$L$65</definedName>
    <definedName name="PROD_EXT_ARBRES_PLEINE_TERRE_N1_M12">Surfaces_Horti!$M$65</definedName>
    <definedName name="PROD_EXT_ARBRES_PLEINE_TERRE_N1_MOY">Surfaces_Horti!$N$65</definedName>
    <definedName name="PROD_EXT_ARBRES_PLEINE_TERRE_N2_M01">Surfaces_Horti!$B$102</definedName>
    <definedName name="PROD_EXT_ARBRES_PLEINE_TERRE_N2_M02">Surfaces_Horti!$C$102</definedName>
    <definedName name="PROD_EXT_ARBRES_PLEINE_TERRE_N2_M03">Surfaces_Horti!$D$102</definedName>
    <definedName name="PROD_EXT_ARBRES_PLEINE_TERRE_N2_M04">Surfaces_Horti!$E$102</definedName>
    <definedName name="PROD_EXT_ARBRES_PLEINE_TERRE_N2_M05">Surfaces_Horti!$F$102</definedName>
    <definedName name="PROD_EXT_ARBRES_PLEINE_TERRE_N2_M06">Surfaces_Horti!$G$102</definedName>
    <definedName name="PROD_EXT_ARBRES_PLEINE_TERRE_N2_M07">Surfaces_Horti!$H$102</definedName>
    <definedName name="PROD_EXT_ARBRES_PLEINE_TERRE_N2_M08">Surfaces_Horti!$I$102</definedName>
    <definedName name="PROD_EXT_ARBRES_PLEINE_TERRE_N2_M09">Surfaces_Horti!$J$102</definedName>
    <definedName name="PROD_EXT_ARBRES_PLEINE_TERRE_N2_M10">Surfaces_Horti!$K$102</definedName>
    <definedName name="PROD_EXT_ARBRES_PLEINE_TERRE_N2_M11">Surfaces_Horti!$L$102</definedName>
    <definedName name="PROD_EXT_ARBRES_PLEINE_TERRE_N2_M12">Surfaces_Horti!$M$102</definedName>
    <definedName name="PROD_EXT_ARBRES_PLEINE_TERRE_N2_MOY">Surfaces_Horti!$N$102</definedName>
    <definedName name="PROD_EXT_AUTRES_ARBRES_EN_POT_N_M01">Surfaces_Horti!$B$26</definedName>
    <definedName name="PROD_EXT_AUTRES_ARBRES_EN_POT_N_M02">Surfaces_Horti!$C$26</definedName>
    <definedName name="PROD_EXT_AUTRES_ARBRES_EN_POT_N_M03">Surfaces_Horti!$D$26</definedName>
    <definedName name="PROD_EXT_AUTRES_ARBRES_EN_POT_N_M04">Surfaces_Horti!$E$26</definedName>
    <definedName name="PROD_EXT_AUTRES_ARBRES_EN_POT_N_M05">Surfaces_Horti!$F$26</definedName>
    <definedName name="PROD_EXT_AUTRES_ARBRES_EN_POT_N_M06">Surfaces_Horti!$G$26</definedName>
    <definedName name="PROD_EXT_AUTRES_ARBRES_EN_POT_N_M07">Surfaces_Horti!$H$26</definedName>
    <definedName name="PROD_EXT_AUTRES_ARBRES_EN_POT_N_M08">Surfaces_Horti!$I$26</definedName>
    <definedName name="PROD_EXT_AUTRES_ARBRES_EN_POT_N_M09">Surfaces_Horti!$J$26</definedName>
    <definedName name="PROD_EXT_AUTRES_ARBRES_EN_POT_N_M10">Surfaces_Horti!$K$26</definedName>
    <definedName name="PROD_EXT_AUTRES_ARBRES_EN_POT_N_M11">Surfaces_Horti!$L$26</definedName>
    <definedName name="PROD_EXT_AUTRES_ARBRES_EN_POT_N_M12">Surfaces_Horti!$M$26</definedName>
    <definedName name="PROD_EXT_AUTRES_ARBRES_EN_POT_N_MOY">Surfaces_Horti!$N$26</definedName>
    <definedName name="PROD_EXT_AUTRES_ARBRES_EN_POT_N1_M01">Surfaces_Horti!$B$63</definedName>
    <definedName name="PROD_EXT_AUTRES_ARBRES_EN_POT_N1_M02">Surfaces_Horti!$C$63</definedName>
    <definedName name="PROD_EXT_AUTRES_ARBRES_EN_POT_N1_M03">Surfaces_Horti!$D$63</definedName>
    <definedName name="PROD_EXT_AUTRES_ARBRES_EN_POT_N1_M04">Surfaces_Horti!$E$63</definedName>
    <definedName name="PROD_EXT_AUTRES_ARBRES_EN_POT_N1_M05">Surfaces_Horti!$F$63</definedName>
    <definedName name="PROD_EXT_AUTRES_ARBRES_EN_POT_N1_M06">Surfaces_Horti!$G$63</definedName>
    <definedName name="PROD_EXT_AUTRES_ARBRES_EN_POT_N1_M07">Surfaces_Horti!$H$63</definedName>
    <definedName name="PROD_EXT_AUTRES_ARBRES_EN_POT_N1_M08">Surfaces_Horti!$I$63</definedName>
    <definedName name="PROD_EXT_AUTRES_ARBRES_EN_POT_N1_M09">Surfaces_Horti!$J$63</definedName>
    <definedName name="PROD_EXT_AUTRES_ARBRES_EN_POT_N1_M10">Surfaces_Horti!$K$63</definedName>
    <definedName name="PROD_EXT_AUTRES_ARBRES_EN_POT_N1_M11">Surfaces_Horti!$L$63</definedName>
    <definedName name="PROD_EXT_AUTRES_ARBRES_EN_POT_N1_M12">Surfaces_Horti!$M$63</definedName>
    <definedName name="PROD_EXT_AUTRES_ARBRES_EN_POT_N1_MOY">Surfaces_Horti!$N$63</definedName>
    <definedName name="PROD_EXT_AUTRES_ARBRES_EN_POT_N2_M01">Surfaces_Horti!$B$100</definedName>
    <definedName name="PROD_EXT_AUTRES_ARBRES_EN_POT_N2_M02">Surfaces_Horti!$C$100</definedName>
    <definedName name="PROD_EXT_AUTRES_ARBRES_EN_POT_N2_M03">Surfaces_Horti!$D$100</definedName>
    <definedName name="PROD_EXT_AUTRES_ARBRES_EN_POT_N2_M04">Surfaces_Horti!$E$100</definedName>
    <definedName name="PROD_EXT_AUTRES_ARBRES_EN_POT_N2_M05">Surfaces_Horti!$F$100</definedName>
    <definedName name="PROD_EXT_AUTRES_ARBRES_EN_POT_N2_M06">Surfaces_Horti!$G$100</definedName>
    <definedName name="PROD_EXT_AUTRES_ARBRES_EN_POT_N2_M07">Surfaces_Horti!$H$100</definedName>
    <definedName name="PROD_EXT_AUTRES_ARBRES_EN_POT_N2_M08">Surfaces_Horti!$I$100</definedName>
    <definedName name="PROD_EXT_AUTRES_ARBRES_EN_POT_N2_M09">Surfaces_Horti!$J$100</definedName>
    <definedName name="PROD_EXT_AUTRES_ARBRES_EN_POT_N2_M10">Surfaces_Horti!$K$100</definedName>
    <definedName name="PROD_EXT_AUTRES_ARBRES_EN_POT_N2_M11">Surfaces_Horti!$L$100</definedName>
    <definedName name="PROD_EXT_AUTRES_ARBRES_EN_POT_N2_M12">Surfaces_Horti!$M$100</definedName>
    <definedName name="PROD_EXT_AUTRES_ARBRES_EN_POT_N2_MOY">Surfaces_Horti!$N$100</definedName>
    <definedName name="PROD_EXT_AUTRES_CULTURES_PLEINE_TERRE_N_M01">Surfaces_Horti!$B$33</definedName>
    <definedName name="PROD_EXT_AUTRES_CULTURES_PLEINE_TERRE_N_M02">Surfaces_Horti!$C$33</definedName>
    <definedName name="PROD_EXT_AUTRES_CULTURES_PLEINE_TERRE_N_M03">Surfaces_Horti!$D$33</definedName>
    <definedName name="PROD_EXT_AUTRES_CULTURES_PLEINE_TERRE_N_M04">Surfaces_Horti!$E$33</definedName>
    <definedName name="PROD_EXT_AUTRES_CULTURES_PLEINE_TERRE_N_M05">Surfaces_Horti!$F$33</definedName>
    <definedName name="PROD_EXT_AUTRES_CULTURES_PLEINE_TERRE_N_M06">Surfaces_Horti!$G$33</definedName>
    <definedName name="PROD_EXT_AUTRES_CULTURES_PLEINE_TERRE_N_M07">Surfaces_Horti!$H$33</definedName>
    <definedName name="PROD_EXT_AUTRES_CULTURES_PLEINE_TERRE_N_M08">Surfaces_Horti!$I$33</definedName>
    <definedName name="PROD_EXT_AUTRES_CULTURES_PLEINE_TERRE_N_M09">Surfaces_Horti!$J$33</definedName>
    <definedName name="PROD_EXT_AUTRES_CULTURES_PLEINE_TERRE_N_M10">Surfaces_Horti!$K$33</definedName>
    <definedName name="PROD_EXT_AUTRES_CULTURES_PLEINE_TERRE_N_M11">Surfaces_Horti!$L$33</definedName>
    <definedName name="PROD_EXT_AUTRES_CULTURES_PLEINE_TERRE_N_M12">Surfaces_Horti!$M$33</definedName>
    <definedName name="PROD_EXT_AUTRES_CULTURES_PLEINE_TERRE_N_MOY">Surfaces_Horti!$N$33</definedName>
    <definedName name="PROD_EXT_AUTRES_CULTURES_PLEINE_TERRE_N1_M01">Surfaces_Horti!$B$70</definedName>
    <definedName name="PROD_EXT_AUTRES_CULTURES_PLEINE_TERRE_N1_M02">Surfaces_Horti!$C$70</definedName>
    <definedName name="PROD_EXT_AUTRES_CULTURES_PLEINE_TERRE_N1_M03">Surfaces_Horti!$D$70</definedName>
    <definedName name="PROD_EXT_AUTRES_CULTURES_PLEINE_TERRE_N1_M04">Surfaces_Horti!$E$70</definedName>
    <definedName name="PROD_EXT_AUTRES_CULTURES_PLEINE_TERRE_N1_M05">Surfaces_Horti!$F$70</definedName>
    <definedName name="PROD_EXT_AUTRES_CULTURES_PLEINE_TERRE_N1_M06">Surfaces_Horti!$G$70</definedName>
    <definedName name="PROD_EXT_AUTRES_CULTURES_PLEINE_TERRE_N1_M07">Surfaces_Horti!$H$70</definedName>
    <definedName name="PROD_EXT_AUTRES_CULTURES_PLEINE_TERRE_N1_M08">Surfaces_Horti!$I$70</definedName>
    <definedName name="PROD_EXT_AUTRES_CULTURES_PLEINE_TERRE_N1_M09">Surfaces_Horti!$J$70</definedName>
    <definedName name="PROD_EXT_AUTRES_CULTURES_PLEINE_TERRE_N1_M10">Surfaces_Horti!$K$70</definedName>
    <definedName name="PROD_EXT_AUTRES_CULTURES_PLEINE_TERRE_N1_M11">Surfaces_Horti!$L$70</definedName>
    <definedName name="PROD_EXT_AUTRES_CULTURES_PLEINE_TERRE_N1_M12">Surfaces_Horti!$M$70</definedName>
    <definedName name="PROD_EXT_AUTRES_CULTURES_PLEINE_TERRE_N1_MOY">Surfaces_Horti!$N$70</definedName>
    <definedName name="PROD_EXT_AUTRES_CULTURES_PLEINE_TERRE_N2_M01">Surfaces_Horti!$B$107</definedName>
    <definedName name="PROD_EXT_AUTRES_CULTURES_PLEINE_TERRE_N2_M02">Surfaces_Horti!$C$107</definedName>
    <definedName name="PROD_EXT_AUTRES_CULTURES_PLEINE_TERRE_N2_M03">Surfaces_Horti!$D$107</definedName>
    <definedName name="PROD_EXT_AUTRES_CULTURES_PLEINE_TERRE_N2_M04">Surfaces_Horti!$E$107</definedName>
    <definedName name="PROD_EXT_AUTRES_CULTURES_PLEINE_TERRE_N2_M05">Surfaces_Horti!$F$107</definedName>
    <definedName name="PROD_EXT_AUTRES_CULTURES_PLEINE_TERRE_N2_M06">Surfaces_Horti!$G$107</definedName>
    <definedName name="PROD_EXT_AUTRES_CULTURES_PLEINE_TERRE_N2_M07">Surfaces_Horti!$H$107</definedName>
    <definedName name="PROD_EXT_AUTRES_CULTURES_PLEINE_TERRE_N2_M08">Surfaces_Horti!$I$107</definedName>
    <definedName name="PROD_EXT_AUTRES_CULTURES_PLEINE_TERRE_N2_M09">Surfaces_Horti!$J$107</definedName>
    <definedName name="PROD_EXT_AUTRES_CULTURES_PLEINE_TERRE_N2_M10">Surfaces_Horti!$K$107</definedName>
    <definedName name="PROD_EXT_AUTRES_CULTURES_PLEINE_TERRE_N2_M11">Surfaces_Horti!$L$107</definedName>
    <definedName name="PROD_EXT_AUTRES_CULTURES_PLEINE_TERRE_N2_M12">Surfaces_Horti!$M$107</definedName>
    <definedName name="PROD_EXT_AUTRES_CULTURES_PLEINE_TERRE_N2_MOY">Surfaces_Horti!$N$107</definedName>
    <definedName name="PROD_EXT_BULBES_PLEINE_TERRE_N_M01">Surfaces_Horti!$B$32</definedName>
    <definedName name="PROD_EXT_BULBES_PLEINE_TERRE_N_M02">Surfaces_Horti!$C$32</definedName>
    <definedName name="PROD_EXT_BULBES_PLEINE_TERRE_N_M03">Surfaces_Horti!$D$32</definedName>
    <definedName name="PROD_EXT_BULBES_PLEINE_TERRE_N_M04">Surfaces_Horti!$E$32</definedName>
    <definedName name="PROD_EXT_BULBES_PLEINE_TERRE_N_M05">Surfaces_Horti!$F$32</definedName>
    <definedName name="PROD_EXT_BULBES_PLEINE_TERRE_N_M06">Surfaces_Horti!$G$32</definedName>
    <definedName name="PROD_EXT_BULBES_PLEINE_TERRE_N_M07">Surfaces_Horti!$H$32</definedName>
    <definedName name="PROD_EXT_BULBES_PLEINE_TERRE_N_M08">Surfaces_Horti!$I$32</definedName>
    <definedName name="PROD_EXT_BULBES_PLEINE_TERRE_N_M09">Surfaces_Horti!$J$32</definedName>
    <definedName name="PROD_EXT_BULBES_PLEINE_TERRE_N_M10">Surfaces_Horti!$K$32</definedName>
    <definedName name="PROD_EXT_BULBES_PLEINE_TERRE_N_M11">Surfaces_Horti!$L$32</definedName>
    <definedName name="PROD_EXT_BULBES_PLEINE_TERRE_N_M12">Surfaces_Horti!$M$32</definedName>
    <definedName name="PROD_EXT_BULBES_PLEINE_TERRE_N_MOY">Surfaces_Horti!$N$32</definedName>
    <definedName name="PROD_EXT_BULBES_PLEINE_TERRE_N1_M01">Surfaces_Horti!$B$69</definedName>
    <definedName name="PROD_EXT_BULBES_PLEINE_TERRE_N1_M02">Surfaces_Horti!$C$69</definedName>
    <definedName name="PROD_EXT_BULBES_PLEINE_TERRE_N1_M03">Surfaces_Horti!$D$69</definedName>
    <definedName name="PROD_EXT_BULBES_PLEINE_TERRE_N1_M04">Surfaces_Horti!$E$69</definedName>
    <definedName name="PROD_EXT_BULBES_PLEINE_TERRE_N1_M05">Surfaces_Horti!$F$69</definedName>
    <definedName name="PROD_EXT_BULBES_PLEINE_TERRE_N1_M06">Surfaces_Horti!$G$69</definedName>
    <definedName name="PROD_EXT_BULBES_PLEINE_TERRE_N1_M07">Surfaces_Horti!$H$69</definedName>
    <definedName name="PROD_EXT_BULBES_PLEINE_TERRE_N1_M08">Surfaces_Horti!$I$69</definedName>
    <definedName name="PROD_EXT_BULBES_PLEINE_TERRE_N1_M09">Surfaces_Horti!$J$69</definedName>
    <definedName name="PROD_EXT_BULBES_PLEINE_TERRE_N1_M10">Surfaces_Horti!$K$69</definedName>
    <definedName name="PROD_EXT_BULBES_PLEINE_TERRE_N1_M11">Surfaces_Horti!$L$69</definedName>
    <definedName name="PROD_EXT_BULBES_PLEINE_TERRE_N1_M12">Surfaces_Horti!$M$69</definedName>
    <definedName name="PROD_EXT_BULBES_PLEINE_TERRE_N1_MOY">Surfaces_Horti!$N$69</definedName>
    <definedName name="PROD_EXT_BULBES_PLEINE_TERRE_N2_M01">Surfaces_Horti!$B$106</definedName>
    <definedName name="PROD_EXT_BULBES_PLEINE_TERRE_N2_M02">Surfaces_Horti!$C$106</definedName>
    <definedName name="PROD_EXT_BULBES_PLEINE_TERRE_N2_M03">Surfaces_Horti!$D$106</definedName>
    <definedName name="PROD_EXT_BULBES_PLEINE_TERRE_N2_M04">Surfaces_Horti!$E$106</definedName>
    <definedName name="PROD_EXT_BULBES_PLEINE_TERRE_N2_M05">Surfaces_Horti!$F$106</definedName>
    <definedName name="PROD_EXT_BULBES_PLEINE_TERRE_N2_M06">Surfaces_Horti!$G$106</definedName>
    <definedName name="PROD_EXT_BULBES_PLEINE_TERRE_N2_M07">Surfaces_Horti!$H$106</definedName>
    <definedName name="PROD_EXT_BULBES_PLEINE_TERRE_N2_M08">Surfaces_Horti!$I$106</definedName>
    <definedName name="PROD_EXT_BULBES_PLEINE_TERRE_N2_M09">Surfaces_Horti!$J$106</definedName>
    <definedName name="PROD_EXT_BULBES_PLEINE_TERRE_N2_M10">Surfaces_Horti!$K$106</definedName>
    <definedName name="PROD_EXT_BULBES_PLEINE_TERRE_N2_M11">Surfaces_Horti!$L$106</definedName>
    <definedName name="PROD_EXT_BULBES_PLEINE_TERRE_N2_M12">Surfaces_Horti!$M$106</definedName>
    <definedName name="PROD_EXT_BULBES_PLEINE_TERRE_N2_MOY">Surfaces_Horti!$N$106</definedName>
    <definedName name="PROD_EXT_CHRYSANTHEME_EN_POT_N_M01">Surfaces_Horti!$B$23</definedName>
    <definedName name="PROD_EXT_CHRYSANTHEME_EN_POT_N_M02">Surfaces_Horti!$C$23</definedName>
    <definedName name="PROD_EXT_CHRYSANTHEME_EN_POT_N_M03">Surfaces_Horti!$D$23</definedName>
    <definedName name="PROD_EXT_CHRYSANTHEME_EN_POT_N_M04">Surfaces_Horti!$E$23</definedName>
    <definedName name="PROD_EXT_CHRYSANTHEME_EN_POT_N_M05">Surfaces_Horti!$F$23</definedName>
    <definedName name="PROD_EXT_CHRYSANTHEME_EN_POT_N_M06">Surfaces_Horti!$G$23</definedName>
    <definedName name="PROD_EXT_CHRYSANTHEME_EN_POT_N_M07">Surfaces_Horti!$H$23</definedName>
    <definedName name="PROD_EXT_CHRYSANTHEME_EN_POT_N_M08">Surfaces_Horti!$I$23</definedName>
    <definedName name="PROD_EXT_CHRYSANTHEME_EN_POT_N_M09">Surfaces_Horti!$J$23</definedName>
    <definedName name="PROD_EXT_CHRYSANTHEME_EN_POT_N_M10">Surfaces_Horti!$K$23</definedName>
    <definedName name="PROD_EXT_CHRYSANTHEME_EN_POT_N_M11">Surfaces_Horti!$L$23</definedName>
    <definedName name="PROD_EXT_CHRYSANTHEME_EN_POT_N_M12">Surfaces_Horti!$M$23</definedName>
    <definedName name="PROD_EXT_CHRYSANTHEME_EN_POT_N_MOY">Surfaces_Horti!$N$23</definedName>
    <definedName name="PROD_EXT_CHRYSANTHEME_EN_POT_N1_M01">Surfaces_Horti!$B$60</definedName>
    <definedName name="PROD_EXT_CHRYSANTHEME_EN_POT_N1_M02">Surfaces_Horti!$C$60</definedName>
    <definedName name="PROD_EXT_CHRYSANTHEME_EN_POT_N1_M03">Surfaces_Horti!$D$60</definedName>
    <definedName name="PROD_EXT_CHRYSANTHEME_EN_POT_N1_M04">Surfaces_Horti!$E$60</definedName>
    <definedName name="PROD_EXT_CHRYSANTHEME_EN_POT_N1_M05">Surfaces_Horti!$F$60</definedName>
    <definedName name="PROD_EXT_CHRYSANTHEME_EN_POT_N1_M06">Surfaces_Horti!$G$60</definedName>
    <definedName name="PROD_EXT_CHRYSANTHEME_EN_POT_N1_M07">Surfaces_Horti!$H$60</definedName>
    <definedName name="PROD_EXT_CHRYSANTHEME_EN_POT_N1_M08">Surfaces_Horti!$I$60</definedName>
    <definedName name="PROD_EXT_CHRYSANTHEME_EN_POT_N1_M09">Surfaces_Horti!$J$60</definedName>
    <definedName name="PROD_EXT_CHRYSANTHEME_EN_POT_N1_M10">Surfaces_Horti!$K$60</definedName>
    <definedName name="PROD_EXT_CHRYSANTHEME_EN_POT_N1_M11">Surfaces_Horti!$L$60</definedName>
    <definedName name="PROD_EXT_CHRYSANTHEME_EN_POT_N1_M12">Surfaces_Horti!$M$60</definedName>
    <definedName name="PROD_EXT_CHRYSANTHEME_EN_POT_N1_MOY">Surfaces_Horti!$N$60</definedName>
    <definedName name="PROD_EXT_CHRYSANTHEME_EN_POT_N2_M01">Surfaces_Horti!$B$97</definedName>
    <definedName name="PROD_EXT_CHRYSANTHEME_EN_POT_N2_M02">Surfaces_Horti!$C$97</definedName>
    <definedName name="PROD_EXT_CHRYSANTHEME_EN_POT_N2_M03">Surfaces_Horti!$D$97</definedName>
    <definedName name="PROD_EXT_CHRYSANTHEME_EN_POT_N2_M04">Surfaces_Horti!$E$97</definedName>
    <definedName name="PROD_EXT_CHRYSANTHEME_EN_POT_N2_M05">Surfaces_Horti!$F$97</definedName>
    <definedName name="PROD_EXT_CHRYSANTHEME_EN_POT_N2_M06">Surfaces_Horti!$G$97</definedName>
    <definedName name="PROD_EXT_CHRYSANTHEME_EN_POT_N2_M07">Surfaces_Horti!$H$97</definedName>
    <definedName name="PROD_EXT_CHRYSANTHEME_EN_POT_N2_M08">Surfaces_Horti!$I$97</definedName>
    <definedName name="PROD_EXT_CHRYSANTHEME_EN_POT_N2_M09">Surfaces_Horti!$J$97</definedName>
    <definedName name="PROD_EXT_CHRYSANTHEME_EN_POT_N2_M10">Surfaces_Horti!$K$97</definedName>
    <definedName name="PROD_EXT_CHRYSANTHEME_EN_POT_N2_M11">Surfaces_Horti!$L$97</definedName>
    <definedName name="PROD_EXT_CHRYSANTHEME_EN_POT_N2_M12">Surfaces_Horti!$M$97</definedName>
    <definedName name="PROD_EXT_CHRYSANTHEME_EN_POT_N2_MOY">Surfaces_Horti!$N$97</definedName>
    <definedName name="PROD_EXT_FLEURS_ETE_PLEINE_TERRE_N_M01">Surfaces_Horti!$B$31</definedName>
    <definedName name="PROD_EXT_FLEURS_ETE_PLEINE_TERRE_N_M02">Surfaces_Horti!$C$31</definedName>
    <definedName name="PROD_EXT_FLEURS_ETE_PLEINE_TERRE_N_M03">Surfaces_Horti!$D$31</definedName>
    <definedName name="PROD_EXT_FLEURS_ETE_PLEINE_TERRE_N_M04">Surfaces_Horti!$E$31</definedName>
    <definedName name="PROD_EXT_FLEURS_ETE_PLEINE_TERRE_N_M05">Surfaces_Horti!$F$31</definedName>
    <definedName name="PROD_EXT_FLEURS_ETE_PLEINE_TERRE_N_M06">Surfaces_Horti!$G$31</definedName>
    <definedName name="PROD_EXT_FLEURS_ETE_PLEINE_TERRE_N_M07">Surfaces_Horti!$H$31</definedName>
    <definedName name="PROD_EXT_FLEURS_ETE_PLEINE_TERRE_N_M08">Surfaces_Horti!$I$31</definedName>
    <definedName name="PROD_EXT_FLEURS_ETE_PLEINE_TERRE_N_M09">Surfaces_Horti!$J$31</definedName>
    <definedName name="PROD_EXT_FLEURS_ETE_PLEINE_TERRE_N_M10">Surfaces_Horti!$K$31</definedName>
    <definedName name="PROD_EXT_FLEURS_ETE_PLEINE_TERRE_N_M11">Surfaces_Horti!$L$31</definedName>
    <definedName name="PROD_EXT_FLEURS_ETE_PLEINE_TERRE_N_M12">Surfaces_Horti!$M$31</definedName>
    <definedName name="PROD_EXT_FLEURS_ETE_PLEINE_TERRE_N_MOY">Surfaces_Horti!$N$31</definedName>
    <definedName name="PROD_EXT_FLEURS_ETE_PLEINE_TERRE_N1_M01">Surfaces_Horti!$B$68</definedName>
    <definedName name="PROD_EXT_FLEURS_ETE_PLEINE_TERRE_N1_M02">Surfaces_Horti!$C$68</definedName>
    <definedName name="PROD_EXT_FLEURS_ETE_PLEINE_TERRE_N1_M03">Surfaces_Horti!$D$68</definedName>
    <definedName name="PROD_EXT_FLEURS_ETE_PLEINE_TERRE_N1_M04">Surfaces_Horti!$E$68</definedName>
    <definedName name="PROD_EXT_FLEURS_ETE_PLEINE_TERRE_N1_M05">Surfaces_Horti!$F$68</definedName>
    <definedName name="PROD_EXT_FLEURS_ETE_PLEINE_TERRE_N1_M06">Surfaces_Horti!$G$68</definedName>
    <definedName name="PROD_EXT_FLEURS_ETE_PLEINE_TERRE_N1_M07">Surfaces_Horti!$H$68</definedName>
    <definedName name="PROD_EXT_FLEURS_ETE_PLEINE_TERRE_N1_M08">Surfaces_Horti!$I$68</definedName>
    <definedName name="PROD_EXT_FLEURS_ETE_PLEINE_TERRE_N1_M09">Surfaces_Horti!$J$68</definedName>
    <definedName name="PROD_EXT_FLEURS_ETE_PLEINE_TERRE_N1_M10">Surfaces_Horti!$K$68</definedName>
    <definedName name="PROD_EXT_FLEURS_ETE_PLEINE_TERRE_N1_M11">Surfaces_Horti!$L$68</definedName>
    <definedName name="PROD_EXT_FLEURS_ETE_PLEINE_TERRE_N1_M12">Surfaces_Horti!$M$68</definedName>
    <definedName name="PROD_EXT_FLEURS_ETE_PLEINE_TERRE_N1_MOY">Surfaces_Horti!$N$68</definedName>
    <definedName name="PROD_EXT_FLEURS_ETE_PLEINE_TERRE_N2_M01">Surfaces_Horti!$B$105</definedName>
    <definedName name="PROD_EXT_FLEURS_ETE_PLEINE_TERRE_N2_M02">Surfaces_Horti!$C$105</definedName>
    <definedName name="PROD_EXT_FLEURS_ETE_PLEINE_TERRE_N2_M03">Surfaces_Horti!$D$105</definedName>
    <definedName name="PROD_EXT_FLEURS_ETE_PLEINE_TERRE_N2_M04">Surfaces_Horti!$E$105</definedName>
    <definedName name="PROD_EXT_FLEURS_ETE_PLEINE_TERRE_N2_M05">Surfaces_Horti!$F$105</definedName>
    <definedName name="PROD_EXT_FLEURS_ETE_PLEINE_TERRE_N2_M06">Surfaces_Horti!$G$105</definedName>
    <definedName name="PROD_EXT_FLEURS_ETE_PLEINE_TERRE_N2_M07">Surfaces_Horti!$H$105</definedName>
    <definedName name="PROD_EXT_FLEURS_ETE_PLEINE_TERRE_N2_M08">Surfaces_Horti!$I$105</definedName>
    <definedName name="PROD_EXT_FLEURS_ETE_PLEINE_TERRE_N2_M09">Surfaces_Horti!$J$105</definedName>
    <definedName name="PROD_EXT_FLEURS_ETE_PLEINE_TERRE_N2_M10">Surfaces_Horti!$K$105</definedName>
    <definedName name="PROD_EXT_FLEURS_ETE_PLEINE_TERRE_N2_M11">Surfaces_Horti!$L$105</definedName>
    <definedName name="PROD_EXT_FLEURS_ETE_PLEINE_TERRE_N2_M12">Surfaces_Horti!$M$105</definedName>
    <definedName name="PROD_EXT_FLEURS_ETE_PLEINE_TERRE_N2_MOY">Surfaces_Horti!$N$105</definedName>
    <definedName name="PROD_EXT_FRUITIERS_PLEINE_TERRE_N_M01">Surfaces_Horti!$B$29</definedName>
    <definedName name="PROD_EXT_FRUITIERS_PLEINE_TERRE_N_M02">Surfaces_Horti!$C$29</definedName>
    <definedName name="PROD_EXT_FRUITIERS_PLEINE_TERRE_N_M03">Surfaces_Horti!$D$29</definedName>
    <definedName name="PROD_EXT_FRUITIERS_PLEINE_TERRE_N_M04">Surfaces_Horti!$E$29</definedName>
    <definedName name="PROD_EXT_FRUITIERS_PLEINE_TERRE_N_M05">Surfaces_Horti!$F$29</definedName>
    <definedName name="PROD_EXT_FRUITIERS_PLEINE_TERRE_N_M06">Surfaces_Horti!$G$29</definedName>
    <definedName name="PROD_EXT_FRUITIERS_PLEINE_TERRE_N_M07">Surfaces_Horti!$H$29</definedName>
    <definedName name="PROD_EXT_FRUITIERS_PLEINE_TERRE_N_M08">Surfaces_Horti!$I$29</definedName>
    <definedName name="PROD_EXT_FRUITIERS_PLEINE_TERRE_N_M09">Surfaces_Horti!$J$29</definedName>
    <definedName name="PROD_EXT_FRUITIERS_PLEINE_TERRE_N_M10">Surfaces_Horti!$K$29</definedName>
    <definedName name="PROD_EXT_FRUITIERS_PLEINE_TERRE_N_M11">Surfaces_Horti!$L$29</definedName>
    <definedName name="PROD_EXT_FRUITIERS_PLEINE_TERRE_N_M12">Surfaces_Horti!$M$29</definedName>
    <definedName name="PROD_EXT_FRUITIERS_PLEINE_TERRE_N_MOY">Surfaces_Horti!$N$29</definedName>
    <definedName name="PROD_EXT_FRUITIERS_PLEINE_TERRE_N1_M01">Surfaces_Horti!$B$66</definedName>
    <definedName name="PROD_EXT_FRUITIERS_PLEINE_TERRE_N1_M02">Surfaces_Horti!$C$66</definedName>
    <definedName name="PROD_EXT_FRUITIERS_PLEINE_TERRE_N1_M03">Surfaces_Horti!$D$66</definedName>
    <definedName name="PROD_EXT_FRUITIERS_PLEINE_TERRE_N1_M04">Surfaces_Horti!$E$66</definedName>
    <definedName name="PROD_EXT_FRUITIERS_PLEINE_TERRE_N1_M05">Surfaces_Horti!$F$66</definedName>
    <definedName name="PROD_EXT_FRUITIERS_PLEINE_TERRE_N1_M06">Surfaces_Horti!$G$66</definedName>
    <definedName name="PROD_EXT_FRUITIERS_PLEINE_TERRE_N1_M07">Surfaces_Horti!$H$66</definedName>
    <definedName name="PROD_EXT_FRUITIERS_PLEINE_TERRE_N1_M08">Surfaces_Horti!$I$66</definedName>
    <definedName name="PROD_EXT_FRUITIERS_PLEINE_TERRE_N1_M09">Surfaces_Horti!$J$66</definedName>
    <definedName name="PROD_EXT_FRUITIERS_PLEINE_TERRE_N1_M10">Surfaces_Horti!$K$66</definedName>
    <definedName name="PROD_EXT_FRUITIERS_PLEINE_TERRE_N1_M11">Surfaces_Horti!$L$66</definedName>
    <definedName name="PROD_EXT_FRUITIERS_PLEINE_TERRE_N1_M12">Surfaces_Horti!$M$66</definedName>
    <definedName name="PROD_EXT_FRUITIERS_PLEINE_TERRE_N1_MOY">Surfaces_Horti!$N$66</definedName>
    <definedName name="PROD_EXT_FRUITIERS_PLEINE_TERRE_N2_M01">Surfaces_Horti!$B$103</definedName>
    <definedName name="PROD_EXT_FRUITIERS_PLEINE_TERRE_N2_M02">Surfaces_Horti!$C$103</definedName>
    <definedName name="PROD_EXT_FRUITIERS_PLEINE_TERRE_N2_M03">Surfaces_Horti!$D$103</definedName>
    <definedName name="PROD_EXT_FRUITIERS_PLEINE_TERRE_N2_M04">Surfaces_Horti!$E$103</definedName>
    <definedName name="PROD_EXT_FRUITIERS_PLEINE_TERRE_N2_M05">Surfaces_Horti!$F$103</definedName>
    <definedName name="PROD_EXT_FRUITIERS_PLEINE_TERRE_N2_M06">Surfaces_Horti!$G$103</definedName>
    <definedName name="PROD_EXT_FRUITIERS_PLEINE_TERRE_N2_M07">Surfaces_Horti!$H$103</definedName>
    <definedName name="PROD_EXT_FRUITIERS_PLEINE_TERRE_N2_M08">Surfaces_Horti!$I$103</definedName>
    <definedName name="PROD_EXT_FRUITIERS_PLEINE_TERRE_N2_M09">Surfaces_Horti!$J$103</definedName>
    <definedName name="PROD_EXT_FRUITIERS_PLEINE_TERRE_N2_M10">Surfaces_Horti!$K$103</definedName>
    <definedName name="PROD_EXT_FRUITIERS_PLEINE_TERRE_N2_M11">Surfaces_Horti!$L$103</definedName>
    <definedName name="PROD_EXT_FRUITIERS_PLEINE_TERRE_N2_M12">Surfaces_Horti!$M$103</definedName>
    <definedName name="PROD_EXT_FRUITIERS_PLEINE_TERRE_N2_MOY">Surfaces_Horti!$N$103</definedName>
    <definedName name="PROD_EXT_PLANTES_EN_POT_N_M01">Surfaces_Horti!$B$24</definedName>
    <definedName name="PROD_EXT_PLANTES_EN_POT_N_M02">Surfaces_Horti!$C$24</definedName>
    <definedName name="PROD_EXT_PLANTES_EN_POT_N_M03">Surfaces_Horti!$D$24</definedName>
    <definedName name="PROD_EXT_PLANTES_EN_POT_N_M04">Surfaces_Horti!$E$24</definedName>
    <definedName name="PROD_EXT_PLANTES_EN_POT_N_M05">Surfaces_Horti!$F$24</definedName>
    <definedName name="PROD_EXT_PLANTES_EN_POT_N_M06">Surfaces_Horti!$G$24</definedName>
    <definedName name="PROD_EXT_PLANTES_EN_POT_N_M07">Surfaces_Horti!$H$24</definedName>
    <definedName name="PROD_EXT_PLANTES_EN_POT_N_M08">Surfaces_Horti!$I$24</definedName>
    <definedName name="PROD_EXT_PLANTES_EN_POT_N_M09">Surfaces_Horti!$J$24</definedName>
    <definedName name="PROD_EXT_PLANTES_EN_POT_N_M10">Surfaces_Horti!$K$24</definedName>
    <definedName name="PROD_EXT_PLANTES_EN_POT_N_M11">Surfaces_Horti!$L$24</definedName>
    <definedName name="PROD_EXT_PLANTES_EN_POT_N_M12">Surfaces_Horti!$M$24</definedName>
    <definedName name="PROD_EXT_PLANTES_EN_POT_N_MOY">Surfaces_Horti!$N$24</definedName>
    <definedName name="PROD_EXT_PLANTES_EN_POT_N1_M01">Surfaces_Horti!$B$61</definedName>
    <definedName name="PROD_EXT_PLANTES_EN_POT_N1_M02">Surfaces_Horti!$C$61</definedName>
    <definedName name="PROD_EXT_PLANTES_EN_POT_N1_M03">Surfaces_Horti!$D$61</definedName>
    <definedName name="PROD_EXT_PLANTES_EN_POT_N1_M04">Surfaces_Horti!$E$61</definedName>
    <definedName name="PROD_EXT_PLANTES_EN_POT_N1_M05">Surfaces_Horti!$F$61</definedName>
    <definedName name="PROD_EXT_PLANTES_EN_POT_N1_M06">Surfaces_Horti!$G$61</definedName>
    <definedName name="PROD_EXT_PLANTES_EN_POT_N1_M07">Surfaces_Horti!$H$61</definedName>
    <definedName name="PROD_EXT_PLANTES_EN_POT_N1_M08">Surfaces_Horti!$I$61</definedName>
    <definedName name="PROD_EXT_PLANTES_EN_POT_N1_M09">Surfaces_Horti!$J$61</definedName>
    <definedName name="PROD_EXT_PLANTES_EN_POT_N1_M10">Surfaces_Horti!$K$61</definedName>
    <definedName name="PROD_EXT_PLANTES_EN_POT_N1_M11">Surfaces_Horti!$L$61</definedName>
    <definedName name="PROD_EXT_PLANTES_EN_POT_N1_M12">Surfaces_Horti!$M$61</definedName>
    <definedName name="PROD_EXT_PLANTES_EN_POT_N1_MOY">Surfaces_Horti!$N$61</definedName>
    <definedName name="PROD_EXT_PLANTES_EN_POT_N2_M01">Surfaces_Horti!$B$98</definedName>
    <definedName name="PROD_EXT_PLANTES_EN_POT_N2_M02">Surfaces_Horti!$C$98</definedName>
    <definedName name="PROD_EXT_PLANTES_EN_POT_N2_M03">Surfaces_Horti!$D$98</definedName>
    <definedName name="PROD_EXT_PLANTES_EN_POT_N2_M04">Surfaces_Horti!$E$98</definedName>
    <definedName name="PROD_EXT_PLANTES_EN_POT_N2_M05">Surfaces_Horti!$F$98</definedName>
    <definedName name="PROD_EXT_PLANTES_EN_POT_N2_M06">Surfaces_Horti!$G$98</definedName>
    <definedName name="PROD_EXT_PLANTES_EN_POT_N2_M07">Surfaces_Horti!$H$98</definedName>
    <definedName name="PROD_EXT_PLANTES_EN_POT_N2_M08">Surfaces_Horti!$I$98</definedName>
    <definedName name="PROD_EXT_PLANTES_EN_POT_N2_M09">Surfaces_Horti!$J$98</definedName>
    <definedName name="PROD_EXT_PLANTES_EN_POT_N2_M10">Surfaces_Horti!$K$98</definedName>
    <definedName name="PROD_EXT_PLANTES_EN_POT_N2_M11">Surfaces_Horti!$L$98</definedName>
    <definedName name="PROD_EXT_PLANTES_EN_POT_N2_M12">Surfaces_Horti!$M$98</definedName>
    <definedName name="PROD_EXT_PLANTES_EN_POT_N2_MOY">Surfaces_Horti!$N$98</definedName>
    <definedName name="PROD_EXT_PLANTES_MED_EN_POT_N_M01">Surfaces_Horti!$B$27</definedName>
    <definedName name="PROD_EXT_PLANTES_MED_EN_POT_N_M02">Surfaces_Horti!$C$27</definedName>
    <definedName name="PROD_EXT_PLANTES_MED_EN_POT_N_M03">Surfaces_Horti!$D$27</definedName>
    <definedName name="PROD_EXT_PLANTES_MED_EN_POT_N_M04">Surfaces_Horti!$E$27</definedName>
    <definedName name="PROD_EXT_PLANTES_MED_EN_POT_N_M05">Surfaces_Horti!$F$27</definedName>
    <definedName name="PROD_EXT_PLANTES_MED_EN_POT_N_M06">Surfaces_Horti!$G$27</definedName>
    <definedName name="PROD_EXT_PLANTES_MED_EN_POT_N_M07">Surfaces_Horti!$H$27</definedName>
    <definedName name="PROD_EXT_PLANTES_MED_EN_POT_N_M08">Surfaces_Horti!$I$27</definedName>
    <definedName name="PROD_EXT_PLANTES_MED_EN_POT_N_M09">Surfaces_Horti!$J$27</definedName>
    <definedName name="PROD_EXT_PLANTES_MED_EN_POT_N_M10">Surfaces_Horti!$K$27</definedName>
    <definedName name="PROD_EXT_PLANTES_MED_EN_POT_N_M11">Surfaces_Horti!$L$27</definedName>
    <definedName name="PROD_EXT_PLANTES_MED_EN_POT_N_M12">Surfaces_Horti!$M$27</definedName>
    <definedName name="PROD_EXT_PLANTES_MED_EN_POT_N_MOY">Surfaces_Horti!$N$27</definedName>
    <definedName name="PROD_EXT_PLANTES_MED_EN_POT_N1_M01">Surfaces_Horti!$B$64</definedName>
    <definedName name="PROD_EXT_PLANTES_MED_EN_POT_N1_M02">Surfaces_Horti!$C$64</definedName>
    <definedName name="PROD_EXT_PLANTES_MED_EN_POT_N1_M03">Surfaces_Horti!$D$64</definedName>
    <definedName name="PROD_EXT_PLANTES_MED_EN_POT_N1_M04">Surfaces_Horti!$E$64</definedName>
    <definedName name="PROD_EXT_PLANTES_MED_EN_POT_N1_M05">Surfaces_Horti!$F$64</definedName>
    <definedName name="PROD_EXT_PLANTES_MED_EN_POT_N1_M06">Surfaces_Horti!$G$64</definedName>
    <definedName name="PROD_EXT_PLANTES_MED_EN_POT_N1_M07">Surfaces_Horti!$H$64</definedName>
    <definedName name="PROD_EXT_PLANTES_MED_EN_POT_N1_M08">Surfaces_Horti!$I$64</definedName>
    <definedName name="PROD_EXT_PLANTES_MED_EN_POT_N1_M09">Surfaces_Horti!$J$64</definedName>
    <definedName name="PROD_EXT_PLANTES_MED_EN_POT_N1_M10">Surfaces_Horti!$K$64</definedName>
    <definedName name="PROD_EXT_PLANTES_MED_EN_POT_N1_M11">Surfaces_Horti!$L$64</definedName>
    <definedName name="PROD_EXT_PLANTES_MED_EN_POT_N1_M12">Surfaces_Horti!$M$64</definedName>
    <definedName name="PROD_EXT_PLANTES_MED_EN_POT_N1_MOY">Surfaces_Horti!$N$64</definedName>
    <definedName name="PROD_EXT_PLANTES_MED_EN_POT_N2_M01">Surfaces_Horti!$B$101</definedName>
    <definedName name="PROD_EXT_PLANTES_MED_EN_POT_N2_M02">Surfaces_Horti!$C$101</definedName>
    <definedName name="PROD_EXT_PLANTES_MED_EN_POT_N2_M03">Surfaces_Horti!$D$101</definedName>
    <definedName name="PROD_EXT_PLANTES_MED_EN_POT_N2_M04">Surfaces_Horti!$E$101</definedName>
    <definedName name="PROD_EXT_PLANTES_MED_EN_POT_N2_M05">Surfaces_Horti!$F$101</definedName>
    <definedName name="PROD_EXT_PLANTES_MED_EN_POT_N2_M06">Surfaces_Horti!$G$101</definedName>
    <definedName name="PROD_EXT_PLANTES_MED_EN_POT_N2_M07">Surfaces_Horti!$H$101</definedName>
    <definedName name="PROD_EXT_PLANTES_MED_EN_POT_N2_M08">Surfaces_Horti!$I$101</definedName>
    <definedName name="PROD_EXT_PLANTES_MED_EN_POT_N2_M09">Surfaces_Horti!$J$101</definedName>
    <definedName name="PROD_EXT_PLANTES_MED_EN_POT_N2_M10">Surfaces_Horti!$K$101</definedName>
    <definedName name="PROD_EXT_PLANTES_MED_EN_POT_N2_M11">Surfaces_Horti!$L$101</definedName>
    <definedName name="PROD_EXT_PLANTES_MED_EN_POT_N2_M12">Surfaces_Horti!$M$101</definedName>
    <definedName name="PROD_EXT_PLANTES_MED_EN_POT_N2_MOY">Surfaces_Horti!$N$101</definedName>
    <definedName name="PROD_EXT_PLANTES_VIVACES_EN_POT_N_M01">Surfaces_Horti!$B$21</definedName>
    <definedName name="PROD_EXT_PLANTES_VIVACES_EN_POT_N_M02">Surfaces_Horti!$C$21</definedName>
    <definedName name="PROD_EXT_PLANTES_VIVACES_EN_POT_N_M03">Surfaces_Horti!$D$21</definedName>
    <definedName name="PROD_EXT_PLANTES_VIVACES_EN_POT_N_M04">Surfaces_Horti!$E$21</definedName>
    <definedName name="PROD_EXT_PLANTES_VIVACES_EN_POT_N_M05">Surfaces_Horti!$F$21</definedName>
    <definedName name="PROD_EXT_PLANTES_VIVACES_EN_POT_N_M06">Surfaces_Horti!$G$21</definedName>
    <definedName name="PROD_EXT_PLANTES_VIVACES_EN_POT_N_M07">Surfaces_Horti!$H$21</definedName>
    <definedName name="PROD_EXT_PLANTES_VIVACES_EN_POT_N_M08">Surfaces_Horti!$I$21</definedName>
    <definedName name="PROD_EXT_PLANTES_VIVACES_EN_POT_N_M09">Surfaces_Horti!$J$21</definedName>
    <definedName name="PROD_EXT_PLANTES_VIVACES_EN_POT_N_M10">Surfaces_Horti!$K$21</definedName>
    <definedName name="PROD_EXT_PLANTES_VIVACES_EN_POT_N_M11">Surfaces_Horti!$L$21</definedName>
    <definedName name="PROD_EXT_PLANTES_VIVACES_EN_POT_N_M12">Surfaces_Horti!$M$21</definedName>
    <definedName name="PROD_EXT_PLANTES_VIVACES_EN_POT_N_MOY">Surfaces_Horti!$N$21</definedName>
    <definedName name="PROD_EXT_PLANTES_VIVACES_EN_POT_N1_M01">Surfaces_Horti!$B$58</definedName>
    <definedName name="PROD_EXT_PLANTES_VIVACES_EN_POT_N1_M02">Surfaces_Horti!$C$58</definedName>
    <definedName name="PROD_EXT_PLANTES_VIVACES_EN_POT_N1_M03">Surfaces_Horti!$D$58</definedName>
    <definedName name="PROD_EXT_PLANTES_VIVACES_EN_POT_N1_M04">Surfaces_Horti!$E$58</definedName>
    <definedName name="PROD_EXT_PLANTES_VIVACES_EN_POT_N1_M05">Surfaces_Horti!$F$58</definedName>
    <definedName name="PROD_EXT_PLANTES_VIVACES_EN_POT_N1_M06">Surfaces_Horti!$G$58</definedName>
    <definedName name="PROD_EXT_PLANTES_VIVACES_EN_POT_N1_M07">Surfaces_Horti!$H$58</definedName>
    <definedName name="PROD_EXT_PLANTES_VIVACES_EN_POT_N1_M08">Surfaces_Horti!$I$58</definedName>
    <definedName name="PROD_EXT_PLANTES_VIVACES_EN_POT_N1_M09">Surfaces_Horti!$J$58</definedName>
    <definedName name="PROD_EXT_PLANTES_VIVACES_EN_POT_N1_M10">Surfaces_Horti!$K$58</definedName>
    <definedName name="PROD_EXT_PLANTES_VIVACES_EN_POT_N1_M11">Surfaces_Horti!$L$58</definedName>
    <definedName name="PROD_EXT_PLANTES_VIVACES_EN_POT_N1_M12">Surfaces_Horti!$M$58</definedName>
    <definedName name="PROD_EXT_PLANTES_VIVACES_EN_POT_N1_MOY">Surfaces_Horti!$N$58</definedName>
    <definedName name="PROD_EXT_PLANTES_VIVACES_EN_POT_N2_M01">Surfaces_Horti!$B$95</definedName>
    <definedName name="PROD_EXT_PLANTES_VIVACES_EN_POT_N2_M02">Surfaces_Horti!$C$95</definedName>
    <definedName name="PROD_EXT_PLANTES_VIVACES_EN_POT_N2_M03">Surfaces_Horti!$D$95</definedName>
    <definedName name="PROD_EXT_PLANTES_VIVACES_EN_POT_N2_M04">Surfaces_Horti!$E$95</definedName>
    <definedName name="PROD_EXT_PLANTES_VIVACES_EN_POT_N2_M05">Surfaces_Horti!$F$95</definedName>
    <definedName name="PROD_EXT_PLANTES_VIVACES_EN_POT_N2_M06">Surfaces_Horti!$G$95</definedName>
    <definedName name="PROD_EXT_PLANTES_VIVACES_EN_POT_N2_M07">Surfaces_Horti!$H$95</definedName>
    <definedName name="PROD_EXT_PLANTES_VIVACES_EN_POT_N2_M08">Surfaces_Horti!$I$95</definedName>
    <definedName name="PROD_EXT_PLANTES_VIVACES_EN_POT_N2_M09">Surfaces_Horti!$J$95</definedName>
    <definedName name="PROD_EXT_PLANTES_VIVACES_EN_POT_N2_M10">Surfaces_Horti!$K$95</definedName>
    <definedName name="PROD_EXT_PLANTES_VIVACES_EN_POT_N2_M11">Surfaces_Horti!$L$95</definedName>
    <definedName name="PROD_EXT_PLANTES_VIVACES_EN_POT_N2_M12">Surfaces_Horti!$M$95</definedName>
    <definedName name="PROD_EXT_PLANTES_VIVACES_EN_POT_N2_MOY">Surfaces_Horti!$N$95</definedName>
    <definedName name="PROD_EXT_PLANTES_VIVACES_PLEINE_TERRE_N_M01">Surfaces_Horti!$B$22</definedName>
    <definedName name="PROD_EXT_PLANTES_VIVACES_PLEINE_TERRE_N_M02">Surfaces_Horti!$C$22</definedName>
    <definedName name="PROD_EXT_PLANTES_VIVACES_PLEINE_TERRE_N_M03">Surfaces_Horti!$D$22</definedName>
    <definedName name="PROD_EXT_PLANTES_VIVACES_PLEINE_TERRE_N_M04">Surfaces_Horti!$E$22</definedName>
    <definedName name="PROD_EXT_PLANTES_VIVACES_PLEINE_TERRE_N_M05">Surfaces_Horti!$F$22</definedName>
    <definedName name="PROD_EXT_PLANTES_VIVACES_PLEINE_TERRE_N_M06">Surfaces_Horti!$G$22</definedName>
    <definedName name="PROD_EXT_PLANTES_VIVACES_PLEINE_TERRE_N_M07">Surfaces_Horti!$H$22</definedName>
    <definedName name="PROD_EXT_PLANTES_VIVACES_PLEINE_TERRE_N_M08">Surfaces_Horti!$I$22</definedName>
    <definedName name="PROD_EXT_PLANTES_VIVACES_PLEINE_TERRE_N_M09">Surfaces_Horti!$J$22</definedName>
    <definedName name="PROD_EXT_PLANTES_VIVACES_PLEINE_TERRE_N_M10">Surfaces_Horti!$K$22</definedName>
    <definedName name="PROD_EXT_PLANTES_VIVACES_PLEINE_TERRE_N_M11">Surfaces_Horti!$L$22</definedName>
    <definedName name="PROD_EXT_PLANTES_VIVACES_PLEINE_TERRE_N_M12">Surfaces_Horti!$M$22</definedName>
    <definedName name="PROD_EXT_PLANTES_VIVACES_PLEINE_TERRE_N_MOY">Surfaces_Horti!$N$22</definedName>
    <definedName name="PROD_EXT_PLANTES_VIVACES_PLEINE_TERRE_N1_M01">Surfaces_Horti!$B$59</definedName>
    <definedName name="PROD_EXT_PLANTES_VIVACES_PLEINE_TERRE_N1_M02">Surfaces_Horti!$C$59</definedName>
    <definedName name="PROD_EXT_PLANTES_VIVACES_PLEINE_TERRE_N1_M03">Surfaces_Horti!$D$59</definedName>
    <definedName name="PROD_EXT_PLANTES_VIVACES_PLEINE_TERRE_N1_M04">Surfaces_Horti!$E$59</definedName>
    <definedName name="PROD_EXT_PLANTES_VIVACES_PLEINE_TERRE_N1_M05">Surfaces_Horti!$F$59</definedName>
    <definedName name="PROD_EXT_PLANTES_VIVACES_PLEINE_TERRE_N1_M06">Surfaces_Horti!$G$59</definedName>
    <definedName name="PROD_EXT_PLANTES_VIVACES_PLEINE_TERRE_N1_M07">Surfaces_Horti!$H$59</definedName>
    <definedName name="PROD_EXT_PLANTES_VIVACES_PLEINE_TERRE_N1_M08">Surfaces_Horti!$I$59</definedName>
    <definedName name="PROD_EXT_PLANTES_VIVACES_PLEINE_TERRE_N1_M09">Surfaces_Horti!$J$59</definedName>
    <definedName name="PROD_EXT_PLANTES_VIVACES_PLEINE_TERRE_N1_M10">Surfaces_Horti!$K$59</definedName>
    <definedName name="PROD_EXT_PLANTES_VIVACES_PLEINE_TERRE_N1_M11">Surfaces_Horti!$L$59</definedName>
    <definedName name="PROD_EXT_PLANTES_VIVACES_PLEINE_TERRE_N1_M12">Surfaces_Horti!$M$59</definedName>
    <definedName name="PROD_EXT_PLANTES_VIVACES_PLEINE_TERRE_N1_MOY">Surfaces_Horti!$N$59</definedName>
    <definedName name="PROD_EXT_PLANTES_VIVACES_PLEINE_TERRE_N2_M01">Surfaces_Horti!$B$96</definedName>
    <definedName name="PROD_EXT_PLANTES_VIVACES_PLEINE_TERRE_N2_M02">Surfaces_Horti!$C$96</definedName>
    <definedName name="PROD_EXT_PLANTES_VIVACES_PLEINE_TERRE_N2_M03">Surfaces_Horti!$D$96</definedName>
    <definedName name="PROD_EXT_PLANTES_VIVACES_PLEINE_TERRE_N2_M04">Surfaces_Horti!$E$96</definedName>
    <definedName name="PROD_EXT_PLANTES_VIVACES_PLEINE_TERRE_N2_M05">Surfaces_Horti!$F$96</definedName>
    <definedName name="PROD_EXT_PLANTES_VIVACES_PLEINE_TERRE_N2_M06">Surfaces_Horti!$G$96</definedName>
    <definedName name="PROD_EXT_PLANTES_VIVACES_PLEINE_TERRE_N2_M07">Surfaces_Horti!$H$96</definedName>
    <definedName name="PROD_EXT_PLANTES_VIVACES_PLEINE_TERRE_N2_M08">Surfaces_Horti!$I$96</definedName>
    <definedName name="PROD_EXT_PLANTES_VIVACES_PLEINE_TERRE_N2_M09">Surfaces_Horti!$J$96</definedName>
    <definedName name="PROD_EXT_PLANTES_VIVACES_PLEINE_TERRE_N2_M10">Surfaces_Horti!$K$96</definedName>
    <definedName name="PROD_EXT_PLANTES_VIVACES_PLEINE_TERRE_N2_M11">Surfaces_Horti!$L$96</definedName>
    <definedName name="PROD_EXT_PLANTES_VIVACES_PLEINE_TERRE_N2_M12">Surfaces_Horti!$M$96</definedName>
    <definedName name="PROD_EXT_PLANTES_VIVACES_PLEINE_TERRE_N2_MOY">Surfaces_Horti!$N$96</definedName>
    <definedName name="PROD_EXT_ROSIER_PLEINE_TERRE_N_M01">Surfaces_Horti!$B$30</definedName>
    <definedName name="PROD_EXT_ROSIER_PLEINE_TERRE_N_M02">Surfaces_Horti!$C$30</definedName>
    <definedName name="PROD_EXT_ROSIER_PLEINE_TERRE_N_M03">Surfaces_Horti!$D$30</definedName>
    <definedName name="PROD_EXT_ROSIER_PLEINE_TERRE_N_M04">Surfaces_Horti!$E$30</definedName>
    <definedName name="PROD_EXT_ROSIER_PLEINE_TERRE_N_M05">Surfaces_Horti!$F$30</definedName>
    <definedName name="PROD_EXT_ROSIER_PLEINE_TERRE_N_M06">Surfaces_Horti!$G$30</definedName>
    <definedName name="PROD_EXT_ROSIER_PLEINE_TERRE_N_M07">Surfaces_Horti!$H$30</definedName>
    <definedName name="PROD_EXT_ROSIER_PLEINE_TERRE_N_M08">Surfaces_Horti!$I$30</definedName>
    <definedName name="PROD_EXT_ROSIER_PLEINE_TERRE_N_M09">Surfaces_Horti!$J$30</definedName>
    <definedName name="PROD_EXT_ROSIER_PLEINE_TERRE_N_M10">Surfaces_Horti!$K$30</definedName>
    <definedName name="PROD_EXT_ROSIER_PLEINE_TERRE_N_M11">Surfaces_Horti!$L$30</definedName>
    <definedName name="PROD_EXT_ROSIER_PLEINE_TERRE_N_M12">Surfaces_Horti!$M$30</definedName>
    <definedName name="PROD_EXT_ROSIER_PLEINE_TERRE_N_MOY">Surfaces_Horti!$N$30</definedName>
    <definedName name="PROD_EXT_ROSIER_PLEINE_TERRE_N1_M01">Surfaces_Horti!$B$67</definedName>
    <definedName name="PROD_EXT_ROSIER_PLEINE_TERRE_N1_M02">Surfaces_Horti!$C$67</definedName>
    <definedName name="PROD_EXT_ROSIER_PLEINE_TERRE_N1_M03">Surfaces_Horti!$D$67</definedName>
    <definedName name="PROD_EXT_ROSIER_PLEINE_TERRE_N1_M04">Surfaces_Horti!$E$67</definedName>
    <definedName name="PROD_EXT_ROSIER_PLEINE_TERRE_N1_M05">Surfaces_Horti!$F$67</definedName>
    <definedName name="PROD_EXT_ROSIER_PLEINE_TERRE_N1_M06">Surfaces_Horti!$G$67</definedName>
    <definedName name="PROD_EXT_ROSIER_PLEINE_TERRE_N1_M07">Surfaces_Horti!$H$67</definedName>
    <definedName name="PROD_EXT_ROSIER_PLEINE_TERRE_N1_M08">Surfaces_Horti!$I$67</definedName>
    <definedName name="PROD_EXT_ROSIER_PLEINE_TERRE_N1_M09">Surfaces_Horti!$J$67</definedName>
    <definedName name="PROD_EXT_ROSIER_PLEINE_TERRE_N1_M10">Surfaces_Horti!$K$67</definedName>
    <definedName name="PROD_EXT_ROSIER_PLEINE_TERRE_N1_M11">Surfaces_Horti!$L$67</definedName>
    <definedName name="PROD_EXT_ROSIER_PLEINE_TERRE_N1_M12">Surfaces_Horti!$M$67</definedName>
    <definedName name="PROD_EXT_ROSIER_PLEINE_TERRE_N1_MOY">Surfaces_Horti!$N$67</definedName>
    <definedName name="PROD_EXT_ROSIER_PLEINE_TERRE_N2_M01">Surfaces_Horti!$B$104</definedName>
    <definedName name="PROD_EXT_ROSIER_PLEINE_TERRE_N2_M02">Surfaces_Horti!$C$104</definedName>
    <definedName name="PROD_EXT_ROSIER_PLEINE_TERRE_N2_M03">Surfaces_Horti!$D$104</definedName>
    <definedName name="PROD_EXT_ROSIER_PLEINE_TERRE_N2_M04">Surfaces_Horti!$E$104</definedName>
    <definedName name="PROD_EXT_ROSIER_PLEINE_TERRE_N2_M05">Surfaces_Horti!$F$104</definedName>
    <definedName name="PROD_EXT_ROSIER_PLEINE_TERRE_N2_M06">Surfaces_Horti!$G$104</definedName>
    <definedName name="PROD_EXT_ROSIER_PLEINE_TERRE_N2_M07">Surfaces_Horti!$H$104</definedName>
    <definedName name="PROD_EXT_ROSIER_PLEINE_TERRE_N2_M08">Surfaces_Horti!$I$104</definedName>
    <definedName name="PROD_EXT_ROSIER_PLEINE_TERRE_N2_M09">Surfaces_Horti!$J$104</definedName>
    <definedName name="PROD_EXT_ROSIER_PLEINE_TERRE_N2_M10">Surfaces_Horti!$K$104</definedName>
    <definedName name="PROD_EXT_ROSIER_PLEINE_TERRE_N2_M11">Surfaces_Horti!$L$104</definedName>
    <definedName name="PROD_EXT_ROSIER_PLEINE_TERRE_N2_M12">Surfaces_Horti!$M$104</definedName>
    <definedName name="PROD_EXT_ROSIER_PLEINE_TERRE_N2_MOY">Surfaces_Horti!$N$104</definedName>
    <definedName name="PROD_OSIER_N">Surfaces!$O$31</definedName>
    <definedName name="PROD_OSIER_N1">Surfaces!$P$31</definedName>
    <definedName name="PROD_OSIER_N2">Surfaces!$Q$31</definedName>
    <definedName name="PRORATA_SURF_CULTURES_ANNUELLES_CONCERNEES">Phyto!$R$181</definedName>
    <definedName name="PRORATA_SURF_CULTURES_PERENNES_CONCERNEES">Phyto!$R$186</definedName>
    <definedName name="PT_GRAMINEE_PURE_N">Surfaces!$O$116</definedName>
    <definedName name="PT_GRAMINEE_PURE_N1">Surfaces!$P$116</definedName>
    <definedName name="PT_GRAMINEE_PURE_N2">Surfaces!$Q$116</definedName>
    <definedName name="PT_LEGUMINEUSE_PURE_N">Surfaces!$O$114</definedName>
    <definedName name="PT_LEGUMINEUSE_PURE_N1">Surfaces!$P$114</definedName>
    <definedName name="PT_LEGUMINEUSE_PURE_N2">Surfaces!$Q$114</definedName>
    <definedName name="PT_MELANGE_COMPLEXE_N">Surfaces!$O$118</definedName>
    <definedName name="PT_MELANGE_COMPLEXE_N1">Surfaces!$P$118</definedName>
    <definedName name="PT_MELANGE_COMPLEXE_N2">Surfaces!$Q$118</definedName>
    <definedName name="PT_MELANGE_GRAMINEE_N">Surfaces!$O$117</definedName>
    <definedName name="PT_MELANGE_GRAMINEE_N1">Surfaces!$P$117</definedName>
    <definedName name="PT_MELANGE_GRAMINEE_N2">Surfaces!$Q$117</definedName>
    <definedName name="PT_MELANGE_LEGUMINEUSE_N">Surfaces!$O$115</definedName>
    <definedName name="PT_MELANGE_LEGUMINEUSE_N1">Surfaces!$P$115</definedName>
    <definedName name="PT_MELANGE_LEGUMINEUSE_N2">Surfaces!$Q$115</definedName>
    <definedName name="QUANTITE_AZOTE_APPORTEE_N">Fertilisation!$Q$87</definedName>
    <definedName name="QUANTITE_AZOTE_APPORTEE_N1">Fertilisation!$Q$88</definedName>
    <definedName name="QUANTITE_AZOTE_APPORTEE_N2">Fertilisation!$Q$89</definedName>
    <definedName name="QUANTITE_AZOTE_MINERAL">Fertilisation!$N$116</definedName>
    <definedName name="QUANTITE_AZOTE_ORGA">Fertilisation!$N$117</definedName>
    <definedName name="QUANTITE_SUBST_ACT_N">Phyto!$Q$144</definedName>
    <definedName name="QUANTITE_SUBST_ACT_N1">Phyto!$Q$145</definedName>
    <definedName name="QUANTITE_SUBST_ACT_N2">Phyto!$Q$146</definedName>
    <definedName name="QUANTITE_TOTALE_AZOTE">Fertilisation!$N$121</definedName>
    <definedName name="QUANTITE_TOTALE_AZOTE_APPORTEE">Fertilisation!$Q$94</definedName>
    <definedName name="QUANTITE_TOTALE_SUBST_ACT">Phyto!$Q$151</definedName>
    <definedName name="RAISOC_EXPLOITATION">Identification!$F$34</definedName>
    <definedName name="RATIO_6HA_PERM_SAU">Biodiversité!$P$85</definedName>
    <definedName name="RATIO_CULTURE_PPLE_SAU">Biodiversité!$N$112</definedName>
    <definedName name="RATIO_SURFACE_IRRIGUEE">Irrigation!$K$14</definedName>
    <definedName name="RECUP_EAU_PLUIE">Irrigation!$N$237</definedName>
    <definedName name="RECY_POURCENTAGE_EAUX_IRRIG">Phyto!$L$360</definedName>
    <definedName name="RECY_POURCENTAGE_SYSTEME_PARTIEL">Phyto!$L$362</definedName>
    <definedName name="RECY_POURCENTAGE_SYSTEME_TOTAL">Phyto!$L$361</definedName>
    <definedName name="RECY_SURF_CONCERNEE">Phyto!$L$350</definedName>
    <definedName name="RECY_SYSTEME_TRAIT_PARTIEL">Phyto!$L$354</definedName>
    <definedName name="RECY_SYSTEME_TRAIT_TOTAL">Phyto!$L$353</definedName>
    <definedName name="RECY_VOLUME_EAU_IRRIG">Phyto!$L$348</definedName>
    <definedName name="RECY_VOLUME_EAU_RECYCLE">Phyto!$L$349</definedName>
    <definedName name="REF_ANNUAIRE">Identification!$V$49</definedName>
    <definedName name="REGION_EXPLOITATION_SIEGE">Identification!$R$36</definedName>
    <definedName name="RENDEMENT_PARCELLE">Irrigation!$K$44</definedName>
    <definedName name="RESULTAT_AUDIT">SYNTHESE!$P$42</definedName>
    <definedName name="RESULTAT_AZOTE_ORGA">Fertilisation!$P$122</definedName>
    <definedName name="RESULTAT_BILAN_AZOTE">Fertilisation!$P$64</definedName>
    <definedName name="RESULTAT_BILAN_IAE">Biodiversité!$W$58</definedName>
    <definedName name="RESULTAT_CAMPAGNE_COLLECTIVE">Phyto!$R$195</definedName>
    <definedName name="RESULTAT_COLLECTE_DONNEES">Phyto!$R$196</definedName>
    <definedName name="RESULTAT_COUVERT_VEGETAL">Phyto!$L$329</definedName>
    <definedName name="RESULTAT_COUVERTURE_SOLS">Fertilisation!$Q$300</definedName>
    <definedName name="RESULTAT_CULTURES_HORS_SOL">Phyto!$L$287</definedName>
    <definedName name="RESULTAT_DIAGNOSTIC_PRECOCE">Phyto!$R$194</definedName>
    <definedName name="RESULTAT_DIVERSITE">Phyto!$L$296</definedName>
    <definedName name="RESULTAT_DIVERSITE_ARBO">Phyto!$L$277</definedName>
    <definedName name="RESULTAT_DIVERSITE_IAE">Biodiversité!$W$56</definedName>
    <definedName name="RESULTAT_DIVERSITE_LEG_FRUITS">Phyto!$L$282</definedName>
    <definedName name="RESULTAT_DIVERSITE_VIGNE">Phyto!$L$272</definedName>
    <definedName name="RESULTAT_EAUX_IRRIG">Phyto!$N$360</definedName>
    <definedName name="RESULTAT_HERBICIDES_CMR2">Phyto!$P$22</definedName>
    <definedName name="RESULTAT_HORS_ZONE_VULNERABLE_HORS_VITI_ARBO_HORTI">Fertilisation!$Q$290</definedName>
    <definedName name="RESULTAT_HORS_ZONE_VULNERABLE_SAU_HORS_VITI_ARBO_HORTI">Fertilisation!$Q$296</definedName>
    <definedName name="RESULTAT_LEGUMINEUSES">Fertilisation!$P$243</definedName>
    <definedName name="RESULTAT_MATERIEL_UTILISE">Phyto!$D$263</definedName>
    <definedName name="RESULTAT_METHODES_ALTERNATIVES">Phyto!$P$239</definedName>
    <definedName name="RESULTAT_NB_ESPECES_ANIMALES_ELEVEES">Biodiversité!$L$180</definedName>
    <definedName name="RESULTAT_NB_ESPECES_VEG_CULTIVEES">Biodiversité!$O$154</definedName>
    <definedName name="RESULTAT_NON_HERBICIDES_CMR2">Phyto!$P$23</definedName>
    <definedName name="RESULTAT_OAD">Fertilisation!$P$191</definedName>
    <definedName name="RESULTAT_PART_ARBO">Phyto!$L$292</definedName>
    <definedName name="RESULTAT_PART_CULTURES_HORS_SOL">Phyto!$L$294</definedName>
    <definedName name="RESULTAT_PART_LEG_FRUITS">Phyto!$L$293</definedName>
    <definedName name="RESULTAT_PART_VIGNES">Phyto!$L$291</definedName>
    <definedName name="RESULTAT_POIDS_CULTURE_PRINCIPALE">Biodiversité!$Q$112</definedName>
    <definedName name="RESULTAT_POIDS_IAE">Biodiversité!$W$53</definedName>
    <definedName name="RESULTAT_PRESENCE_RUCHES">Biodiversité!$L$199</definedName>
    <definedName name="RESULTAT_PRORATA_APPORTS_FERTILISANTS">Fertilisation!$Q$325</definedName>
    <definedName name="RESULTAT_PRORATA_SUBST_ACT">Phyto!$S$157</definedName>
    <definedName name="RESULTAT_QUALITE_BIO_SOL">Biodiversité!$O$247</definedName>
    <definedName name="RESULTAT_QUANTITE_AZOTE">Fertilisation!$S$100</definedName>
    <definedName name="RESULTAT_RACES_ANIMALES_MENACEES">Biodiversité!$L$230</definedName>
    <definedName name="RESULTAT_RECYCLAGE">Phyto!$N$363</definedName>
    <definedName name="RESULTAT_RECYCLAGE_TRAITEMENT_EAUX_IRRIG">Fertilisation!$N$353</definedName>
    <definedName name="RESULTAT_SAU_ARBO">Fertilisation!$Q$298</definedName>
    <definedName name="RESULTAT_SAU_HORTI">Fertilisation!$Q$299</definedName>
    <definedName name="RESULTAT_SAU_NON_FERTILISEE">Fertilisation!$L$215</definedName>
    <definedName name="RESULTAT_SAU_VIGNES">Fertilisation!$Q$297</definedName>
    <definedName name="RESULTAT_SOLDE_MOYEN_BILAN">Fertilisation!$P$55</definedName>
    <definedName name="RESULTAT_SUBST_ACT">Phyto!$S$154</definedName>
    <definedName name="RESULTAT_SURF_ARBO_COUVERTE">Phyto!$L$326</definedName>
    <definedName name="RESULTAT_SURF_HORTI_COUVERTE">Phyto!$L$327</definedName>
    <definedName name="RESULTAT_SURF_HS_SYSTEME_PARTIEL">Fertilisation!$N$351</definedName>
    <definedName name="RESULTAT_SURF_HS_SYSTEME_TOTAL">Fertilisation!$N$350</definedName>
    <definedName name="RESULTAT_SURF_NON_TRAITEE">Phyto!$P$55</definedName>
    <definedName name="RESULTAT_SURF_VIGNES_COUVERTE">Phyto!$L$325</definedName>
    <definedName name="RESULTAT_SURVEILLANCE">Phyto!$R$197</definedName>
    <definedName name="RESULTAT_SYSTEME_PARTIEL">Phyto!$N$362</definedName>
    <definedName name="RESULTAT_SYSTEME_TOTAL">Phyto!$N$361</definedName>
    <definedName name="RESULTAT_TAILLE_PARCELLES">Biodiversité!$S$85</definedName>
    <definedName name="RESULTAT_TOTAL_APPORTS_FERTILISANTS">Fertilisation!$Q$324</definedName>
    <definedName name="RESULTAT_TOTAL_CULTURES_MINEURES">Fertilisation!$P$187</definedName>
    <definedName name="RESULTAT_TOTAL_CULTURES_PRINCIPALES">Fertilisation!$P$181</definedName>
    <definedName name="RESULTAT_TOTAL_POINTS">Fertilisation!$S$97</definedName>
    <definedName name="RESULTAT_TOTAL_POINTS_MENACEES">Biodiversité!$L$231</definedName>
    <definedName name="RESULTAT_VAR_VEG_MENACEES">Biodiversité!$L$229</definedName>
    <definedName name="RESULTAT_ZONE_VULNERABLE_SAU_HORS_VITI_ARBO_HORTI">Fertilisation!$Q$295</definedName>
    <definedName name="RESULTAT_ZONE_VULNERABLE_SURF_HORS_VITI_ARBO_HORTI">Fertilisation!$Q$289</definedName>
    <definedName name="RESULTATS_POINTS_DEMARCHE_COLL">Irrigation!$D$139</definedName>
    <definedName name="RESULTATS_POINTS_PRATIQUES">Irrigation!$M$51</definedName>
    <definedName name="RESULTATS_POINTS_PRATIQUES_AGRO">Irrigation!$N$167</definedName>
    <definedName name="RESULTATS_POINTS_UTILISATION_MATERIEL">Irrigation!$L$124</definedName>
    <definedName name="RESULTATS_PRELEVE_ETIAGE">Irrigation!$M$190</definedName>
    <definedName name="RIZ_N">Surfaces!$O$81</definedName>
    <definedName name="RIZ_N1">Surfaces!$P$81</definedName>
    <definedName name="RIZ_N2">Surfaces!$Q$81</definedName>
    <definedName name="SAPIN_NOEL_N">Surfaces!#REF!</definedName>
    <definedName name="SAPIN_NOEL_N1">Surfaces!#REF!</definedName>
    <definedName name="SAPIN_NOEL_N2">Surfaces!#REF!</definedName>
    <definedName name="SAU_CULTIVEE_HORTI_HORS_SOL_N_M01">Surfaces_Horti!$B$40</definedName>
    <definedName name="SAU_CULTIVEE_HORTI_HORS_SOL_N_M02">Surfaces_Horti!$C$40</definedName>
    <definedName name="SAU_CULTIVEE_HORTI_HORS_SOL_N_M03">Surfaces_Horti!$D$40</definedName>
    <definedName name="SAU_CULTIVEE_HORTI_HORS_SOL_N_M04">Surfaces_Horti!$E$40</definedName>
    <definedName name="SAU_CULTIVEE_HORTI_HORS_SOL_N_M05">Surfaces_Horti!$F$40</definedName>
    <definedName name="SAU_CULTIVEE_HORTI_HORS_SOL_N_M06">Surfaces_Horti!$G$40</definedName>
    <definedName name="SAU_CULTIVEE_HORTI_HORS_SOL_N_M07">Surfaces_Horti!$H$40</definedName>
    <definedName name="SAU_CULTIVEE_HORTI_HORS_SOL_N_M08">Surfaces_Horti!$I$40</definedName>
    <definedName name="SAU_CULTIVEE_HORTI_HORS_SOL_N_M09">Surfaces_Horti!$J$40</definedName>
    <definedName name="SAU_CULTIVEE_HORTI_HORS_SOL_N_M10">Surfaces_Horti!$K$40</definedName>
    <definedName name="SAU_CULTIVEE_HORTI_HORS_SOL_N_M11">Surfaces_Horti!$L$40</definedName>
    <definedName name="SAU_CULTIVEE_HORTI_HORS_SOL_N_M12">Surfaces_Horti!$M$40</definedName>
    <definedName name="SAU_CULTIVEE_HORTI_HORS_SOL_N_MOY">Surfaces_Horti!$N$40</definedName>
    <definedName name="SAU_CULTIVEE_HORTI_HORS_SOL_N1_M01">Surfaces_Horti!$B$77</definedName>
    <definedName name="SAU_CULTIVEE_HORTI_HORS_SOL_N1_M02">Surfaces_Horti!$C$77</definedName>
    <definedName name="SAU_CULTIVEE_HORTI_HORS_SOL_N1_M03">Surfaces_Horti!$D$77</definedName>
    <definedName name="SAU_CULTIVEE_HORTI_HORS_SOL_N1_M04">Surfaces_Horti!$E$77</definedName>
    <definedName name="SAU_CULTIVEE_HORTI_HORS_SOL_N1_M05">Surfaces_Horti!$F$77</definedName>
    <definedName name="SAU_CULTIVEE_HORTI_HORS_SOL_N1_M06">Surfaces_Horti!$G$77</definedName>
    <definedName name="SAU_CULTIVEE_HORTI_HORS_SOL_N1_M07">Surfaces_Horti!$H$77</definedName>
    <definedName name="SAU_CULTIVEE_HORTI_HORS_SOL_N1_M08">Surfaces_Horti!$I$77</definedName>
    <definedName name="SAU_CULTIVEE_HORTI_HORS_SOL_N1_M09">Surfaces_Horti!$J$77</definedName>
    <definedName name="SAU_CULTIVEE_HORTI_HORS_SOL_N1_M10">Surfaces_Horti!$K$77</definedName>
    <definedName name="SAU_CULTIVEE_HORTI_HORS_SOL_N1_M11">Surfaces_Horti!$L$77</definedName>
    <definedName name="SAU_CULTIVEE_HORTI_HORS_SOL_N1_M12">Surfaces_Horti!$M$77</definedName>
    <definedName name="SAU_CULTIVEE_HORTI_HORS_SOL_N1_MOY">Surfaces_Horti!$N$77</definedName>
    <definedName name="SAU_CULTIVEE_HORTI_HORS_SOL_N2_M01">Surfaces_Horti!$B$114</definedName>
    <definedName name="SAU_CULTIVEE_HORTI_HORS_SOL_N2_M02">Surfaces_Horti!$C$114</definedName>
    <definedName name="SAU_CULTIVEE_HORTI_HORS_SOL_N2_M03">Surfaces_Horti!$D$114</definedName>
    <definedName name="SAU_CULTIVEE_HORTI_HORS_SOL_N2_M04">Surfaces_Horti!$E$114</definedName>
    <definedName name="SAU_CULTIVEE_HORTI_HORS_SOL_N2_M05">Surfaces_Horti!$F$114</definedName>
    <definedName name="SAU_CULTIVEE_HORTI_HORS_SOL_N2_M06">Surfaces_Horti!$G$114</definedName>
    <definedName name="SAU_CULTIVEE_HORTI_HORS_SOL_N2_M07">Surfaces_Horti!$H$114</definedName>
    <definedName name="SAU_CULTIVEE_HORTI_HORS_SOL_N2_M08">Surfaces_Horti!$I$114</definedName>
    <definedName name="SAU_CULTIVEE_HORTI_HORS_SOL_N2_M09">Surfaces_Horti!$J$114</definedName>
    <definedName name="SAU_CULTIVEE_HORTI_HORS_SOL_N2_M10">Surfaces_Horti!$K$114</definedName>
    <definedName name="SAU_CULTIVEE_HORTI_HORS_SOL_N2_M11">Surfaces_Horti!$L$114</definedName>
    <definedName name="SAU_CULTIVEE_HORTI_HORS_SOL_N2_M12">Surfaces_Horti!$M$114</definedName>
    <definedName name="SAU_CULTIVEE_HORTI_HORS_SOL_N2_MOY">Surfaces_Horti!$N$114</definedName>
    <definedName name="SAU_CULTIVEE_HORTI_PEPINIERE_N_M01">Surfaces_Horti!$B$38</definedName>
    <definedName name="SAU_CULTIVEE_HORTI_PEPINIERE_N_M02">Surfaces_Horti!$C$38</definedName>
    <definedName name="SAU_CULTIVEE_HORTI_PEPINIERE_N_M03">Surfaces_Horti!$D$38</definedName>
    <definedName name="SAU_CULTIVEE_HORTI_PEPINIERE_N_M04">Surfaces_Horti!$E$38</definedName>
    <definedName name="SAU_CULTIVEE_HORTI_PEPINIERE_N_M05">Surfaces_Horti!$F$38</definedName>
    <definedName name="SAU_CULTIVEE_HORTI_PEPINIERE_N_M06">Surfaces_Horti!$G$38</definedName>
    <definedName name="SAU_CULTIVEE_HORTI_PEPINIERE_N_M07">Surfaces_Horti!$H$38</definedName>
    <definedName name="SAU_CULTIVEE_HORTI_PEPINIERE_N_M08">Surfaces_Horti!$I$38</definedName>
    <definedName name="SAU_CULTIVEE_HORTI_PEPINIERE_N_M09">Surfaces_Horti!$J$38</definedName>
    <definedName name="SAU_CULTIVEE_HORTI_PEPINIERE_N_M10">Surfaces_Horti!$K$38</definedName>
    <definedName name="SAU_CULTIVEE_HORTI_PEPINIERE_N_M11">Surfaces_Horti!$L$38</definedName>
    <definedName name="SAU_CULTIVEE_HORTI_PEPINIERE_N_M12">Surfaces_Horti!$M$38</definedName>
    <definedName name="SAU_CULTIVEE_HORTI_PEPINIERE_N_MOY">Surfaces_Horti!$N$38</definedName>
    <definedName name="SAU_CULTIVEE_HORTI_PEPINIERE_N1_M01">Surfaces_Horti!$B$75</definedName>
    <definedName name="SAU_CULTIVEE_HORTI_PEPINIERE_N1_M02">Surfaces_Horti!$C$75</definedName>
    <definedName name="SAU_CULTIVEE_HORTI_PEPINIERE_N1_M03">Surfaces_Horti!$D$75</definedName>
    <definedName name="SAU_CULTIVEE_HORTI_PEPINIERE_N1_M04">Surfaces_Horti!$E$75</definedName>
    <definedName name="SAU_CULTIVEE_HORTI_PEPINIERE_N1_M05">Surfaces_Horti!$F$75</definedName>
    <definedName name="SAU_CULTIVEE_HORTI_PEPINIERE_N1_M06">Surfaces_Horti!$G$75</definedName>
    <definedName name="SAU_CULTIVEE_HORTI_PEPINIERE_N1_M07">Surfaces_Horti!$H$75</definedName>
    <definedName name="SAU_CULTIVEE_HORTI_PEPINIERE_N1_M08">Surfaces_Horti!$I$75</definedName>
    <definedName name="SAU_CULTIVEE_HORTI_PEPINIERE_N1_M09">Surfaces_Horti!$J$75</definedName>
    <definedName name="SAU_CULTIVEE_HORTI_PEPINIERE_N1_M10">Surfaces_Horti!$K$75</definedName>
    <definedName name="SAU_CULTIVEE_HORTI_PEPINIERE_N1_M11">Surfaces_Horti!$L$75</definedName>
    <definedName name="SAU_CULTIVEE_HORTI_PEPINIERE_N1_M12">Surfaces_Horti!$M$75</definedName>
    <definedName name="SAU_CULTIVEE_HORTI_PEPINIERE_N1_MOY">Surfaces_Horti!$N$75</definedName>
    <definedName name="SAU_CULTIVEE_HORTI_PEPINIERE_N2_M01">Surfaces_Horti!$B$112</definedName>
    <definedName name="SAU_CULTIVEE_HORTI_PEPINIERE_N2_M02">Surfaces_Horti!$C$112</definedName>
    <definedName name="SAU_CULTIVEE_HORTI_PEPINIERE_N2_M03">Surfaces_Horti!$D$112</definedName>
    <definedName name="SAU_CULTIVEE_HORTI_PEPINIERE_N2_M04">Surfaces_Horti!$E$112</definedName>
    <definedName name="SAU_CULTIVEE_HORTI_PEPINIERE_N2_M05">Surfaces_Horti!$F$112</definedName>
    <definedName name="SAU_CULTIVEE_HORTI_PEPINIERE_N2_M06">Surfaces_Horti!$G$112</definedName>
    <definedName name="SAU_CULTIVEE_HORTI_PEPINIERE_N2_M07">Surfaces_Horti!$H$112</definedName>
    <definedName name="SAU_CULTIVEE_HORTI_PEPINIERE_N2_M08">Surfaces_Horti!$I$112</definedName>
    <definedName name="SAU_CULTIVEE_HORTI_PEPINIERE_N2_M09">Surfaces_Horti!$J$112</definedName>
    <definedName name="SAU_CULTIVEE_HORTI_PEPINIERE_N2_M10">Surfaces_Horti!$K$112</definedName>
    <definedName name="SAU_CULTIVEE_HORTI_PEPINIERE_N2_M11">Surfaces_Horti!$L$112</definedName>
    <definedName name="SAU_CULTIVEE_HORTI_PEPINIERE_N2_M12">Surfaces_Horti!$M$112</definedName>
    <definedName name="SAU_CULTIVEE_HORTI_PEPINIERE_N2_MOY">Surfaces_Horti!$N$112</definedName>
    <definedName name="SAU_HORS_PRAIRIES_PERM">Biodiversité!$N$111</definedName>
    <definedName name="SAU_N">Surfaces!$O$24</definedName>
    <definedName name="SAU_N1">Surfaces!$P$24</definedName>
    <definedName name="SAU_N2">Surfaces!$Q$24</definedName>
    <definedName name="SAU_TOTAL_HORTI_HORS_SOL_N_M01">Surfaces_Horti!$B$41</definedName>
    <definedName name="SAU_TOTAL_HORTI_HORS_SOL_N_M02">Surfaces_Horti!$C$41</definedName>
    <definedName name="SAU_TOTAL_HORTI_HORS_SOL_N_M03">Surfaces_Horti!$D$41</definedName>
    <definedName name="SAU_TOTAL_HORTI_HORS_SOL_N_M04">Surfaces_Horti!$E$41</definedName>
    <definedName name="SAU_TOTAL_HORTI_HORS_SOL_N_M05">Surfaces_Horti!$F$41</definedName>
    <definedName name="SAU_TOTAL_HORTI_HORS_SOL_N_M06">Surfaces_Horti!$G$41</definedName>
    <definedName name="SAU_TOTAL_HORTI_HORS_SOL_N_M07">Surfaces_Horti!$H$41</definedName>
    <definedName name="SAU_TOTAL_HORTI_HORS_SOL_N_M08">Surfaces_Horti!$I$41</definedName>
    <definedName name="SAU_TOTAL_HORTI_HORS_SOL_N_M09">Surfaces_Horti!$J$41</definedName>
    <definedName name="SAU_TOTAL_HORTI_HORS_SOL_N_M10">Surfaces_Horti!$K$41</definedName>
    <definedName name="SAU_TOTAL_HORTI_HORS_SOL_N_M11">Surfaces_Horti!$L$41</definedName>
    <definedName name="SAU_TOTAL_HORTI_HORS_SOL_N_M12">Surfaces_Horti!$M$41</definedName>
    <definedName name="SAU_TOTAL_HORTI_HORS_SOL_N_MOY">Surfaces_Horti!$N$41</definedName>
    <definedName name="SAU_TOTAL_HORTI_HORS_SOL_N1_M01">Surfaces_Horti!$B$78</definedName>
    <definedName name="SAU_TOTAL_HORTI_HORS_SOL_N1_M02">Surfaces_Horti!$C$78</definedName>
    <definedName name="SAU_TOTAL_HORTI_HORS_SOL_N1_M03">Surfaces_Horti!$D$78</definedName>
    <definedName name="SAU_TOTAL_HORTI_HORS_SOL_N1_M04">Surfaces_Horti!$E$78</definedName>
    <definedName name="SAU_TOTAL_HORTI_HORS_SOL_N1_M05">Surfaces_Horti!$F$78</definedName>
    <definedName name="SAU_TOTAL_HORTI_HORS_SOL_N1_M06">Surfaces_Horti!$G$78</definedName>
    <definedName name="SAU_TOTAL_HORTI_HORS_SOL_N1_M07">Surfaces_Horti!$H$78</definedName>
    <definedName name="SAU_TOTAL_HORTI_HORS_SOL_N1_M08">Surfaces_Horti!$I$78</definedName>
    <definedName name="SAU_TOTAL_HORTI_HORS_SOL_N1_M09">Surfaces_Horti!$J$78</definedName>
    <definedName name="SAU_TOTAL_HORTI_HORS_SOL_N1_M10">Surfaces_Horti!$K$78</definedName>
    <definedName name="SAU_TOTAL_HORTI_HORS_SOL_N1_M11">Surfaces_Horti!$L$78</definedName>
    <definedName name="SAU_TOTAL_HORTI_HORS_SOL_N1_M12">Surfaces_Horti!$M$78</definedName>
    <definedName name="SAU_TOTAL_HORTI_HORS_SOL_N1_MOY">Surfaces_Horti!$N$78</definedName>
    <definedName name="SAU_TOTAL_HORTI_HORS_SOL_N2_M01">Surfaces_Horti!$B$115</definedName>
    <definedName name="SAU_TOTAL_HORTI_HORS_SOL_N2_M02">Surfaces_Horti!$C$115</definedName>
    <definedName name="SAU_TOTAL_HORTI_HORS_SOL_N2_M03">Surfaces_Horti!$D$115</definedName>
    <definedName name="SAU_TOTAL_HORTI_HORS_SOL_N2_M04">Surfaces_Horti!$E$115</definedName>
    <definedName name="SAU_TOTAL_HORTI_HORS_SOL_N2_M05">Surfaces_Horti!$F$115</definedName>
    <definedName name="SAU_TOTAL_HORTI_HORS_SOL_N2_M06">Surfaces_Horti!$G$115</definedName>
    <definedName name="SAU_TOTAL_HORTI_HORS_SOL_N2_M07">Surfaces_Horti!$H$115</definedName>
    <definedName name="SAU_TOTAL_HORTI_HORS_SOL_N2_M08">Surfaces_Horti!$I$115</definedName>
    <definedName name="SAU_TOTAL_HORTI_HORS_SOL_N2_M09">Surfaces_Horti!$J$115</definedName>
    <definedName name="SAU_TOTAL_HORTI_HORS_SOL_N2_M10">Surfaces_Horti!$K$115</definedName>
    <definedName name="SAU_TOTAL_HORTI_HORS_SOL_N2_M11">Surfaces_Horti!$L$115</definedName>
    <definedName name="SAU_TOTAL_HORTI_HORS_SOL_N2_M12">Surfaces_Horti!$M$115</definedName>
    <definedName name="SAU_TOTAL_HORTI_HORS_SOL_N2_MOY">Surfaces_Horti!$N$115</definedName>
    <definedName name="SAU_TOTALE_HORTI_PEPINIERE_N_M01">Surfaces_Horti!$B$39</definedName>
    <definedName name="SAU_TOTALE_HORTI_PEPINIERE_N_M02">Surfaces_Horti!$C$39</definedName>
    <definedName name="SAU_TOTALE_HORTI_PEPINIERE_N_M03">Surfaces_Horti!$D$39</definedName>
    <definedName name="SAU_TOTALE_HORTI_PEPINIERE_N_M04">Surfaces_Horti!$E$39</definedName>
    <definedName name="SAU_TOTALE_HORTI_PEPINIERE_N_M05">Surfaces_Horti!$F$39</definedName>
    <definedName name="SAU_TOTALE_HORTI_PEPINIERE_N_M06">Surfaces_Horti!$G$39</definedName>
    <definedName name="SAU_TOTALE_HORTI_PEPINIERE_N_M07">Surfaces_Horti!$H$39</definedName>
    <definedName name="SAU_TOTALE_HORTI_PEPINIERE_N_M08">Surfaces_Horti!$I$39</definedName>
    <definedName name="SAU_TOTALE_HORTI_PEPINIERE_N_M09">Surfaces_Horti!$J$39</definedName>
    <definedName name="SAU_TOTALE_HORTI_PEPINIERE_N_M10">Surfaces_Horti!$K$39</definedName>
    <definedName name="SAU_TOTALE_HORTI_PEPINIERE_N_M11">Surfaces_Horti!$L$39</definedName>
    <definedName name="SAU_TOTALE_HORTI_PEPINIERE_N_M12">Surfaces_Horti!$M$39</definedName>
    <definedName name="SAU_TOTALE_HORTI_PEPINIERE_N_MOY">Surfaces_Horti!$N$39</definedName>
    <definedName name="SAU_TOTALE_HORTI_PEPINIERE_N1_M01">Surfaces_Horti!$B$76</definedName>
    <definedName name="SAU_TOTALE_HORTI_PEPINIERE_N1_M02">Surfaces_Horti!$C$76</definedName>
    <definedName name="SAU_TOTALE_HORTI_PEPINIERE_N1_M03">Surfaces_Horti!$D$76</definedName>
    <definedName name="SAU_TOTALE_HORTI_PEPINIERE_N1_M04">Surfaces_Horti!$E$76</definedName>
    <definedName name="SAU_TOTALE_HORTI_PEPINIERE_N1_M05">Surfaces_Horti!$F$76</definedName>
    <definedName name="SAU_TOTALE_HORTI_PEPINIERE_N1_M06">Surfaces_Horti!$G$76</definedName>
    <definedName name="SAU_TOTALE_HORTI_PEPINIERE_N1_M07">Surfaces_Horti!$H$76</definedName>
    <definedName name="SAU_TOTALE_HORTI_PEPINIERE_N1_M08">Surfaces_Horti!$I$76</definedName>
    <definedName name="SAU_TOTALE_HORTI_PEPINIERE_N1_M09">Surfaces_Horti!$J$76</definedName>
    <definedName name="SAU_TOTALE_HORTI_PEPINIERE_N1_M10">Surfaces_Horti!$K$76</definedName>
    <definedName name="SAU_TOTALE_HORTI_PEPINIERE_N1_M11">Surfaces_Horti!$L$76</definedName>
    <definedName name="SAU_TOTALE_HORTI_PEPINIERE_N1_M12">Surfaces_Horti!$M$76</definedName>
    <definedName name="SAU_TOTALE_HORTI_PEPINIERE_N1_MOY">Surfaces_Horti!$N$76</definedName>
    <definedName name="SAU_TOTALE_HORTI_PEPINIERE_N2_M01">Surfaces_Horti!$B$113</definedName>
    <definedName name="SAU_TOTALE_HORTI_PEPINIERE_N2_M02">Surfaces_Horti!$C$113</definedName>
    <definedName name="SAU_TOTALE_HORTI_PEPINIERE_N2_M03">Surfaces_Horti!$D$113</definedName>
    <definedName name="SAU_TOTALE_HORTI_PEPINIERE_N2_M04">Surfaces_Horti!$E$113</definedName>
    <definedName name="SAU_TOTALE_HORTI_PEPINIERE_N2_M05">Surfaces_Horti!$F$113</definedName>
    <definedName name="SAU_TOTALE_HORTI_PEPINIERE_N2_M06">Surfaces_Horti!$G$113</definedName>
    <definedName name="SAU_TOTALE_HORTI_PEPINIERE_N2_M07">Surfaces_Horti!$H$113</definedName>
    <definedName name="SAU_TOTALE_HORTI_PEPINIERE_N2_M08">Surfaces_Horti!$I$113</definedName>
    <definedName name="SAU_TOTALE_HORTI_PEPINIERE_N2_M09">Surfaces_Horti!$J$113</definedName>
    <definedName name="SAU_TOTALE_HORTI_PEPINIERE_N2_M10">Surfaces_Horti!$K$113</definedName>
    <definedName name="SAU_TOTALE_HORTI_PEPINIERE_N2_M11">Surfaces_Horti!$L$113</definedName>
    <definedName name="SAU_TOTALE_HORTI_PEPINIERE_N2_M12">Surfaces_Horti!$M$113</definedName>
    <definedName name="SAU_TOTALE_HORTI_PEPINIERE_N2_MOY">Surfaces_Horti!$N$113</definedName>
    <definedName name="SEPARATION_CULTURE_MARAICHAGE_N">Surfaces!$O$40</definedName>
    <definedName name="SEPARATION_CULTURE_MARAICHAGE_N1">Surfaces!$P$40</definedName>
    <definedName name="SEPARATION_CULTURE_MARAICHAGE_N2">Surfaces!$Q$40</definedName>
    <definedName name="SEPARATION_CULTURE_PROD_SEMENCE_N">Surfaces!$O$39</definedName>
    <definedName name="SEPARATION_CULTURE_PROD_SEMENCE_N1">Surfaces!$P$39</definedName>
    <definedName name="SEPARATION_CULTURE_PROD_SEMENCE_N2">Surfaces!$Q$39</definedName>
    <definedName name="SIRET_EXPLOITATION">Identification!$F$36</definedName>
    <definedName name="SITE_INTERNET_EXPLOITATION">Identification!$R$47</definedName>
    <definedName name="SNA_N">Surfaces!$O$51</definedName>
    <definedName name="SNA_N1">Surfaces!$P$51</definedName>
    <definedName name="SNA_N2">Surfaces!$Q$51</definedName>
    <definedName name="SNE_N">Surfaces!$O$26</definedName>
    <definedName name="SNE_N1">Surfaces!$P$26</definedName>
    <definedName name="SNE_N2">Surfaces!$Q$26</definedName>
    <definedName name="SOJA_N">Surfaces!$O$88</definedName>
    <definedName name="SOJA_N1">Surfaces!$P$88</definedName>
    <definedName name="SOJA_N2">Surfaces!$Q$88</definedName>
    <definedName name="SOL_NU_N">Surfaces!$O$33</definedName>
    <definedName name="SOL_NU_N1">Surfaces!$P$33</definedName>
    <definedName name="SOL_NU_N2">Surfaces!$Q$33</definedName>
    <definedName name="SOLDE_MOYEN_BILAN">Fertilisation!$M$55</definedName>
    <definedName name="SOMME_AUTRES_CULTURES">Biodiversité!$L$148</definedName>
    <definedName name="SOMME_CULTURES_ARABLES">Biodiversité!$L$130</definedName>
    <definedName name="SOMME_PARCELLES_INF_6HA">Biodiversité!$P$82</definedName>
    <definedName name="STATUT_JURIDIQUE">Identification!$F$56</definedName>
    <definedName name="SUBST_ACT_PLAFOND_RETENU">Phyto!$Q$152</definedName>
    <definedName name="SUBST_ACT_PLANCHER_RETENU">Phyto!$Q$153</definedName>
    <definedName name="SUPERFICIE_TOTALE_IRRIGABLE">Irrigation!$K$12</definedName>
    <definedName name="SUPERFICIE_TOTALE_IRRIGUEE">Irrigation!$K$13</definedName>
    <definedName name="SURF_CULTURES_ANNUELLES_CONCERNEE">Phyto!$R$179</definedName>
    <definedName name="SURF_CULTURES_MINEURES">Fertilisation!$M$58</definedName>
    <definedName name="SURF_CULTURES_PERENNES_CONCERNEE">Phyto!$R$184</definedName>
    <definedName name="SURF_FOUILLES_N">Surfaces!$O$47</definedName>
    <definedName name="SURF_FOUILLES_N1">Surfaces!$P$47</definedName>
    <definedName name="SURF_FOUILLES_N2">Surfaces!$Q$47</definedName>
    <definedName name="SURF_HORS_SOL_NON_CULTIVEE_N_M01">Surfaces_Horti!$B$36</definedName>
    <definedName name="SURF_HORS_SOL_NON_CULTIVEE_N_M02">Surfaces_Horti!$C$36</definedName>
    <definedName name="SURF_HORS_SOL_NON_CULTIVEE_N_M03">Surfaces_Horti!$D$36</definedName>
    <definedName name="SURF_HORS_SOL_NON_CULTIVEE_N_M04">Surfaces_Horti!$E$36</definedName>
    <definedName name="SURF_HORS_SOL_NON_CULTIVEE_N_M05">Surfaces_Horti!$F$36</definedName>
    <definedName name="SURF_HORS_SOL_NON_CULTIVEE_N_M06">Surfaces_Horti!$G$36</definedName>
    <definedName name="SURF_HORS_SOL_NON_CULTIVEE_N_M07">Surfaces_Horti!$H$36</definedName>
    <definedName name="SURF_HORS_SOL_NON_CULTIVEE_N_M08">Surfaces_Horti!$I$36</definedName>
    <definedName name="SURF_HORS_SOL_NON_CULTIVEE_N_M09">Surfaces_Horti!$J$36</definedName>
    <definedName name="SURF_HORS_SOL_NON_CULTIVEE_N_M10">Surfaces_Horti!$K$36</definedName>
    <definedName name="SURF_HORS_SOL_NON_CULTIVEE_N_M11">Surfaces_Horti!$L$36</definedName>
    <definedName name="SURF_HORS_SOL_NON_CULTIVEE_N_M12">Surfaces_Horti!$M$36</definedName>
    <definedName name="SURF_HORS_SOL_NON_CULTIVEE_N_MOY">Surfaces_Horti!$N$36</definedName>
    <definedName name="SURF_HORS_SOL_NON_CULTIVEE_N1_M01">Surfaces_Horti!$B$73</definedName>
    <definedName name="SURF_HORS_SOL_NON_CULTIVEE_N1_M02">Surfaces_Horti!$C$73</definedName>
    <definedName name="SURF_HORS_SOL_NON_CULTIVEE_N1_M03">Surfaces_Horti!$D$73</definedName>
    <definedName name="SURF_HORS_SOL_NON_CULTIVEE_N1_M04">Surfaces_Horti!$E$73</definedName>
    <definedName name="SURF_HORS_SOL_NON_CULTIVEE_N1_M05">Surfaces_Horti!$F$73</definedName>
    <definedName name="SURF_HORS_SOL_NON_CULTIVEE_N1_M06">Surfaces_Horti!$G$73</definedName>
    <definedName name="SURF_HORS_SOL_NON_CULTIVEE_N1_M07">Surfaces_Horti!$H$73</definedName>
    <definedName name="SURF_HORS_SOL_NON_CULTIVEE_N1_M08">Surfaces_Horti!$I$73</definedName>
    <definedName name="SURF_HORS_SOL_NON_CULTIVEE_N1_M09">Surfaces_Horti!$J$73</definedName>
    <definedName name="SURF_HORS_SOL_NON_CULTIVEE_N1_M10">Surfaces_Horti!$K$73</definedName>
    <definedName name="SURF_HORS_SOL_NON_CULTIVEE_N1_M11">Surfaces_Horti!$L$73</definedName>
    <definedName name="SURF_HORS_SOL_NON_CULTIVEE_N1_M12">Surfaces_Horti!$M$73</definedName>
    <definedName name="SURF_HORS_SOL_NON_CULTIVEE_N1_MOY">Surfaces_Horti!$N$73</definedName>
    <definedName name="SURF_HORS_SOL_NON_CULTIVEE_N2_M01">Surfaces_Horti!$B$110</definedName>
    <definedName name="SURF_HORS_SOL_NON_CULTIVEE_N2_M02">Surfaces_Horti!$C$110</definedName>
    <definedName name="SURF_HORS_SOL_NON_CULTIVEE_N2_M03">Surfaces_Horti!$D$110</definedName>
    <definedName name="SURF_HORS_SOL_NON_CULTIVEE_N2_M04">Surfaces_Horti!$E$110</definedName>
    <definedName name="SURF_HORS_SOL_NON_CULTIVEE_N2_M05">Surfaces_Horti!$F$110</definedName>
    <definedName name="SURF_HORS_SOL_NON_CULTIVEE_N2_M06">Surfaces_Horti!$G$110</definedName>
    <definedName name="SURF_HORS_SOL_NON_CULTIVEE_N2_M07">Surfaces_Horti!$H$110</definedName>
    <definedName name="SURF_HORS_SOL_NON_CULTIVEE_N2_M08">Surfaces_Horti!$I$110</definedName>
    <definedName name="SURF_HORS_SOL_NON_CULTIVEE_N2_M09">Surfaces_Horti!$J$110</definedName>
    <definedName name="SURF_HORS_SOL_NON_CULTIVEE_N2_M10">Surfaces_Horti!$K$110</definedName>
    <definedName name="SURF_HORS_SOL_NON_CULTIVEE_N2_M11">Surfaces_Horti!$L$110</definedName>
    <definedName name="SURF_HORS_SOL_NON_CULTIVEE_N2_M12">Surfaces_Horti!$M$110</definedName>
    <definedName name="SURF_HORS_SOL_NON_CULTIVEE_N2_MOY">Surfaces_Horti!$N$110</definedName>
    <definedName name="SURF_HORTI_EQUIPEE">Fertilisation!$O$318</definedName>
    <definedName name="SURF_HORTICULTURE">Irrigation!$M$84</definedName>
    <definedName name="SURF_HS_RECYCL_TRAIT_PARTIEL">Fertilisation!$L$345</definedName>
    <definedName name="SURF_HS_RECYCL_TRAIT_TOTAL">Fertilisation!$L$344</definedName>
    <definedName name="SURF_IRRIGUEE">Irrigation!$K$33</definedName>
    <definedName name="SURF_IRRIGUEE_AVEC_MATERIEL">Irrigation!$J$118</definedName>
    <definedName name="SURF_IRRIGUEE_AVEC_PRATIQUES_AGRO">Irrigation!$L$154</definedName>
    <definedName name="SURF_LEGUMINEUSES_INTER_RANGS">Fertilisation!$N$238</definedName>
    <definedName name="SURF_PP_LEGUMINEUSES">Fertilisation!$N$236</definedName>
    <definedName name="SURF_PP_NON_TRAITEES">Phyto!$M$45</definedName>
    <definedName name="SURF_PRAIRIES_PERM">Biodiversité!$P$83</definedName>
    <definedName name="SURF_PROTEAGINEUX">Fertilisation!$N$233</definedName>
    <definedName name="SURF_REELLES_IAE">Phyto!$M$44</definedName>
    <definedName name="SURF_TOT_EXP_N">Surfaces!$O$22</definedName>
    <definedName name="SURF_TOT_EXP_N1">Surfaces!$P$22</definedName>
    <definedName name="SURF_TOT_EXP_N2">Surfaces!$Q$22</definedName>
    <definedName name="SURF_TOT_NON_CULTIVEE_N_M01">Surfaces_Horti!$B$35</definedName>
    <definedName name="SURF_TOT_NON_CULTIVEE_N_M02">Surfaces_Horti!$C$35</definedName>
    <definedName name="SURF_TOT_NON_CULTIVEE_N_M03">Surfaces_Horti!$D$35</definedName>
    <definedName name="SURF_TOT_NON_CULTIVEE_N_M04">Surfaces_Horti!$E$35</definedName>
    <definedName name="SURF_TOT_NON_CULTIVEE_N_M05">Surfaces_Horti!$F$35</definedName>
    <definedName name="SURF_TOT_NON_CULTIVEE_N_M06">Surfaces_Horti!$G$35</definedName>
    <definedName name="SURF_TOT_NON_CULTIVEE_N_M07">Surfaces_Horti!$H$35</definedName>
    <definedName name="SURF_TOT_NON_CULTIVEE_N_M08">Surfaces_Horti!$I$35</definedName>
    <definedName name="SURF_TOT_NON_CULTIVEE_N_M09">Surfaces_Horti!$J$35</definedName>
    <definedName name="SURF_TOT_NON_CULTIVEE_N_M10">Surfaces_Horti!$K$35</definedName>
    <definedName name="SURF_TOT_NON_CULTIVEE_N_M11">Surfaces_Horti!$L$35</definedName>
    <definedName name="SURF_TOT_NON_CULTIVEE_N_M12">Surfaces_Horti!$M$35</definedName>
    <definedName name="SURF_TOT_NON_CULTIVEE_N_MOY">Surfaces_Horti!$N$35</definedName>
    <definedName name="SURF_TOT_NON_CULTIVEE_N1_M01">Surfaces_Horti!$B$72</definedName>
    <definedName name="SURF_TOT_NON_CULTIVEE_N1_M02">Surfaces_Horti!$C$72</definedName>
    <definedName name="SURF_TOT_NON_CULTIVEE_N1_M03">Surfaces_Horti!$D$72</definedName>
    <definedName name="SURF_TOT_NON_CULTIVEE_N1_M04">Surfaces_Horti!$E$72</definedName>
    <definedName name="SURF_TOT_NON_CULTIVEE_N1_M05">Surfaces_Horti!$F$72</definedName>
    <definedName name="SURF_TOT_NON_CULTIVEE_N1_M06">Surfaces_Horti!$G$72</definedName>
    <definedName name="SURF_TOT_NON_CULTIVEE_N1_M07">Surfaces_Horti!$H$72</definedName>
    <definedName name="SURF_TOT_NON_CULTIVEE_N1_M08">Surfaces_Horti!$I$72</definedName>
    <definedName name="SURF_TOT_NON_CULTIVEE_N1_M09">Surfaces_Horti!$J$72</definedName>
    <definedName name="SURF_TOT_NON_CULTIVEE_N1_M10">Surfaces_Horti!$K$72</definedName>
    <definedName name="SURF_TOT_NON_CULTIVEE_N1_M11">Surfaces_Horti!$L$72</definedName>
    <definedName name="SURF_TOT_NON_CULTIVEE_N1_M12">Surfaces_Horti!$M$72</definedName>
    <definedName name="SURF_TOT_NON_CULTIVEE_N1_MOY">Surfaces_Horti!$N$72</definedName>
    <definedName name="SURF_TOT_NON_CULTIVEE_N2_M01">Surfaces_Horti!$B$109</definedName>
    <definedName name="SURF_TOT_NON_CULTIVEE_N2_M02">Surfaces_Horti!$C$109</definedName>
    <definedName name="SURF_TOT_NON_CULTIVEE_N2_M03">Surfaces_Horti!$D$109</definedName>
    <definedName name="SURF_TOT_NON_CULTIVEE_N2_M04">Surfaces_Horti!$E$109</definedName>
    <definedName name="SURF_TOT_NON_CULTIVEE_N2_M05">Surfaces_Horti!$F$109</definedName>
    <definedName name="SURF_TOT_NON_CULTIVEE_N2_M06">Surfaces_Horti!$G$109</definedName>
    <definedName name="SURF_TOT_NON_CULTIVEE_N2_M07">Surfaces_Horti!$H$109</definedName>
    <definedName name="SURF_TOT_NON_CULTIVEE_N2_M08">Surfaces_Horti!$I$109</definedName>
    <definedName name="SURF_TOT_NON_CULTIVEE_N2_M09">Surfaces_Horti!$J$109</definedName>
    <definedName name="SURF_TOT_NON_CULTIVEE_N2_M10">Surfaces_Horti!$K$109</definedName>
    <definedName name="SURF_TOT_NON_CULTIVEE_N2_M11">Surfaces_Horti!$L$109</definedName>
    <definedName name="SURF_TOT_NON_CULTIVEE_N2_M12">Surfaces_Horti!$M$109</definedName>
    <definedName name="SURF_TOT_NON_CULTIVEE_N2_MOY">Surfaces_Horti!$N$109</definedName>
    <definedName name="SURF_TOTALE_CULTURES_ANNUELLES">Phyto!$R$180</definedName>
    <definedName name="SURF_TOTALE_CULTURES_PERENNES">Phyto!$R$185</definedName>
    <definedName name="SURF_TOTALE_NON_TRAITEE">Phyto!$M$54</definedName>
    <definedName name="SURF_TRAVAUX_N">Surfaces!$O$46</definedName>
    <definedName name="SURF_TRAVAUX_N1">Surfaces!$P$46</definedName>
    <definedName name="SURF_TRAVAUX_N2">Surfaces!$Q$46</definedName>
    <definedName name="SURF_VIGNE_ARRACHEE_N">Surfaces!$O$49</definedName>
    <definedName name="SURF_VIGNE_ARRACHEE_N1">Surfaces!$P$49</definedName>
    <definedName name="SURF_VIGNE_ARRACHEE_N2">Surfaces!$Q$49</definedName>
    <definedName name="SURFACE_COUVERTE_HORTI_PEPI">Fertilisation!$O$283</definedName>
    <definedName name="SURFACE_CULTURE_PRINCIPALE">Biodiversité!$N$105</definedName>
    <definedName name="SURVEILLANCE_ACTIVE_POURCENTAGE_CONCERNE">Phyto!$R$191</definedName>
    <definedName name="TEST_BECHE">Biodiversité!$O$243</definedName>
    <definedName name="TOT_NB_ESPECES">Biodiversité!$L$152</definedName>
    <definedName name="TOTAL_ARBORICULTURE_N">Surfaces!$O$159</definedName>
    <definedName name="TOTAL_ARBORICULTURE_N1">Surfaces!$P$159</definedName>
    <definedName name="TOTAL_ARBORICULTURE_N2">Surfaces!$Q$159</definedName>
    <definedName name="TOTAL_CEREALES_N">Surfaces!$O$83</definedName>
    <definedName name="TOTAL_CEREALES_N1">Surfaces!$P$83</definedName>
    <definedName name="TOTAL_CEREALES_N2">Surfaces!$Q$83</definedName>
    <definedName name="TOTAL_CMR">Phyto!$P$25</definedName>
    <definedName name="TOTAL_CP_GC">Fertilisation!$P$173</definedName>
    <definedName name="TOTAL_CP_VAM">Fertilisation!$P$179</definedName>
    <definedName name="TOTAL_CULTURES_INDUSTRIELLES_N">Surfaces!$O$129</definedName>
    <definedName name="TOTAL_CULTURES_INDUSTRIELLES_N1">Surfaces!$P$129</definedName>
    <definedName name="TOTAL_CULTURES_INDUSTRIELLES_N2">Surfaces!$Q$129</definedName>
    <definedName name="TOTAL_ESPECES_ELEVEES">Biodiversité!$I$180</definedName>
    <definedName name="TOTAL_FIBRES_JACHERES_N">Surfaces!$O$105</definedName>
    <definedName name="TOTAL_FIBRES_JACHERES_N1">Surfaces!$P$105</definedName>
    <definedName name="TOTAL_FIBRES_JACHERES_N2">Surfaces!$Q$105</definedName>
    <definedName name="TOTAL_FOURRAGES_N">Surfaces!$O$111</definedName>
    <definedName name="TOTAL_FOURRAGES_N1">Surfaces!$P$111</definedName>
    <definedName name="TOTAL_FOURRAGES_N2">Surfaces!$Q$111</definedName>
    <definedName name="TOTAL_LEGUMES_FLEURS_FRUITS_N">Surfaces!$O$137</definedName>
    <definedName name="TOTAL_LEGUMES_FLEURS_FRUITS_N1">Surfaces!$P$137</definedName>
    <definedName name="TOTAL_LEGUMES_FLEURS_FRUITS_N2">Surfaces!$Q$137</definedName>
    <definedName name="TOTAL_MAX_POINTS">Phyto!$O$121</definedName>
    <definedName name="TOTAL_OLEAGINEUX_N">Surfaces!$O$90</definedName>
    <definedName name="TOTAL_OLEAGINEUX_N1">Surfaces!$P$90</definedName>
    <definedName name="TOTAL_OLEAGINEUX_N2">Surfaces!$Q$90</definedName>
    <definedName name="TOTAL_PROTEAGINEUX_LEGUMINEUSES_N">Surfaces!$O$97</definedName>
    <definedName name="TOTAL_PROTEAGINEUX_LEGUMINEUSES_N1">Surfaces!$P$97</definedName>
    <definedName name="TOTAL_PROTEAGINEUX_LEGUMINEUSES_N2">Surfaces!$Q$97</definedName>
    <definedName name="TOTAL_RESULTAT">Phyto!$M$121</definedName>
    <definedName name="TOTAL_RUCHES">Biodiversité!$I$199</definedName>
    <definedName name="TOTAL_SAU_HORS_VITI_ARBO_HORTI">Fertilisation!$O$288</definedName>
    <definedName name="TOTAL_SURF">Phyto!$K$120</definedName>
    <definedName name="TOTAL_SURF_ARBO_CULTURES_PERENNES">Phyto!$J$323</definedName>
    <definedName name="TOTAL_SURF_BLE">Fertilisation!$N$160</definedName>
    <definedName name="TOTAL_SURF_GC">Fertilisation!$N$161</definedName>
    <definedName name="TOTAL_SURF_HORTI_HORS_PEPI">Phyto!$J$324</definedName>
    <definedName name="TOTAL_SURF_LEGUMINEUSES">Fertilisation!$N$242</definedName>
    <definedName name="TOTAL_SURF_VIGNE_ARBO_MARAICHAGE">Fertilisation!$N$162</definedName>
    <definedName name="TOTAL_SURFACE_LEG">Fertilisation!$N$241</definedName>
    <definedName name="TOTAL_SURFACES_HERBE_N">Surfaces!$O$122</definedName>
    <definedName name="TOTAL_SURFACES_HERBE_N1">Surfaces!$P$122</definedName>
    <definedName name="TOTAL_SURFACES_HERBE_N2">Surfaces!$Q$122</definedName>
    <definedName name="TOTAL_SURFACES_NON_FERTILISEES">Fertilisation!$J$214</definedName>
    <definedName name="TOURNESOL_N">Surfaces!$O$87</definedName>
    <definedName name="TOURNESOL_N1">Surfaces!$P$87</definedName>
    <definedName name="TOURNESOL_N2">Surfaces!$Q$87</definedName>
    <definedName name="TOURNIERE_N">Surfaces!$O$36</definedName>
    <definedName name="TOURNIERE_N1">Surfaces!$P$36</definedName>
    <definedName name="TOURNIERE_N2">Surfaces!$Q$36</definedName>
    <definedName name="TOUTES_CULTURES_HORS_SOL_N">Surfaces!$O$136</definedName>
    <definedName name="TOUTES_CULTURES_HORS_SOL_N1">Surfaces!$P$136</definedName>
    <definedName name="TOUTES_CULTURES_HORS_SOL_N2">Surfaces!$Q$136</definedName>
    <definedName name="TRITICALE_N">Surfaces!$O$80</definedName>
    <definedName name="TRITICALE_N1">Surfaces!$P$80</definedName>
    <definedName name="TRITICALE_N2">Surfaces!$Q$80</definedName>
    <definedName name="TYPE_AUDIT">Identification!$F$14</definedName>
    <definedName name="TYPE_CERTIF">Identification!$L$12</definedName>
    <definedName name="UTILISATION_CMR1">Phyto!$L$11</definedName>
    <definedName name="UTILISATION_HERBICIDES_CMR2">Phyto!$M$22</definedName>
    <definedName name="UTILISATION_NON_HERBICIDES_CMR2">Phyto!$M$23</definedName>
    <definedName name="V_ACTIVITE_PRINCIPALE">Identification!$H$61</definedName>
    <definedName name="V_ACTIVITE_SECOND">Identification!$H$63</definedName>
    <definedName name="V_AUTRE_ACTIVITE">Identification!$H$65</definedName>
    <definedName name="VARIETE_IRRIGUEE">Irrigation!$K$41</definedName>
    <definedName name="VEGETAUX_NATURELS_N">Surfaces!$O$54</definedName>
    <definedName name="VEGETAUX_NATURELS_N1">Surfaces!$P$54</definedName>
    <definedName name="VEGETAUX_NATURELS_N2">Surfaces!$Q$54</definedName>
    <definedName name="VENTE_DIRECTE">Identification!$F$72</definedName>
    <definedName name="VERGER_CHOIX01">Surfaces!$E$144</definedName>
    <definedName name="VERGER_CHOIX01_N">Surfaces!$O$144</definedName>
    <definedName name="VERGER_CHOIX01_N1">Surfaces!$P$144</definedName>
    <definedName name="VERGER_CHOIX01_N2">Surfaces!$Q$144</definedName>
    <definedName name="VERGER_CHOIX02">Surfaces!$E$145</definedName>
    <definedName name="VERGER_CHOIX02_N">Surfaces!$O$145</definedName>
    <definedName name="VERGER_CHOIX02_N1">Surfaces!$P$145</definedName>
    <definedName name="VERGER_CHOIX02_N2">Surfaces!$Q$145</definedName>
    <definedName name="VERGER_CHOIX03">Surfaces!$E$146</definedName>
    <definedName name="VERGER_CHOIX03_N">Surfaces!$O$146</definedName>
    <definedName name="VERGER_CHOIX03_N1">Surfaces!$P$146</definedName>
    <definedName name="VERGER_CHOIX03_N2">Surfaces!$Q$146</definedName>
    <definedName name="VERGER_CHOIX04">Surfaces!$E$147</definedName>
    <definedName name="VERGER_CHOIX04_N">Surfaces!$O$147</definedName>
    <definedName name="VERGER_CHOIX04_N1">Surfaces!$P$147</definedName>
    <definedName name="VERGER_CHOIX04_N2">Surfaces!$Q$147</definedName>
    <definedName name="VERGER_CHOIX05">Surfaces!$E$148</definedName>
    <definedName name="VERGER_CHOIX05_N">Surfaces!$O$148</definedName>
    <definedName name="VERGER_CHOIX05_N1">Surfaces!$P$148</definedName>
    <definedName name="VERGER_CHOIX05_N2">Surfaces!$Q$148</definedName>
    <definedName name="VERGER_CHOIX06">Surfaces!$E$149</definedName>
    <definedName name="VERGER_CHOIX06_N">Surfaces!$O$149</definedName>
    <definedName name="VERGER_CHOIX06_N1">Surfaces!$P$149</definedName>
    <definedName name="VERGER_CHOIX06_N2">Surfaces!$Q$149</definedName>
    <definedName name="VERGER_CHOIX07">Surfaces!$E$150</definedName>
    <definedName name="VERGER_CHOIX07_N">Surfaces!$O$150</definedName>
    <definedName name="VERGER_CHOIX07_N1">Surfaces!$P$150</definedName>
    <definedName name="VERGER_CHOIX07_N2">Surfaces!$Q$150</definedName>
    <definedName name="VERGER_CHOIX08">Surfaces!$E$151</definedName>
    <definedName name="VERGER_CHOIX08_N">Surfaces!$O$151</definedName>
    <definedName name="VERGER_CHOIX08_N1">Surfaces!$P$151</definedName>
    <definedName name="VERGER_CHOIX08_N2">Surfaces!$Q$151</definedName>
    <definedName name="VERGER_CHOIX09">Surfaces!$E$152</definedName>
    <definedName name="VERGER_CHOIX09_N">Surfaces!$O$152</definedName>
    <definedName name="VERGER_CHOIX09_N1">Surfaces!$P$152</definedName>
    <definedName name="VERGER_CHOIX09_N2">Surfaces!$Q$152</definedName>
    <definedName name="VERGER_CHOIX10">Surfaces!$E$153</definedName>
    <definedName name="VERGER_CHOIX10_N">Surfaces!$O$153</definedName>
    <definedName name="VERGER_CHOIX10_N1">Surfaces!$P$153</definedName>
    <definedName name="VERGER_CHOIX10_N2">Surfaces!$Q$153</definedName>
    <definedName name="VERGER_CHOIX11">Surfaces!$E$154</definedName>
    <definedName name="VERGER_CHOIX11_N">Surfaces!$O$154</definedName>
    <definedName name="VERGER_CHOIX11_N1">Surfaces!$P$154</definedName>
    <definedName name="VERGER_CHOIX11_N2">Surfaces!$Q$154</definedName>
    <definedName name="VERGER_CHOIX12">Surfaces!$E$155</definedName>
    <definedName name="VERGER_CHOIX12_N">Surfaces!$O$155</definedName>
    <definedName name="VERGER_CHOIX12_N1">Surfaces!$P$155</definedName>
    <definedName name="VERGER_CHOIX12_N2">Surfaces!$Q$155</definedName>
    <definedName name="VERGER_CHOIX13">Surfaces!$E$156</definedName>
    <definedName name="VERGER_CHOIX13_N">Surfaces!$O$156</definedName>
    <definedName name="VERGER_CHOIX13_N1">Surfaces!$P$156</definedName>
    <definedName name="VERGER_CHOIX13_N2">Surfaces!$Q$156</definedName>
    <definedName name="VERGER_CHOIX14">Surfaces!$E$157</definedName>
    <definedName name="VERGER_CHOIX14_N">Surfaces!$O$157</definedName>
    <definedName name="VERGER_CHOIX14_N1">Surfaces!$P$157</definedName>
    <definedName name="VERGER_CHOIX14_N2">Surfaces!$Q$157</definedName>
    <definedName name="VERGER_CHOIX15">Surfaces!$E$158</definedName>
    <definedName name="VERGER_CHOIX15_N">Surfaces!$O$158</definedName>
    <definedName name="VERGER_CHOIX15_N1">Surfaces!$P$158</definedName>
    <definedName name="VERGER_CHOIX15_N2">Surfaces!$Q$158</definedName>
    <definedName name="VERGER_CONV_SURF">Biodiversité!$Y$29</definedName>
    <definedName name="VERGER_REEL_SURF">Biodiversité!$R$29</definedName>
    <definedName name="VERGER_UNITE">Biodiversité!$T$29</definedName>
    <definedName name="VERSION_REFERENTIEL">'Suivi modif'!$A$5</definedName>
    <definedName name="VERSION_TRAME">'Suivi modif'!$B$5</definedName>
    <definedName name="VIGNE_ANC_PLAFOND_IFT_HERBICIDES">Phyto!$N$84</definedName>
    <definedName name="VIGNE_ANC_PLAFOND_IFT_HORS_HERBICIDES">Phyto!$N$85</definedName>
    <definedName name="VIGNE_ANC_PLANCHER_IFT_HERBICIDES">Phyto!$P$84</definedName>
    <definedName name="VIGNE_ANC_PLANCHER_IFT_HORS_HERBICIDES">Phyto!$P$85</definedName>
    <definedName name="VIGNE_ANCIENNE_NOTATION">Phyto!$M$112</definedName>
    <definedName name="VIGNE_CONDITION_ANCIENNE_NOTATION">Phyto!$O$106</definedName>
    <definedName name="VIGNE_IFT_REALISE_HERBICIDES">Phyto!$N$102</definedName>
    <definedName name="VIGNE_IFT_REALISE_HORS_HERBICIDES">Phyto!$N$103</definedName>
    <definedName name="VIGNE_IFT_REALISE_N_HERBICIDES">Phyto!$N$96</definedName>
    <definedName name="VIGNE_IFT_REALISE_N_HORS_HERBICIDES">Phyto!$N$97</definedName>
    <definedName name="VIGNE_IFT_REALISE_N1_HERBICIDES">Phyto!$N$98</definedName>
    <definedName name="VIGNE_IFT_REALISE_N1_HORS_HERBICIDES">Phyto!$N$99</definedName>
    <definedName name="VIGNE_IFT_REALISE_N2_HERBICIDES">Phyto!$N$100</definedName>
    <definedName name="VIGNE_IFT_REALISE_N2_HORS_HERBICIDES">Phyto!$N$101</definedName>
    <definedName name="VIGNE_MAX_POINTS">Phyto!$O$117</definedName>
    <definedName name="VIGNE_PLAFOND_IFT_HERBICIDES">Phyto!$J$84</definedName>
    <definedName name="VIGNE_PLAFOND_IFT_HORS_HERBICIDES">Phyto!$J$85</definedName>
    <definedName name="VIGNE_PLANCHER_IFT_HERBICIDES">Phyto!$L$84</definedName>
    <definedName name="VIGNE_PLANCHER_IFT_HORS_HERBICIDES">Phyto!$L$85</definedName>
    <definedName name="VIGNE_POURCENTAGE_SURF_CONCERNEE_PPF">Fertilisation!$N$176</definedName>
    <definedName name="VIGNE_POURCENTAGE_SURF_CONCERNEE_PPF_AJ_ODP">Fertilisation!$N$177</definedName>
    <definedName name="VIGNE_RESULTAT">Phyto!$M$117</definedName>
    <definedName name="VIGNE_RESULTAT_ANC_NOTATION_HERBICIDES">Phyto!$M$108</definedName>
    <definedName name="VIGNE_RESULTAT_ANC_NOTATION_HORS_HERBICIDES">Phyto!$M$109</definedName>
    <definedName name="VIGNE_RESULTAT_HERBICIDES">Phyto!$M$106</definedName>
    <definedName name="VIGNE_RESULTAT_HORS_HERBICIDES">Phyto!$M$107</definedName>
    <definedName name="VIGNE_RESULTAT_PPF">Fertilisation!$P$176</definedName>
    <definedName name="VIGNE_RESULTAT_PPF_AJ_ODP">Fertilisation!$P$177</definedName>
    <definedName name="VIGNE_SURF">Phyto!$K$117</definedName>
    <definedName name="VIGNE_SURF_UTILISATION_ODP">Fertilisation!$L$148</definedName>
    <definedName name="VIGNE_SURF_UTILISATION_PPF">Fertilisation!$L$146</definedName>
    <definedName name="VIGNE_SURF_UTILISATION_PPF_AJ">Fertilisation!$L$147</definedName>
    <definedName name="VIGNES_N">Surfaces!$O$141</definedName>
    <definedName name="VIGNES_N1">Surfaces!$P$141</definedName>
    <definedName name="VIGNES_N2">Surfaces!$Q$141</definedName>
    <definedName name="VOL_PRELEVE_ETIAGE">Irrigation!$K$178</definedName>
    <definedName name="VOL_PRELEVE_HORS_ETIAGE">Irrigation!$K$177</definedName>
    <definedName name="VOL_TOTAL_EAU">Irrigation!$K$189</definedName>
    <definedName name="ZDH_N">Surfaces!$O$59</definedName>
    <definedName name="ZDH_N1">Surfaces!$P$59</definedName>
    <definedName name="ZDH_N2">Surfaces!$Q$59</definedName>
    <definedName name="_xlnm.Print_Area" localSheetId="9">SYNTHESE!$A$1:$AC$78</definedName>
    <definedName name="ZONE_STOCKAGE_N">Surfaces!$O$29</definedName>
    <definedName name="ZONE_STOCKAGE_N1">Surfaces!$P$29</definedName>
    <definedName name="ZONE_STOCKAGE_N2">Surfaces!$Q$29</definedName>
    <definedName name="ZONE_VULNERABLE_COUVERTE">Fertilisation!$O$273</definedName>
    <definedName name="ZONE_VULNERABLE_NB_SEMAINES_COUVERT">Fertilisation!$O$274</definedName>
    <definedName name="ZONE_VULNERABLE_POURCENT_SAU_HORS_VITI_ARBO_HORTI">Fertilisation!$O$295</definedName>
    <definedName name="ZONE_VULNERABLE_POURCENT_SURF_HORS_VITI_ARBO_HORTI">Fertilisation!$O$289</definedName>
    <definedName name="ZONE_VULNERABLE_RESPECT_DUREE_REGLEMENTAIRE">Fertilisation!$O$266</definedName>
    <definedName name="ZONE_VULNERABLE_SURF_TOTALE_CONCERNEE">Fertilisation!$O$272</definedName>
    <definedName name="ZONES_HERBACEES_CONV_SURF">Biodiversité!$Y$32</definedName>
    <definedName name="ZONES_HERBACEES_REEL_SURF">Biodiversité!$R$32</definedName>
    <definedName name="ZONES_HERBACEES_UNITE">Biodiversité!$T$32</definedName>
    <definedName name="ZONES_HUMIDES_CONV_SURF">Biodiversité!$Y$28</definedName>
    <definedName name="ZONES_HUMIDES_REEL_SURF">Biodiversité!$R$28</definedName>
    <definedName name="ZONES_HUMIDES_UNITE">Biodiversité!$T$28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1" i="3" l="1"/>
  <c r="Y65" i="3"/>
  <c r="Y63" i="3"/>
  <c r="Y61" i="3"/>
  <c r="M65" i="3"/>
  <c r="M63" i="3"/>
  <c r="M61" i="3"/>
  <c r="J56" i="3"/>
  <c r="P103" i="6"/>
  <c r="P102" i="6"/>
  <c r="N103" i="6"/>
  <c r="N102" i="6"/>
  <c r="M1939" i="24" a="1"/>
  <c r="H1942" i="24" a="1"/>
  <c r="C1944" i="24"/>
  <c r="H1943" i="24" a="1"/>
  <c r="H1939" i="24" a="1"/>
  <c r="B1939" i="24" a="1"/>
  <c r="B1945" i="24" a="1"/>
  <c r="D1944" i="24" a="1"/>
  <c r="B1942" i="24" a="1"/>
  <c r="H1945" i="24" a="1"/>
  <c r="M1946" i="24" a="1"/>
  <c r="H1940" i="24" a="1"/>
  <c r="M1945" i="24" a="1"/>
  <c r="C1943" i="24"/>
  <c r="B1940" i="24" a="1"/>
  <c r="B1944" i="24" a="1"/>
  <c r="M1944" i="24" a="1"/>
  <c r="M1940" i="24" a="1"/>
  <c r="I1944" i="24" a="1"/>
  <c r="B1946" i="24" a="1"/>
  <c r="C1940" i="24"/>
  <c r="D1946" i="24" a="1"/>
  <c r="B1943" i="24" a="1"/>
  <c r="B1941" i="24" a="1"/>
  <c r="I1939" i="24" a="1"/>
  <c r="I1943" i="24" a="1"/>
  <c r="I1940" i="24" a="1"/>
  <c r="D1943" i="24" a="1"/>
  <c r="D1939" i="24" a="1"/>
  <c r="M1942" i="24" a="1"/>
  <c r="I1946" i="24" a="1"/>
  <c r="I1942" i="24" a="1"/>
  <c r="D1940" i="24" a="1"/>
  <c r="H1946" i="24" a="1"/>
  <c r="C1942" i="24"/>
  <c r="H1941" i="24" a="1"/>
  <c r="D1945" i="24" a="1"/>
  <c r="C1946" i="24"/>
  <c r="D1942" i="24" a="1"/>
  <c r="M1943" i="24" a="1"/>
  <c r="I1941" i="24" a="1"/>
  <c r="C1941" i="24"/>
  <c r="H1944" i="24" a="1"/>
  <c r="M1941" i="24" a="1"/>
  <c r="I1945" i="24" a="1"/>
  <c r="C1939" i="24"/>
  <c r="D1941" i="24" a="1"/>
  <c r="C1945" i="24"/>
  <c r="M1944" i="24" l="1"/>
  <c r="M1940" i="24"/>
  <c r="M1946" i="24"/>
  <c r="M1942" i="24"/>
  <c r="M1945" i="24"/>
  <c r="M1943" i="24"/>
  <c r="M1941" i="24"/>
  <c r="M1939" i="24"/>
  <c r="D1946" i="24"/>
  <c r="D1944" i="24"/>
  <c r="D1941" i="24"/>
  <c r="I1946" i="24"/>
  <c r="I1945" i="24"/>
  <c r="I1944" i="24"/>
  <c r="I1943" i="24"/>
  <c r="I1940" i="24"/>
  <c r="D1945" i="24"/>
  <c r="D1943" i="24"/>
  <c r="D1942" i="24"/>
  <c r="D1940" i="24"/>
  <c r="I1942" i="24"/>
  <c r="I1941" i="24"/>
  <c r="H1946" i="24"/>
  <c r="B1946" i="24"/>
  <c r="H1945" i="24"/>
  <c r="B1945" i="24"/>
  <c r="H1944" i="24"/>
  <c r="B1944" i="24"/>
  <c r="H1943" i="24"/>
  <c r="B1943" i="24"/>
  <c r="H1942" i="24"/>
  <c r="B1942" i="24"/>
  <c r="H1941" i="24"/>
  <c r="B1941" i="24"/>
  <c r="H1940" i="24"/>
  <c r="B1940" i="24"/>
  <c r="B1939" i="24"/>
  <c r="I1939" i="24"/>
  <c r="D1939" i="24"/>
  <c r="H1939" i="24"/>
  <c r="K119" i="6"/>
  <c r="K117" i="6"/>
  <c r="F1940" i="24" l="1"/>
  <c r="E1940" i="24"/>
  <c r="E1944" i="24"/>
  <c r="F1944" i="24"/>
  <c r="F1942" i="24"/>
  <c r="E1942" i="24"/>
  <c r="E1941" i="24"/>
  <c r="F1941" i="24"/>
  <c r="F1943" i="24"/>
  <c r="E1943" i="24"/>
  <c r="E1945" i="24"/>
  <c r="F1945" i="24"/>
  <c r="E1946" i="24"/>
  <c r="F1946" i="24"/>
  <c r="E1939" i="24"/>
  <c r="F1939" i="24"/>
  <c r="J106" i="6"/>
  <c r="G1946" i="24" l="1"/>
  <c r="G1944" i="24"/>
  <c r="G1943" i="24"/>
  <c r="G1940" i="24"/>
  <c r="G1945" i="24"/>
  <c r="G1942" i="24"/>
  <c r="G1941" i="24"/>
  <c r="G1939" i="24"/>
  <c r="J103" i="6"/>
  <c r="HJ6" i="26" l="1"/>
  <c r="CQ6" i="26" l="1"/>
  <c r="FR6" i="26"/>
  <c r="EG6" i="26"/>
  <c r="DB6" i="26"/>
  <c r="DA6" i="26"/>
  <c r="CZ6" i="26"/>
  <c r="CP6" i="26"/>
  <c r="CC6" i="26"/>
  <c r="AJ6" i="26"/>
  <c r="AI6" i="26"/>
  <c r="AH6" i="26"/>
  <c r="AG6" i="26"/>
  <c r="AF6" i="26"/>
  <c r="AE6" i="26"/>
  <c r="AD6" i="26"/>
  <c r="AC6" i="26"/>
  <c r="AB6" i="26"/>
  <c r="AA6" i="26"/>
  <c r="Y6" i="26"/>
  <c r="X6" i="26"/>
  <c r="W6" i="26"/>
  <c r="V6" i="26"/>
  <c r="U6" i="26"/>
  <c r="T6" i="26"/>
  <c r="S6" i="26"/>
  <c r="R6" i="26"/>
  <c r="Q6" i="26"/>
  <c r="P6" i="26"/>
  <c r="O6" i="26"/>
  <c r="N6" i="26"/>
  <c r="M6" i="26"/>
  <c r="J6" i="26"/>
  <c r="I6" i="26"/>
  <c r="H6" i="26"/>
  <c r="G6" i="26"/>
  <c r="F6" i="26"/>
  <c r="D6" i="26"/>
  <c r="E6" i="26"/>
  <c r="C6" i="26"/>
  <c r="B6" i="26"/>
  <c r="A6" i="26"/>
  <c r="R100" i="6" l="1"/>
  <c r="R98" i="6"/>
  <c r="K118" i="6"/>
  <c r="HP6" i="26"/>
  <c r="HO6" i="26"/>
  <c r="HM6" i="26"/>
  <c r="HN6" i="26"/>
  <c r="B1927" i="24" a="1"/>
  <c r="I1935" i="24" a="1"/>
  <c r="H1914" i="24" a="1"/>
  <c r="I1927" i="24" a="1"/>
  <c r="D1921" i="24" a="1"/>
  <c r="B1937" i="24" a="1"/>
  <c r="I1921" i="24" a="1"/>
  <c r="I1930" i="24" a="1"/>
  <c r="D1930" i="24" a="1"/>
  <c r="B1921" i="24" a="1"/>
  <c r="M1932" i="24" a="1"/>
  <c r="C1935" i="24"/>
  <c r="B1935" i="24" a="1"/>
  <c r="B1932" i="24" a="1"/>
  <c r="H1926" i="24" a="1"/>
  <c r="M1937" i="24" a="1"/>
  <c r="C1915" i="24"/>
  <c r="B1938" i="24" a="1"/>
  <c r="D1934" i="24" a="1"/>
  <c r="M1919" i="24" a="1"/>
  <c r="I1919" i="24" a="1"/>
  <c r="H1931" i="24" a="1"/>
  <c r="B1918" i="24" a="1"/>
  <c r="D1938" i="24" a="1"/>
  <c r="I1924" i="24" a="1"/>
  <c r="C1929" i="24"/>
  <c r="H1919" i="24" a="1"/>
  <c r="C1927" i="24"/>
  <c r="I1938" i="24" a="1"/>
  <c r="H1933" i="24" a="1"/>
  <c r="I1917" i="24" a="1"/>
  <c r="B1914" i="24" a="1"/>
  <c r="I1914" i="24" a="1"/>
  <c r="C1913" i="24"/>
  <c r="M1913" i="24" a="1"/>
  <c r="C1919" i="24"/>
  <c r="C1926" i="24"/>
  <c r="C1932" i="24"/>
  <c r="H1916" i="24" a="1"/>
  <c r="H1935" i="24" a="1"/>
  <c r="H1929" i="24" a="1"/>
  <c r="I1913" i="24" a="1"/>
  <c r="D1915" i="24" a="1"/>
  <c r="D1918" i="24" a="1"/>
  <c r="I1929" i="24" a="1"/>
  <c r="D1937" i="24" a="1"/>
  <c r="B1916" i="24" a="1"/>
  <c r="H1925" i="24" a="1"/>
  <c r="H1917" i="24" a="1"/>
  <c r="B1919" i="24" a="1"/>
  <c r="D1924" i="24" a="1"/>
  <c r="D1922" i="24" a="1"/>
  <c r="H1924" i="24" a="1"/>
  <c r="H1918" i="24" a="1"/>
  <c r="B1917" i="24" a="1"/>
  <c r="I1937" i="24" a="1"/>
  <c r="B1936" i="24" a="1"/>
  <c r="M1917" i="24" a="1"/>
  <c r="M1921" i="24" a="1"/>
  <c r="M1935" i="24" a="1"/>
  <c r="C1934" i="24"/>
  <c r="D1933" i="24" a="1"/>
  <c r="I1931" i="24" a="1"/>
  <c r="I1920" i="24" a="1"/>
  <c r="M1928" i="24" a="1"/>
  <c r="M1933" i="24" a="1"/>
  <c r="D1919" i="24" a="1"/>
  <c r="B1933" i="24" a="1"/>
  <c r="M1920" i="24" a="1"/>
  <c r="C1918" i="24"/>
  <c r="M1938" i="24" a="1"/>
  <c r="B1920" i="24" a="1"/>
  <c r="C1921" i="24"/>
  <c r="C1930" i="24"/>
  <c r="C1922" i="24"/>
  <c r="D1926" i="24" a="1"/>
  <c r="I1916" i="24" a="1"/>
  <c r="D1929" i="24" a="1"/>
  <c r="M1918" i="24" a="1"/>
  <c r="I1936" i="24" a="1"/>
  <c r="B1915" i="24" a="1"/>
  <c r="B1913" i="24" a="1"/>
  <c r="C1937" i="24"/>
  <c r="D1913" i="24" a="1"/>
  <c r="C1938" i="24"/>
  <c r="C1924" i="24"/>
  <c r="C1925" i="24"/>
  <c r="C1933" i="24"/>
  <c r="I1934" i="24" a="1"/>
  <c r="H1928" i="24" a="1"/>
  <c r="I1926" i="24" a="1"/>
  <c r="M1927" i="24" a="1"/>
  <c r="M1936" i="24" a="1"/>
  <c r="I1922" i="24" a="1"/>
  <c r="H1930" i="24" a="1"/>
  <c r="M1914" i="24" a="1"/>
  <c r="M1925" i="24" a="1"/>
  <c r="B1923" i="24" a="1"/>
  <c r="H1922" i="24" a="1"/>
  <c r="H1937" i="24" a="1"/>
  <c r="H1920" i="24" a="1"/>
  <c r="B1926" i="24" a="1"/>
  <c r="M1915" i="24" a="1"/>
  <c r="M1931" i="24" a="1"/>
  <c r="I1918" i="24" a="1"/>
  <c r="C1931" i="24"/>
  <c r="C1928" i="24"/>
  <c r="B1929" i="24" a="1"/>
  <c r="C1920" i="24"/>
  <c r="D1914" i="24" a="1"/>
  <c r="H1921" i="24" a="1"/>
  <c r="C1916" i="24"/>
  <c r="I1928" i="24" a="1"/>
  <c r="D1920" i="24" a="1"/>
  <c r="M1930" i="24" a="1"/>
  <c r="M1926" i="24" a="1"/>
  <c r="I1932" i="24" a="1"/>
  <c r="B1931" i="24" a="1"/>
  <c r="B1922" i="24" a="1"/>
  <c r="C1936" i="24"/>
  <c r="D1928" i="24" a="1"/>
  <c r="D1925" i="24" a="1"/>
  <c r="B1930" i="24" a="1"/>
  <c r="I1933" i="24" a="1"/>
  <c r="D1916" i="24" a="1"/>
  <c r="C1923" i="24"/>
  <c r="D1931" i="24" a="1"/>
  <c r="M1923" i="24" a="1"/>
  <c r="M1924" i="24" a="1"/>
  <c r="H1923" i="24" a="1"/>
  <c r="H1932" i="24" a="1"/>
  <c r="B1925" i="24" a="1"/>
  <c r="B1924" i="24" a="1"/>
  <c r="H1927" i="24" a="1"/>
  <c r="M1922" i="24" a="1"/>
  <c r="C1917" i="24"/>
  <c r="B1928" i="24" a="1"/>
  <c r="H1934" i="24" a="1"/>
  <c r="I1923" i="24" a="1"/>
  <c r="D1935" i="24" a="1"/>
  <c r="H1938" i="24" a="1"/>
  <c r="B1934" i="24" a="1"/>
  <c r="M1916" i="24" a="1"/>
  <c r="D1923" i="24" a="1"/>
  <c r="M1929" i="24" a="1"/>
  <c r="D1936" i="24" a="1"/>
  <c r="I1915" i="24" a="1"/>
  <c r="H1915" i="24" a="1"/>
  <c r="D1927" i="24" a="1"/>
  <c r="C1914" i="24"/>
  <c r="M1934" i="24" a="1"/>
  <c r="D1917" i="24" a="1"/>
  <c r="H1936" i="24" a="1"/>
  <c r="D1932" i="24" a="1"/>
  <c r="H1913" i="24" a="1"/>
  <c r="I1925" i="24" a="1"/>
  <c r="I1916" i="24" l="1"/>
  <c r="M1936" i="24"/>
  <c r="H1924" i="24"/>
  <c r="I1925" i="24"/>
  <c r="D1915" i="24"/>
  <c r="E1915" i="24" s="1"/>
  <c r="B1923" i="24"/>
  <c r="M1926" i="24"/>
  <c r="H1914" i="24"/>
  <c r="D1931" i="24"/>
  <c r="E1931" i="24" s="1"/>
  <c r="B1931" i="24"/>
  <c r="I1918" i="24"/>
  <c r="D1914" i="24"/>
  <c r="F1914" i="24" s="1"/>
  <c r="M1927" i="24"/>
  <c r="D1935" i="24"/>
  <c r="F1935" i="24" s="1"/>
  <c r="I1926" i="24"/>
  <c r="D1922" i="24"/>
  <c r="F1922" i="24" s="1"/>
  <c r="D1936" i="24"/>
  <c r="E1936" i="24" s="1"/>
  <c r="M1921" i="24"/>
  <c r="B1913" i="24"/>
  <c r="M1914" i="24"/>
  <c r="B1937" i="24"/>
  <c r="M1919" i="24"/>
  <c r="M1928" i="24"/>
  <c r="H1916" i="24"/>
  <c r="I1920" i="24"/>
  <c r="B1936" i="24"/>
  <c r="I1928" i="24"/>
  <c r="H1926" i="24"/>
  <c r="B1933" i="24"/>
  <c r="D1924" i="24"/>
  <c r="E1924" i="24" s="1"/>
  <c r="M1923" i="24"/>
  <c r="I1921" i="24"/>
  <c r="M1935" i="24"/>
  <c r="B1925" i="24"/>
  <c r="H1938" i="24"/>
  <c r="I1930" i="24"/>
  <c r="B1921" i="24"/>
  <c r="D1928" i="24"/>
  <c r="E1928" i="24" s="1"/>
  <c r="B1935" i="24"/>
  <c r="D1926" i="24"/>
  <c r="F1926" i="24" s="1"/>
  <c r="M1925" i="24"/>
  <c r="I1929" i="24"/>
  <c r="B1922" i="24"/>
  <c r="H1917" i="24"/>
  <c r="B1934" i="24"/>
  <c r="H1915" i="24"/>
  <c r="H1935" i="24"/>
  <c r="B1927" i="24"/>
  <c r="D1918" i="24"/>
  <c r="F1918" i="24" s="1"/>
  <c r="M1931" i="24"/>
  <c r="I1932" i="24"/>
  <c r="B1914" i="24"/>
  <c r="H1930" i="24"/>
  <c r="M1938" i="24"/>
  <c r="D1938" i="24"/>
  <c r="F1938" i="24" s="1"/>
  <c r="B1916" i="24"/>
  <c r="B1930" i="24"/>
  <c r="D1919" i="24"/>
  <c r="F1919" i="24" s="1"/>
  <c r="B1929" i="24"/>
  <c r="H1925" i="24"/>
  <c r="M1929" i="24"/>
  <c r="I1935" i="24"/>
  <c r="B1924" i="24"/>
  <c r="H1923" i="24"/>
  <c r="B1938" i="24"/>
  <c r="D1917" i="24"/>
  <c r="F1917" i="24" s="1"/>
  <c r="M1917" i="24"/>
  <c r="B1920" i="24"/>
  <c r="D1937" i="24"/>
  <c r="E1937" i="24" s="1"/>
  <c r="M1922" i="24"/>
  <c r="H1937" i="24"/>
  <c r="I1915" i="24"/>
  <c r="B1926" i="24"/>
  <c r="H1929" i="24"/>
  <c r="M1918" i="24"/>
  <c r="D1923" i="24"/>
  <c r="E1923" i="24" s="1"/>
  <c r="M1915" i="24"/>
  <c r="I1927" i="24"/>
  <c r="H1913" i="24"/>
  <c r="D1934" i="24"/>
  <c r="E1934" i="24" s="1"/>
  <c r="I1913" i="24"/>
  <c r="I1936" i="24"/>
  <c r="B1918" i="24"/>
  <c r="H1934" i="24"/>
  <c r="I1938" i="24"/>
  <c r="D1932" i="24"/>
  <c r="F1932" i="24" s="1"/>
  <c r="M1937" i="24"/>
  <c r="I1917" i="24"/>
  <c r="H1936" i="24"/>
  <c r="D1916" i="24"/>
  <c r="F1916" i="24" s="1"/>
  <c r="H1928" i="24"/>
  <c r="D1920" i="24"/>
  <c r="E1920" i="24" s="1"/>
  <c r="M1920" i="24"/>
  <c r="D1925" i="24"/>
  <c r="F1925" i="24" s="1"/>
  <c r="I1931" i="24"/>
  <c r="B1915" i="24"/>
  <c r="H1927" i="24"/>
  <c r="M1930" i="24"/>
  <c r="D1929" i="24"/>
  <c r="E1929" i="24" s="1"/>
  <c r="H1921" i="24"/>
  <c r="H1932" i="24"/>
  <c r="D1930" i="24"/>
  <c r="E1930" i="24" s="1"/>
  <c r="D1913" i="24"/>
  <c r="F1913" i="24" s="1"/>
  <c r="M1913" i="24"/>
  <c r="I1933" i="24"/>
  <c r="B1917" i="24"/>
  <c r="H1931" i="24"/>
  <c r="M1932" i="24"/>
  <c r="D1921" i="24"/>
  <c r="E1921" i="24" s="1"/>
  <c r="I1922" i="24"/>
  <c r="I1934" i="24"/>
  <c r="M1916" i="24"/>
  <c r="I1923" i="24"/>
  <c r="B1932" i="24"/>
  <c r="H1919" i="24"/>
  <c r="M1924" i="24"/>
  <c r="D1933" i="24"/>
  <c r="E1933" i="24" s="1"/>
  <c r="I1914" i="24"/>
  <c r="H1920" i="24"/>
  <c r="H1918" i="24"/>
  <c r="I1919" i="24"/>
  <c r="M1933" i="24"/>
  <c r="B1928" i="24"/>
  <c r="I1937" i="24"/>
  <c r="B1919" i="24"/>
  <c r="H1933" i="24"/>
  <c r="M1934" i="24"/>
  <c r="D1927" i="24"/>
  <c r="E1927" i="24" s="1"/>
  <c r="I1924" i="24"/>
  <c r="H1922" i="24"/>
  <c r="P89" i="6"/>
  <c r="P88" i="6"/>
  <c r="N89" i="6"/>
  <c r="R109" i="6" s="1"/>
  <c r="N88" i="6"/>
  <c r="R108" i="6" s="1"/>
  <c r="F1915" i="24" l="1"/>
  <c r="G1915" i="24" s="1"/>
  <c r="E1938" i="24"/>
  <c r="G1938" i="24" s="1"/>
  <c r="E1932" i="24"/>
  <c r="G1932" i="24" s="1"/>
  <c r="F1930" i="24"/>
  <c r="G1930" i="24" s="1"/>
  <c r="E1935" i="24"/>
  <c r="G1935" i="24" s="1"/>
  <c r="F1924" i="24"/>
  <c r="G1924" i="24" s="1"/>
  <c r="E1918" i="24"/>
  <c r="G1918" i="24" s="1"/>
  <c r="F1931" i="24"/>
  <c r="G1931" i="24" s="1"/>
  <c r="E1916" i="24"/>
  <c r="G1916" i="24" s="1"/>
  <c r="E1925" i="24"/>
  <c r="G1925" i="24" s="1"/>
  <c r="E1919" i="24"/>
  <c r="G1919" i="24" s="1"/>
  <c r="F1937" i="24"/>
  <c r="G1937" i="24" s="1"/>
  <c r="F1928" i="24"/>
  <c r="G1928" i="24" s="1"/>
  <c r="F1933" i="24"/>
  <c r="G1933" i="24" s="1"/>
  <c r="E1917" i="24"/>
  <c r="G1917" i="24" s="1"/>
  <c r="F1936" i="24"/>
  <c r="G1936" i="24" s="1"/>
  <c r="F1927" i="24"/>
  <c r="G1927" i="24" s="1"/>
  <c r="F1921" i="24"/>
  <c r="G1921" i="24" s="1"/>
  <c r="E1922" i="24"/>
  <c r="G1922" i="24" s="1"/>
  <c r="E1926" i="24"/>
  <c r="G1926" i="24" s="1"/>
  <c r="E1914" i="24"/>
  <c r="G1914" i="24" s="1"/>
  <c r="E1913" i="24"/>
  <c r="G1913" i="24" s="1"/>
  <c r="F1923" i="24"/>
  <c r="G1923" i="24" s="1"/>
  <c r="F1920" i="24"/>
  <c r="G1920" i="24" s="1"/>
  <c r="F1934" i="24"/>
  <c r="G1934" i="24" s="1"/>
  <c r="F1929" i="24"/>
  <c r="G1929" i="24" s="1"/>
  <c r="O272" i="7"/>
  <c r="I6" i="1" l="1"/>
  <c r="K14" i="8" l="1"/>
  <c r="GM6" i="26" s="1"/>
  <c r="P173" i="7"/>
  <c r="FN6" i="26"/>
  <c r="FM6" i="26"/>
  <c r="P179" i="7"/>
  <c r="N176" i="7"/>
  <c r="N168" i="7" l="1"/>
  <c r="P168" i="7" s="1"/>
  <c r="P159" i="4" l="1"/>
  <c r="Q159" i="4"/>
  <c r="O159" i="4"/>
  <c r="P137" i="4"/>
  <c r="Q137" i="4"/>
  <c r="O137" i="4"/>
  <c r="P129" i="4"/>
  <c r="Q129" i="4"/>
  <c r="O129" i="4"/>
  <c r="P122" i="4"/>
  <c r="Q122" i="4"/>
  <c r="O122" i="4"/>
  <c r="P111" i="4"/>
  <c r="Q111" i="4"/>
  <c r="O111" i="4"/>
  <c r="P105" i="4"/>
  <c r="Q105" i="4"/>
  <c r="O105" i="4"/>
  <c r="O97" i="4"/>
  <c r="Q97" i="4"/>
  <c r="P97" i="4"/>
  <c r="P90" i="4"/>
  <c r="Q90" i="4"/>
  <c r="O90" i="4"/>
  <c r="P83" i="4"/>
  <c r="Q83" i="4"/>
  <c r="K116" i="6" s="1"/>
  <c r="O83" i="4"/>
  <c r="AK71" i="6" l="1"/>
  <c r="AJ88" i="6"/>
  <c r="AK70" i="6"/>
  <c r="AM71" i="6"/>
  <c r="AJ87" i="6"/>
  <c r="AJ70" i="6"/>
  <c r="AM70" i="6"/>
  <c r="AJ71" i="6"/>
  <c r="AL71" i="6"/>
  <c r="AL70" i="6"/>
  <c r="AL72" i="6"/>
  <c r="AK73" i="6"/>
  <c r="AJ73" i="6"/>
  <c r="AL73" i="6"/>
  <c r="AK72" i="6"/>
  <c r="AM73" i="6"/>
  <c r="AJ90" i="6"/>
  <c r="AM72" i="6"/>
  <c r="AJ72" i="6"/>
  <c r="AJ89" i="6"/>
  <c r="AM69" i="6"/>
  <c r="AM68" i="6"/>
  <c r="AL69" i="6"/>
  <c r="AL68" i="6"/>
  <c r="AJ68" i="6"/>
  <c r="AK69" i="6"/>
  <c r="AJ85" i="6"/>
  <c r="AJ86" i="6"/>
  <c r="HL6" i="26" s="1"/>
  <c r="AJ69" i="6"/>
  <c r="AK68" i="6"/>
  <c r="O164" i="4"/>
  <c r="O24" i="4" s="1"/>
  <c r="Q164" i="4"/>
  <c r="P164" i="4"/>
  <c r="I84" i="10"/>
  <c r="F17" i="3"/>
  <c r="M118" i="6" l="1"/>
  <c r="M117" i="6"/>
  <c r="O118" i="6"/>
  <c r="O117" i="6"/>
  <c r="O116" i="6"/>
  <c r="M116" i="6"/>
  <c r="AL6" i="26"/>
  <c r="AO6" i="26"/>
  <c r="AN6" i="26"/>
  <c r="J102" i="6"/>
  <c r="HK6" i="26" s="1"/>
  <c r="J80" i="6"/>
  <c r="N240" i="7"/>
  <c r="W34" i="3"/>
  <c r="R38" i="3"/>
  <c r="I75" i="6" l="1"/>
  <c r="L6" i="26"/>
  <c r="P85" i="6"/>
  <c r="P84" i="6"/>
  <c r="N84" i="6"/>
  <c r="M108" i="6" s="1"/>
  <c r="L85" i="6"/>
  <c r="L84" i="6"/>
  <c r="J85" i="6"/>
  <c r="M107" i="6" s="1"/>
  <c r="J84" i="6"/>
  <c r="M106" i="6" s="1"/>
  <c r="N85" i="6"/>
  <c r="M109" i="6" s="1"/>
  <c r="R36" i="3"/>
  <c r="K6" i="26" s="1"/>
  <c r="L12" i="3"/>
  <c r="D263" i="6"/>
  <c r="EH6" i="26" s="1"/>
  <c r="P23" i="6"/>
  <c r="P22" i="6"/>
  <c r="S11" i="6"/>
  <c r="V10" i="10"/>
  <c r="O10" i="3" l="1"/>
  <c r="P81" i="10"/>
  <c r="O9" i="3"/>
  <c r="I14" i="3"/>
  <c r="U145" i="4"/>
  <c r="U146" i="4"/>
  <c r="U147" i="4"/>
  <c r="U148" i="4"/>
  <c r="U149" i="4"/>
  <c r="U150" i="4"/>
  <c r="U151" i="4"/>
  <c r="U152" i="4"/>
  <c r="U153" i="4"/>
  <c r="U154" i="4"/>
  <c r="U155" i="4"/>
  <c r="U156" i="4"/>
  <c r="U157" i="4"/>
  <c r="U158" i="4"/>
  <c r="U144" i="4"/>
  <c r="H1908" i="24" a="1"/>
  <c r="H1910" i="24" a="1"/>
  <c r="I1911" i="24" a="1"/>
  <c r="B1907" i="24" a="1"/>
  <c r="H1912" i="24" a="1"/>
  <c r="I1908" i="24" a="1"/>
  <c r="C1911" i="24"/>
  <c r="M1908" i="24" a="1"/>
  <c r="I1912" i="24" a="1"/>
  <c r="D1910" i="24" a="1"/>
  <c r="D1908" i="24" a="1"/>
  <c r="H1909" i="24" a="1"/>
  <c r="C1908" i="24"/>
  <c r="I1910" i="24" a="1"/>
  <c r="C1910" i="24"/>
  <c r="C1907" i="24"/>
  <c r="D1912" i="24" a="1"/>
  <c r="D1907" i="24" a="1"/>
  <c r="I1907" i="24" a="1"/>
  <c r="C1909" i="24"/>
  <c r="B1908" i="24" a="1"/>
  <c r="H1911" i="24" a="1"/>
  <c r="M1907" i="24" a="1"/>
  <c r="D1911" i="24" a="1"/>
  <c r="C1912" i="24"/>
  <c r="H1907" i="24" a="1"/>
  <c r="I1909" i="24" a="1"/>
  <c r="D1909" i="24" a="1"/>
  <c r="M1908" i="24" l="1"/>
  <c r="M1907" i="24"/>
  <c r="I1908" i="24"/>
  <c r="I1912" i="24"/>
  <c r="I1910" i="24"/>
  <c r="I1911" i="24"/>
  <c r="I1909" i="24"/>
  <c r="I1907" i="24"/>
  <c r="H1912" i="24"/>
  <c r="H1910" i="24"/>
  <c r="H1908" i="24"/>
  <c r="H1911" i="24"/>
  <c r="H1909" i="24"/>
  <c r="H1907" i="24"/>
  <c r="D1908" i="24"/>
  <c r="D1912" i="24"/>
  <c r="D1910" i="24"/>
  <c r="D1911" i="24"/>
  <c r="D1909" i="24"/>
  <c r="D1907" i="24"/>
  <c r="B1908" i="24"/>
  <c r="B1907" i="24"/>
  <c r="E1910" i="24" l="1"/>
  <c r="F1910" i="24"/>
  <c r="E1907" i="24"/>
  <c r="F1907" i="24"/>
  <c r="E1912" i="24"/>
  <c r="F1912" i="24"/>
  <c r="E1911" i="24"/>
  <c r="F1911" i="24"/>
  <c r="E1909" i="24"/>
  <c r="F1909" i="24"/>
  <c r="E1908" i="24"/>
  <c r="F1908" i="24"/>
  <c r="G1908" i="24" l="1"/>
  <c r="G1907" i="24"/>
  <c r="G1911" i="24"/>
  <c r="G1909" i="24"/>
  <c r="G1912" i="24"/>
  <c r="G1910" i="24"/>
  <c r="L349" i="7" l="1"/>
  <c r="O344" i="7" l="1"/>
  <c r="O345" i="7"/>
  <c r="L350" i="7"/>
  <c r="L351" i="7"/>
  <c r="A6" i="16"/>
  <c r="B6" i="16"/>
  <c r="C6" i="16"/>
  <c r="D6" i="16"/>
  <c r="E6" i="16"/>
  <c r="G6" i="16"/>
  <c r="H6" i="16"/>
  <c r="I6" i="16"/>
  <c r="J6" i="16"/>
  <c r="K6" i="16"/>
  <c r="L6" i="16"/>
  <c r="M6" i="16"/>
  <c r="N6" i="16"/>
  <c r="O6" i="16"/>
  <c r="P6" i="16"/>
  <c r="Q6" i="16"/>
  <c r="U6" i="16"/>
  <c r="V6" i="16"/>
  <c r="W6" i="16"/>
  <c r="X6" i="16"/>
  <c r="AB6" i="16"/>
  <c r="AC6" i="16"/>
  <c r="B1910" i="24" a="1"/>
  <c r="M1910" i="24" a="1"/>
  <c r="M1909" i="24" a="1"/>
  <c r="B1909" i="24" a="1"/>
  <c r="B1910" i="24" l="1"/>
  <c r="M1910" i="24"/>
  <c r="B1909" i="24"/>
  <c r="M1909" i="24"/>
  <c r="N351" i="7"/>
  <c r="N350" i="7"/>
  <c r="I7" i="1"/>
  <c r="B1912" i="24" a="1"/>
  <c r="B1911" i="24" a="1"/>
  <c r="M1912" i="24" a="1"/>
  <c r="M1911" i="24" a="1"/>
  <c r="M1912" i="24" l="1"/>
  <c r="M1911" i="24"/>
  <c r="B1911" i="24"/>
  <c r="B1912" i="24"/>
  <c r="M8" i="29"/>
  <c r="B8" i="29"/>
  <c r="G3" i="29"/>
  <c r="F3" i="29"/>
  <c r="E3" i="29"/>
  <c r="D3" i="29"/>
  <c r="C3" i="29"/>
  <c r="B3" i="29"/>
  <c r="L210" i="8"/>
  <c r="L209" i="8"/>
  <c r="B6" i="22" l="1"/>
  <c r="C6" i="22"/>
  <c r="D6" i="22"/>
  <c r="E6" i="22"/>
  <c r="H6" i="22"/>
  <c r="I6" i="22"/>
  <c r="J6" i="22"/>
  <c r="K6" i="22"/>
  <c r="L6" i="22"/>
  <c r="N6" i="22"/>
  <c r="O6" i="22"/>
  <c r="P6" i="22"/>
  <c r="Q6" i="22"/>
  <c r="R6" i="22"/>
  <c r="X6" i="22"/>
  <c r="Y6" i="22"/>
  <c r="AC6" i="22"/>
  <c r="AD6" i="22"/>
  <c r="AF6" i="22"/>
  <c r="AG6" i="22"/>
  <c r="AH6" i="22"/>
  <c r="AI6" i="22"/>
  <c r="AJ6" i="22"/>
  <c r="AK6" i="22"/>
  <c r="AN6" i="22"/>
  <c r="AO6" i="22"/>
  <c r="AP6" i="22"/>
  <c r="CC6" i="22"/>
  <c r="CE6" i="22"/>
  <c r="CR6" i="22"/>
  <c r="CS6" i="22"/>
  <c r="CU6" i="22"/>
  <c r="CV6" i="22"/>
  <c r="CX6" i="22"/>
  <c r="CY6" i="22"/>
  <c r="CZ6" i="22"/>
  <c r="DB6" i="22"/>
  <c r="DC6" i="22"/>
  <c r="DD6" i="22"/>
  <c r="DG6" i="22"/>
  <c r="DH6" i="22"/>
  <c r="DI6" i="22"/>
  <c r="DJ6" i="22"/>
  <c r="DK6" i="22"/>
  <c r="DL6" i="22"/>
  <c r="DM6" i="22"/>
  <c r="DN6" i="22"/>
  <c r="DX6" i="22"/>
  <c r="DY6" i="22"/>
  <c r="EI6" i="22"/>
  <c r="FD6" i="22"/>
  <c r="FF6" i="22"/>
  <c r="FT6" i="22"/>
  <c r="GA6" i="22"/>
  <c r="GB6" i="22"/>
  <c r="GC6" i="22"/>
  <c r="GF6" i="22"/>
  <c r="GG6" i="22"/>
  <c r="GH6" i="22"/>
  <c r="GN6" i="22"/>
  <c r="GO6" i="22"/>
  <c r="GP6" i="22"/>
  <c r="GS6" i="22"/>
  <c r="GT6" i="22"/>
  <c r="GU6" i="22"/>
  <c r="HB6" i="22"/>
  <c r="HH6" i="22"/>
  <c r="HK6" i="22"/>
  <c r="N110" i="5"/>
  <c r="P171" i="7"/>
  <c r="C11" i="25" l="1"/>
  <c r="F13" i="25" s="1"/>
  <c r="F14" i="25" s="1"/>
  <c r="F15" i="25" s="1"/>
  <c r="Z6" i="26"/>
  <c r="HI6" i="26"/>
  <c r="HF6" i="26"/>
  <c r="GZ6" i="26"/>
  <c r="GS6" i="26"/>
  <c r="GR6" i="26"/>
  <c r="GQ6" i="26"/>
  <c r="GN6" i="26"/>
  <c r="GL6" i="26"/>
  <c r="GF6" i="26"/>
  <c r="GE6" i="26"/>
  <c r="GD6" i="26"/>
  <c r="GA6" i="26"/>
  <c r="FZ6" i="26"/>
  <c r="FY6" i="26"/>
  <c r="FD6" i="26"/>
  <c r="FB6" i="26"/>
  <c r="DW6" i="26"/>
  <c r="DV6" i="26"/>
  <c r="DL6" i="26"/>
  <c r="DK6" i="26"/>
  <c r="DJ6" i="26"/>
  <c r="DI6" i="26"/>
  <c r="DH6" i="26"/>
  <c r="DG6" i="26"/>
  <c r="DF6" i="26"/>
  <c r="DE6" i="26"/>
  <c r="CX6" i="26"/>
  <c r="CW6" i="26"/>
  <c r="CV6" i="26"/>
  <c r="CT6" i="26"/>
  <c r="CS6" i="26"/>
  <c r="CA6" i="26"/>
  <c r="C3" i="25"/>
  <c r="L5" i="25" s="1"/>
  <c r="L6" i="25" s="1"/>
  <c r="L7" i="25" s="1"/>
  <c r="M16" i="3"/>
  <c r="V44" i="7"/>
  <c r="V46" i="7" s="1"/>
  <c r="S44" i="7"/>
  <c r="S46" i="7" s="1"/>
  <c r="P44" i="7"/>
  <c r="P46" i="7" s="1"/>
  <c r="V23" i="7"/>
  <c r="V25" i="7" s="1"/>
  <c r="S23" i="7"/>
  <c r="S25" i="7" s="1"/>
  <c r="P23" i="7"/>
  <c r="P25" i="7" s="1"/>
  <c r="L13" i="25" l="1"/>
  <c r="L14" i="25" s="1"/>
  <c r="L15" i="25" s="1"/>
  <c r="K13" i="25"/>
  <c r="K14" i="25" s="1"/>
  <c r="K15" i="25" s="1"/>
  <c r="E13" i="25"/>
  <c r="E14" i="25" s="1"/>
  <c r="E15" i="25" s="1"/>
  <c r="C13" i="25"/>
  <c r="C14" i="25" s="1"/>
  <c r="C15" i="25" s="1"/>
  <c r="J13" i="25"/>
  <c r="J14" i="25" s="1"/>
  <c r="J15" i="25" s="1"/>
  <c r="M13" i="25"/>
  <c r="M14" i="25" s="1"/>
  <c r="M15" i="25" s="1"/>
  <c r="D13" i="25"/>
  <c r="D14" i="25" s="1"/>
  <c r="D15" i="25" s="1"/>
  <c r="I13" i="25"/>
  <c r="I14" i="25" s="1"/>
  <c r="I15" i="25" s="1"/>
  <c r="P13" i="25"/>
  <c r="P14" i="25" s="1"/>
  <c r="P15" i="25" s="1"/>
  <c r="H13" i="25"/>
  <c r="H14" i="25" s="1"/>
  <c r="H15" i="25" s="1"/>
  <c r="O13" i="25"/>
  <c r="O14" i="25" s="1"/>
  <c r="O15" i="25" s="1"/>
  <c r="G13" i="25"/>
  <c r="G14" i="25" s="1"/>
  <c r="G15" i="25" s="1"/>
  <c r="N13" i="25"/>
  <c r="N14" i="25" s="1"/>
  <c r="N15" i="25" s="1"/>
  <c r="G5" i="25"/>
  <c r="G6" i="25" s="1"/>
  <c r="G7" i="25" s="1"/>
  <c r="O5" i="25"/>
  <c r="O6" i="25" s="1"/>
  <c r="O7" i="25" s="1"/>
  <c r="H5" i="25"/>
  <c r="H6" i="25" s="1"/>
  <c r="H7" i="25" s="1"/>
  <c r="P5" i="25"/>
  <c r="P6" i="25" s="1"/>
  <c r="P7" i="25" s="1"/>
  <c r="I5" i="25"/>
  <c r="I6" i="25" s="1"/>
  <c r="I7" i="25" s="1"/>
  <c r="J5" i="25"/>
  <c r="J6" i="25" s="1"/>
  <c r="J7" i="25" s="1"/>
  <c r="E5" i="25"/>
  <c r="E6" i="25" s="1"/>
  <c r="E7" i="25" s="1"/>
  <c r="N5" i="25"/>
  <c r="N6" i="25" s="1"/>
  <c r="N7" i="25" s="1"/>
  <c r="C5" i="25"/>
  <c r="C6" i="25" s="1"/>
  <c r="C7" i="25" s="1"/>
  <c r="K5" i="25"/>
  <c r="K6" i="25" s="1"/>
  <c r="K7" i="25" s="1"/>
  <c r="M5" i="25"/>
  <c r="M6" i="25" s="1"/>
  <c r="M7" i="25" s="1"/>
  <c r="F5" i="25"/>
  <c r="F6" i="25" s="1"/>
  <c r="F7" i="25" s="1"/>
  <c r="D5" i="25"/>
  <c r="D6" i="25" s="1"/>
  <c r="D7" i="25" s="1"/>
  <c r="U12" i="3" l="1"/>
  <c r="Q15" i="25"/>
  <c r="U14" i="3" s="1"/>
  <c r="Q7" i="25"/>
  <c r="J36" i="3" s="1"/>
  <c r="AI288" i="7"/>
  <c r="N177" i="7"/>
  <c r="P177" i="7" s="1"/>
  <c r="P176" i="7"/>
  <c r="N170" i="7"/>
  <c r="N169" i="7"/>
  <c r="R195" i="6"/>
  <c r="DZ6" i="26" s="1"/>
  <c r="FP6" i="22" l="1"/>
  <c r="EB6" i="22"/>
  <c r="J207" i="7"/>
  <c r="I1879" i="24" a="1"/>
  <c r="H1888" i="24" a="1"/>
  <c r="M1889" i="24" a="1"/>
  <c r="B1888" i="24" a="1"/>
  <c r="M1879" i="24" a="1"/>
  <c r="B1879" i="24" a="1"/>
  <c r="I1888" i="24" a="1"/>
  <c r="M1888" i="24" a="1"/>
  <c r="D1879" i="24" a="1"/>
  <c r="D1888" i="24" a="1"/>
  <c r="H1879" i="24" a="1"/>
  <c r="FS6" i="22" l="1"/>
  <c r="FQ6" i="26"/>
  <c r="J214" i="7"/>
  <c r="M1889" i="24"/>
  <c r="M1888" i="24"/>
  <c r="I1888" i="24"/>
  <c r="H1888" i="24"/>
  <c r="D1888" i="24"/>
  <c r="B1888" i="24"/>
  <c r="M1879" i="24"/>
  <c r="I1879" i="24"/>
  <c r="H1879" i="24"/>
  <c r="D1879" i="24"/>
  <c r="B1879" i="24"/>
  <c r="J323" i="6"/>
  <c r="R180" i="6"/>
  <c r="R181" i="6" s="1"/>
  <c r="C1888" i="24"/>
  <c r="C1879" i="24"/>
  <c r="E1888" i="24" l="1"/>
  <c r="F1888" i="24"/>
  <c r="E1879" i="24"/>
  <c r="F1879" i="24"/>
  <c r="N21" i="23"/>
  <c r="T47" i="5"/>
  <c r="L229" i="5"/>
  <c r="G1888" i="24" l="1"/>
  <c r="G1879" i="24"/>
  <c r="I180" i="5"/>
  <c r="CL6" i="26" s="1"/>
  <c r="L133" i="5"/>
  <c r="L130" i="5"/>
  <c r="P83" i="5"/>
  <c r="CD6" i="26" s="1"/>
  <c r="CN6" i="22" l="1"/>
  <c r="CF6" i="22"/>
  <c r="Q51" i="4"/>
  <c r="N1" i="23" l="1"/>
  <c r="M114" i="23" l="1"/>
  <c r="L114" i="23"/>
  <c r="K114" i="23"/>
  <c r="J114" i="23"/>
  <c r="I114" i="23"/>
  <c r="H114" i="23"/>
  <c r="G114" i="23"/>
  <c r="F114" i="23"/>
  <c r="E114" i="23"/>
  <c r="D114" i="23"/>
  <c r="C114" i="23"/>
  <c r="B114" i="23"/>
  <c r="M112" i="23"/>
  <c r="L112" i="23"/>
  <c r="K112" i="23"/>
  <c r="J112" i="23"/>
  <c r="I112" i="23"/>
  <c r="H112" i="23"/>
  <c r="G112" i="23"/>
  <c r="F112" i="23"/>
  <c r="E112" i="23"/>
  <c r="D112" i="23"/>
  <c r="C112" i="23"/>
  <c r="B112" i="23"/>
  <c r="N110" i="23"/>
  <c r="N109" i="23"/>
  <c r="N107" i="23"/>
  <c r="N106" i="23"/>
  <c r="N105" i="23"/>
  <c r="N104" i="23"/>
  <c r="N103" i="23"/>
  <c r="N102" i="23"/>
  <c r="N101" i="23"/>
  <c r="N100" i="23"/>
  <c r="N99" i="23"/>
  <c r="N98" i="23"/>
  <c r="N97" i="23"/>
  <c r="N96" i="23"/>
  <c r="N95" i="23"/>
  <c r="N93" i="23"/>
  <c r="N92" i="23"/>
  <c r="N91" i="23"/>
  <c r="N90" i="23"/>
  <c r="N89" i="23"/>
  <c r="N88" i="23"/>
  <c r="N87" i="23"/>
  <c r="N86" i="23"/>
  <c r="M77" i="23"/>
  <c r="M75" i="23"/>
  <c r="L77" i="23"/>
  <c r="K77" i="23"/>
  <c r="J77" i="23"/>
  <c r="I77" i="23"/>
  <c r="H77" i="23"/>
  <c r="G77" i="23"/>
  <c r="F77" i="23"/>
  <c r="E77" i="23"/>
  <c r="D77" i="23"/>
  <c r="C77" i="23"/>
  <c r="B77" i="23"/>
  <c r="L75" i="23"/>
  <c r="K75" i="23"/>
  <c r="J75" i="23"/>
  <c r="I75" i="23"/>
  <c r="H75" i="23"/>
  <c r="G75" i="23"/>
  <c r="F75" i="23"/>
  <c r="E75" i="23"/>
  <c r="D75" i="23"/>
  <c r="C75" i="23"/>
  <c r="B75" i="23"/>
  <c r="N73" i="23"/>
  <c r="N72" i="23"/>
  <c r="N70" i="23"/>
  <c r="N69" i="23"/>
  <c r="N68" i="23"/>
  <c r="N67" i="23"/>
  <c r="N66" i="23"/>
  <c r="N65" i="23"/>
  <c r="N64" i="23"/>
  <c r="N63" i="23"/>
  <c r="N62" i="23"/>
  <c r="N61" i="23"/>
  <c r="N60" i="23"/>
  <c r="N59" i="23"/>
  <c r="N58" i="23"/>
  <c r="N56" i="23"/>
  <c r="N55" i="23"/>
  <c r="N54" i="23"/>
  <c r="N53" i="23"/>
  <c r="N52" i="23"/>
  <c r="N51" i="23"/>
  <c r="N50" i="23"/>
  <c r="N49" i="23"/>
  <c r="P175" i="4" l="1"/>
  <c r="P184" i="4"/>
  <c r="P192" i="4"/>
  <c r="E76" i="23"/>
  <c r="B78" i="23"/>
  <c r="M78" i="23"/>
  <c r="Q180" i="4"/>
  <c r="Q189" i="4"/>
  <c r="B113" i="23"/>
  <c r="B115" i="23"/>
  <c r="J115" i="23"/>
  <c r="P180" i="4"/>
  <c r="P189" i="4"/>
  <c r="B76" i="23"/>
  <c r="C78" i="23"/>
  <c r="K78" i="23"/>
  <c r="Q177" i="4"/>
  <c r="Q186" i="4"/>
  <c r="Q194" i="4"/>
  <c r="C113" i="23"/>
  <c r="K113" i="23"/>
  <c r="G115" i="23"/>
  <c r="P173" i="4"/>
  <c r="P182" i="4"/>
  <c r="P186" i="4"/>
  <c r="P190" i="4"/>
  <c r="P194" i="4"/>
  <c r="C76" i="23"/>
  <c r="G76" i="23"/>
  <c r="K76" i="23"/>
  <c r="D78" i="23"/>
  <c r="H78" i="23"/>
  <c r="L78" i="23"/>
  <c r="Q174" i="4"/>
  <c r="Q178" i="4"/>
  <c r="Q183" i="4"/>
  <c r="Q187" i="4"/>
  <c r="Q191" i="4"/>
  <c r="D113" i="23"/>
  <c r="H113" i="23"/>
  <c r="L113" i="23"/>
  <c r="D115" i="23"/>
  <c r="H115" i="23"/>
  <c r="L115" i="23"/>
  <c r="P179" i="4"/>
  <c r="P188" i="4"/>
  <c r="I76" i="23"/>
  <c r="F78" i="23"/>
  <c r="J78" i="23"/>
  <c r="Q176" i="4"/>
  <c r="Q185" i="4"/>
  <c r="Q193" i="4"/>
  <c r="F113" i="23"/>
  <c r="J113" i="23"/>
  <c r="F115" i="23"/>
  <c r="P176" i="4"/>
  <c r="P185" i="4"/>
  <c r="P193" i="4"/>
  <c r="F76" i="23"/>
  <c r="J76" i="23"/>
  <c r="G78" i="23"/>
  <c r="Q173" i="4"/>
  <c r="Q182" i="4"/>
  <c r="Q190" i="4"/>
  <c r="G113" i="23"/>
  <c r="C115" i="23"/>
  <c r="K115" i="23"/>
  <c r="P177" i="4"/>
  <c r="P174" i="4"/>
  <c r="P178" i="4"/>
  <c r="P183" i="4"/>
  <c r="P187" i="4"/>
  <c r="P191" i="4"/>
  <c r="D76" i="23"/>
  <c r="H76" i="23"/>
  <c r="L76" i="23"/>
  <c r="E78" i="23"/>
  <c r="I78" i="23"/>
  <c r="M76" i="23"/>
  <c r="Q175" i="4"/>
  <c r="Q179" i="4"/>
  <c r="Q184" i="4"/>
  <c r="Q188" i="4"/>
  <c r="Q192" i="4"/>
  <c r="E113" i="23"/>
  <c r="I113" i="23"/>
  <c r="M113" i="23"/>
  <c r="E115" i="23"/>
  <c r="I115" i="23"/>
  <c r="M115" i="23"/>
  <c r="N75" i="23"/>
  <c r="N114" i="23"/>
  <c r="N112" i="23"/>
  <c r="N77" i="23"/>
  <c r="N36" i="23"/>
  <c r="N35" i="23"/>
  <c r="B40" i="23"/>
  <c r="B38" i="23"/>
  <c r="N115" i="23" l="1"/>
  <c r="N76" i="23"/>
  <c r="P197" i="4" s="1"/>
  <c r="B39" i="23"/>
  <c r="B41" i="23"/>
  <c r="N78" i="23"/>
  <c r="N113" i="23"/>
  <c r="M40" i="23"/>
  <c r="C38" i="23"/>
  <c r="D38" i="23"/>
  <c r="E38" i="23"/>
  <c r="F38" i="23"/>
  <c r="G38" i="23"/>
  <c r="H38" i="23"/>
  <c r="I38" i="23"/>
  <c r="J38" i="23"/>
  <c r="K38" i="23"/>
  <c r="L38" i="23"/>
  <c r="M38" i="23"/>
  <c r="N33" i="23"/>
  <c r="N32" i="23"/>
  <c r="N31" i="23"/>
  <c r="N30" i="23"/>
  <c r="N29" i="23"/>
  <c r="N28" i="23"/>
  <c r="N27" i="23"/>
  <c r="N26" i="23"/>
  <c r="N25" i="23"/>
  <c r="N24" i="23"/>
  <c r="N23" i="23"/>
  <c r="N22" i="23"/>
  <c r="O182" i="4"/>
  <c r="N13" i="23"/>
  <c r="N14" i="23"/>
  <c r="N15" i="23"/>
  <c r="N16" i="23"/>
  <c r="N17" i="23"/>
  <c r="N18" i="23"/>
  <c r="N19" i="23"/>
  <c r="N12" i="23"/>
  <c r="Q196" i="4" l="1"/>
  <c r="O178" i="4"/>
  <c r="O174" i="4"/>
  <c r="O185" i="4"/>
  <c r="O189" i="4"/>
  <c r="O193" i="4"/>
  <c r="K39" i="23"/>
  <c r="G39" i="23"/>
  <c r="C39" i="23"/>
  <c r="O173" i="4"/>
  <c r="O177" i="4"/>
  <c r="O186" i="4"/>
  <c r="O190" i="4"/>
  <c r="O194" i="4"/>
  <c r="J39" i="23"/>
  <c r="F39" i="23"/>
  <c r="M41" i="23"/>
  <c r="O180" i="4"/>
  <c r="O176" i="4"/>
  <c r="O183" i="4"/>
  <c r="O187" i="4"/>
  <c r="O191" i="4"/>
  <c r="M39" i="23"/>
  <c r="I39" i="23"/>
  <c r="E39" i="23"/>
  <c r="Q197" i="4"/>
  <c r="O179" i="4"/>
  <c r="O175" i="4"/>
  <c r="O184" i="4"/>
  <c r="O188" i="4"/>
  <c r="O192" i="4"/>
  <c r="L39" i="23"/>
  <c r="H39" i="23"/>
  <c r="D39" i="23"/>
  <c r="P196" i="4"/>
  <c r="N38" i="23"/>
  <c r="C40" i="23"/>
  <c r="D40" i="23"/>
  <c r="E40" i="23"/>
  <c r="F40" i="23"/>
  <c r="G40" i="23"/>
  <c r="H40" i="23"/>
  <c r="I40" i="23"/>
  <c r="J40" i="23"/>
  <c r="K40" i="23"/>
  <c r="L40" i="23"/>
  <c r="J41" i="23" l="1"/>
  <c r="N39" i="23"/>
  <c r="D41" i="23"/>
  <c r="F41" i="23"/>
  <c r="I41" i="23"/>
  <c r="E41" i="23"/>
  <c r="L41" i="23"/>
  <c r="H41" i="23"/>
  <c r="K41" i="23"/>
  <c r="G41" i="23"/>
  <c r="C41" i="23"/>
  <c r="N40" i="23"/>
  <c r="S69" i="10"/>
  <c r="S57" i="10"/>
  <c r="F69" i="10"/>
  <c r="F57" i="10"/>
  <c r="O197" i="4" l="1"/>
  <c r="N41" i="23"/>
  <c r="Q155" i="6" l="1"/>
  <c r="O196" i="4"/>
  <c r="O288" i="7" s="1"/>
  <c r="AY6" i="26" l="1"/>
  <c r="AU6" i="26"/>
  <c r="AQ6" i="26"/>
  <c r="BD6" i="22"/>
  <c r="AX6" i="26"/>
  <c r="AT6" i="26"/>
  <c r="AP6" i="26"/>
  <c r="BB6" i="22"/>
  <c r="AW6" i="26"/>
  <c r="AS6" i="26"/>
  <c r="AV6" i="26"/>
  <c r="AR6" i="26"/>
  <c r="BA6" i="22"/>
  <c r="AW6" i="22"/>
  <c r="AZ6" i="22"/>
  <c r="AV6" i="22"/>
  <c r="AY6" i="22"/>
  <c r="AU6" i="22"/>
  <c r="AX6" i="22"/>
  <c r="L355" i="6"/>
  <c r="J324" i="6"/>
  <c r="L350" i="6"/>
  <c r="J327" i="6" l="1"/>
  <c r="ER6" i="22" s="1"/>
  <c r="O281" i="7"/>
  <c r="EP6" i="26" l="1"/>
  <c r="AJ289" i="7"/>
  <c r="AI289" i="7"/>
  <c r="P49" i="7" l="1"/>
  <c r="D55" i="7"/>
  <c r="M51" i="7" l="1"/>
  <c r="Y1" i="3"/>
  <c r="FC6" i="26" l="1"/>
  <c r="FE6" i="22"/>
  <c r="O13" i="8"/>
  <c r="I144" i="5"/>
  <c r="L148" i="5" l="1"/>
  <c r="O106" i="6"/>
  <c r="T106" i="6"/>
  <c r="M54" i="6" l="1"/>
  <c r="O282" i="7" l="1"/>
  <c r="AJ288" i="7"/>
  <c r="P45" i="6" l="1"/>
  <c r="T42" i="5"/>
  <c r="BP5" i="9"/>
  <c r="I74" i="6"/>
  <c r="I73" i="6" s="1"/>
  <c r="P51" i="7"/>
  <c r="N237" i="7"/>
  <c r="C99" i="7"/>
  <c r="C98" i="7"/>
  <c r="AL56" i="7"/>
  <c r="AL55" i="7"/>
  <c r="AK56" i="7"/>
  <c r="AK55" i="7"/>
  <c r="P80" i="6" l="1"/>
  <c r="T43" i="5"/>
  <c r="C144" i="6"/>
  <c r="C87" i="7"/>
  <c r="BP7" i="9"/>
  <c r="BP6" i="9"/>
  <c r="L81" i="6" l="1"/>
  <c r="L80" i="6"/>
  <c r="H106" i="6" s="1"/>
  <c r="N80" i="6"/>
  <c r="H108" i="6" s="1"/>
  <c r="P81" i="6"/>
  <c r="N81" i="6"/>
  <c r="H109" i="6" s="1"/>
  <c r="J81" i="6"/>
  <c r="H107" i="6" s="1"/>
  <c r="BP8" i="9"/>
  <c r="BP9" i="9"/>
  <c r="L230" i="5"/>
  <c r="O80" i="8"/>
  <c r="GV6" i="22" l="1"/>
  <c r="GT6" i="26"/>
  <c r="C88" i="7"/>
  <c r="C13" i="4"/>
  <c r="L231" i="5"/>
  <c r="CR6" i="26" s="1"/>
  <c r="C145" i="6"/>
  <c r="C89" i="7"/>
  <c r="C146" i="6"/>
  <c r="C11" i="4"/>
  <c r="N236" i="7"/>
  <c r="N235" i="7"/>
  <c r="N234" i="7"/>
  <c r="N233" i="7"/>
  <c r="O148" i="7"/>
  <c r="O147" i="7"/>
  <c r="O146" i="7"/>
  <c r="O142" i="7"/>
  <c r="O141" i="7"/>
  <c r="O140" i="7"/>
  <c r="Q93" i="7"/>
  <c r="O349" i="6"/>
  <c r="N241" i="7" l="1"/>
  <c r="FU6" i="26" s="1"/>
  <c r="N242" i="7"/>
  <c r="P237" i="7"/>
  <c r="FW6" i="22"/>
  <c r="CT6" i="22"/>
  <c r="Q90" i="7"/>
  <c r="C94" i="7"/>
  <c r="Q94" i="7"/>
  <c r="T93" i="7"/>
  <c r="J275" i="6" l="1"/>
  <c r="O277" i="6" s="1"/>
  <c r="L272" i="6"/>
  <c r="Q150" i="6"/>
  <c r="C151" i="6" l="1"/>
  <c r="Q147" i="6"/>
  <c r="T150" i="6"/>
  <c r="Q151" i="6"/>
  <c r="W263" i="5"/>
  <c r="AD17" i="5" l="1"/>
  <c r="AD18" i="5"/>
  <c r="AD19" i="5"/>
  <c r="AD20" i="5"/>
  <c r="AD21" i="5"/>
  <c r="AD22" i="5"/>
  <c r="AD23" i="5"/>
  <c r="AD24" i="5"/>
  <c r="AD25" i="5"/>
  <c r="AD26" i="5"/>
  <c r="AD27" i="5"/>
  <c r="AD28" i="5"/>
  <c r="AD29" i="5"/>
  <c r="AD30" i="5"/>
  <c r="AD31" i="5"/>
  <c r="AD32" i="5"/>
  <c r="AD33" i="5"/>
  <c r="AD34" i="5"/>
  <c r="AD35" i="5"/>
  <c r="T35" i="5"/>
  <c r="Y35" i="5" l="1"/>
  <c r="BX6" i="26" s="1"/>
  <c r="C9" i="4"/>
  <c r="O172" i="4"/>
  <c r="O21" i="4"/>
  <c r="P11" i="7"/>
  <c r="P30" i="7"/>
  <c r="O74" i="4"/>
  <c r="T56" i="5" a="1"/>
  <c r="T56" i="5" s="1"/>
  <c r="BZ6" i="26" s="1"/>
  <c r="CB6" i="22" l="1"/>
  <c r="BZ6" i="22"/>
  <c r="A39" i="23"/>
  <c r="A8" i="23"/>
  <c r="A41" i="23"/>
  <c r="A7" i="23"/>
  <c r="V30" i="7"/>
  <c r="V11" i="7"/>
  <c r="Q21" i="4"/>
  <c r="Q172" i="4"/>
  <c r="Q74" i="4"/>
  <c r="S11" i="7"/>
  <c r="S30" i="7"/>
  <c r="P21" i="4"/>
  <c r="P172" i="4"/>
  <c r="P74" i="4"/>
  <c r="A78" i="23" l="1"/>
  <c r="A76" i="23"/>
  <c r="A44" i="23"/>
  <c r="A45" i="23"/>
  <c r="A113" i="23"/>
  <c r="A115" i="23"/>
  <c r="A82" i="23"/>
  <c r="A81" i="23"/>
  <c r="F6" i="16"/>
  <c r="AM6" i="22" l="1"/>
  <c r="M6" i="22"/>
  <c r="AL6" i="22"/>
  <c r="O10" i="8" l="1"/>
  <c r="AZ6" i="9" l="1"/>
  <c r="M6" i="13" l="1"/>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5" i="13"/>
  <c r="N6" i="13" l="1"/>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5" i="13"/>
  <c r="AZ7" i="9"/>
  <c r="AZ8" i="9"/>
  <c r="AZ9" i="9"/>
  <c r="AZ10" i="9"/>
  <c r="AZ11" i="9"/>
  <c r="AZ12" i="9"/>
  <c r="AZ13" i="9"/>
  <c r="AZ14" i="9"/>
  <c r="AZ15" i="9"/>
  <c r="AZ16" i="9"/>
  <c r="AZ17" i="9"/>
  <c r="AZ18" i="9"/>
  <c r="AZ19" i="9"/>
  <c r="AZ20" i="9"/>
  <c r="AZ21" i="9"/>
  <c r="AZ22" i="9"/>
  <c r="AZ23" i="9"/>
  <c r="AZ24" i="9"/>
  <c r="AZ25" i="9"/>
  <c r="AZ26" i="9"/>
  <c r="AZ27" i="9"/>
  <c r="AZ28" i="9"/>
  <c r="AZ29" i="9"/>
  <c r="AZ30" i="9"/>
  <c r="AZ31" i="9"/>
  <c r="AZ32" i="9"/>
  <c r="AZ33" i="9"/>
  <c r="AZ34" i="9"/>
  <c r="AZ35" i="9"/>
  <c r="AZ36" i="9"/>
  <c r="AZ37" i="9"/>
  <c r="AZ38" i="9"/>
  <c r="AZ39" i="9"/>
  <c r="AZ40" i="9"/>
  <c r="AZ41" i="9"/>
  <c r="AZ42" i="9"/>
  <c r="AZ43" i="9"/>
  <c r="AZ44" i="9"/>
  <c r="AZ45" i="9"/>
  <c r="AZ46" i="9"/>
  <c r="AZ47" i="9"/>
  <c r="AZ48" i="9"/>
  <c r="AZ49" i="9"/>
  <c r="AZ50" i="9"/>
  <c r="AZ51" i="9"/>
  <c r="AZ52" i="9"/>
  <c r="AZ53" i="9"/>
  <c r="AZ54" i="9"/>
  <c r="AZ55" i="9"/>
  <c r="AZ56" i="9"/>
  <c r="AZ57" i="9"/>
  <c r="AZ58" i="9"/>
  <c r="AZ59" i="9"/>
  <c r="AZ60" i="9"/>
  <c r="AZ61" i="9"/>
  <c r="AZ62" i="9"/>
  <c r="AZ63" i="9"/>
  <c r="AZ64" i="9"/>
  <c r="AZ65" i="9"/>
  <c r="AZ66" i="9"/>
  <c r="AZ67" i="9"/>
  <c r="AZ68" i="9"/>
  <c r="AZ69" i="9"/>
  <c r="AZ70" i="9"/>
  <c r="AZ71" i="9"/>
  <c r="AZ72" i="9"/>
  <c r="AZ73" i="9"/>
  <c r="AZ74" i="9"/>
  <c r="AZ75" i="9"/>
  <c r="AZ76" i="9"/>
  <c r="AZ77" i="9"/>
  <c r="AZ78" i="9"/>
  <c r="AZ79" i="9"/>
  <c r="AZ80" i="9"/>
  <c r="AZ81" i="9"/>
  <c r="AZ82" i="9"/>
  <c r="AZ83" i="9"/>
  <c r="AZ84" i="9"/>
  <c r="AZ85" i="9"/>
  <c r="AZ86" i="9"/>
  <c r="AZ87" i="9"/>
  <c r="AZ88" i="9"/>
  <c r="AZ89" i="9"/>
  <c r="AZ90" i="9"/>
  <c r="AZ91" i="9"/>
  <c r="AZ92" i="9"/>
  <c r="AZ93" i="9"/>
  <c r="AZ94" i="9"/>
  <c r="AZ95" i="9"/>
  <c r="AZ96" i="9"/>
  <c r="AZ97" i="9"/>
  <c r="AZ98" i="9"/>
  <c r="AZ99" i="9"/>
  <c r="AZ100" i="9"/>
  <c r="AZ101" i="9"/>
  <c r="AZ102" i="9"/>
  <c r="AZ103" i="9"/>
  <c r="AZ104" i="9"/>
  <c r="AZ105" i="9"/>
  <c r="AZ106" i="9"/>
  <c r="AZ107" i="9"/>
  <c r="AZ108" i="9"/>
  <c r="AZ109" i="9"/>
  <c r="AZ110" i="9"/>
  <c r="AZ111" i="9"/>
  <c r="AZ112" i="9"/>
  <c r="AZ113" i="9"/>
  <c r="AZ114" i="9"/>
  <c r="AZ115" i="9"/>
  <c r="AZ116" i="9"/>
  <c r="AZ117" i="9"/>
  <c r="AZ118" i="9"/>
  <c r="AZ119" i="9"/>
  <c r="AZ120" i="9"/>
  <c r="AZ121" i="9"/>
  <c r="AZ122" i="9"/>
  <c r="AZ123" i="9"/>
  <c r="AZ124" i="9"/>
  <c r="AZ125" i="9"/>
  <c r="AZ126" i="9"/>
  <c r="AZ127" i="9"/>
  <c r="AZ128" i="9"/>
  <c r="AZ129" i="9"/>
  <c r="AZ130" i="9"/>
  <c r="AZ131" i="9"/>
  <c r="AZ132" i="9"/>
  <c r="AZ133" i="9"/>
  <c r="AZ134" i="9"/>
  <c r="AZ135" i="9"/>
  <c r="AZ136" i="9"/>
  <c r="AZ137" i="9"/>
  <c r="AZ138" i="9"/>
  <c r="AZ139" i="9"/>
  <c r="AZ140" i="9"/>
  <c r="AZ141" i="9"/>
  <c r="AZ142" i="9"/>
  <c r="AZ143" i="9"/>
  <c r="AZ144" i="9"/>
  <c r="AZ145" i="9"/>
  <c r="AZ146" i="9"/>
  <c r="AZ147" i="9"/>
  <c r="AZ148" i="9"/>
  <c r="AZ149" i="9"/>
  <c r="AZ150" i="9"/>
  <c r="AZ151" i="9"/>
  <c r="AZ152" i="9"/>
  <c r="AZ153" i="9"/>
  <c r="AZ154" i="9"/>
  <c r="AZ155" i="9"/>
  <c r="AZ156" i="9"/>
  <c r="AZ157" i="9"/>
  <c r="AZ158" i="9"/>
  <c r="AZ159" i="9"/>
  <c r="AZ160" i="9"/>
  <c r="AZ161" i="9"/>
  <c r="AZ162" i="9"/>
  <c r="AZ163" i="9"/>
  <c r="AZ164" i="9"/>
  <c r="AZ165" i="9"/>
  <c r="AZ166" i="9"/>
  <c r="AZ167" i="9"/>
  <c r="AZ168" i="9"/>
  <c r="AZ169" i="9"/>
  <c r="AZ170" i="9"/>
  <c r="AZ171" i="9"/>
  <c r="AZ172" i="9"/>
  <c r="AZ173" i="9"/>
  <c r="AZ174" i="9"/>
  <c r="AZ175" i="9"/>
  <c r="AZ176" i="9"/>
  <c r="AZ177" i="9"/>
  <c r="AZ178" i="9"/>
  <c r="AZ179" i="9"/>
  <c r="AZ180" i="9"/>
  <c r="AZ181" i="9"/>
  <c r="AZ182" i="9"/>
  <c r="AZ183" i="9"/>
  <c r="AZ184" i="9"/>
  <c r="AZ185" i="9"/>
  <c r="AZ186" i="9"/>
  <c r="AZ187" i="9"/>
  <c r="AZ188" i="9"/>
  <c r="AZ189" i="9"/>
  <c r="AZ190" i="9"/>
  <c r="AZ191" i="9"/>
  <c r="AZ192" i="9"/>
  <c r="AZ193" i="9"/>
  <c r="AZ194" i="9"/>
  <c r="AZ195" i="9"/>
  <c r="AZ196" i="9"/>
  <c r="AZ197" i="9"/>
  <c r="AZ198" i="9"/>
  <c r="AZ199" i="9"/>
  <c r="AZ200" i="9"/>
  <c r="AZ201" i="9"/>
  <c r="AZ202" i="9"/>
  <c r="AZ203" i="9"/>
  <c r="AZ204" i="9"/>
  <c r="AZ205" i="9"/>
  <c r="AZ206" i="9"/>
  <c r="AZ207" i="9"/>
  <c r="AZ208" i="9"/>
  <c r="AZ209" i="9"/>
  <c r="AZ210" i="9"/>
  <c r="AZ211" i="9"/>
  <c r="AZ212" i="9"/>
  <c r="AZ213" i="9"/>
  <c r="AZ214" i="9"/>
  <c r="AZ215" i="9"/>
  <c r="AZ216" i="9"/>
  <c r="AZ217" i="9"/>
  <c r="AZ218" i="9"/>
  <c r="AZ219" i="9"/>
  <c r="AZ220" i="9"/>
  <c r="AZ221" i="9"/>
  <c r="AZ222" i="9"/>
  <c r="AZ223" i="9"/>
  <c r="AZ224" i="9"/>
  <c r="AZ225" i="9"/>
  <c r="AZ226" i="9"/>
  <c r="AZ227" i="9"/>
  <c r="AZ228" i="9"/>
  <c r="AZ229" i="9"/>
  <c r="AZ230" i="9"/>
  <c r="AZ231" i="9"/>
  <c r="AZ232" i="9"/>
  <c r="AZ233" i="9"/>
  <c r="AZ234" i="9"/>
  <c r="AZ235" i="9"/>
  <c r="AZ236" i="9"/>
  <c r="AZ237" i="9"/>
  <c r="AZ238" i="9"/>
  <c r="AZ239" i="9"/>
  <c r="AZ240" i="9"/>
  <c r="AZ241" i="9"/>
  <c r="AZ242" i="9"/>
  <c r="AZ243" i="9"/>
  <c r="AZ244" i="9"/>
  <c r="AZ245" i="9"/>
  <c r="AZ246" i="9"/>
  <c r="AZ247" i="9"/>
  <c r="AZ248" i="9"/>
  <c r="AZ249" i="9"/>
  <c r="AZ250" i="9"/>
  <c r="AZ251" i="9"/>
  <c r="AZ252" i="9"/>
  <c r="AZ253" i="9"/>
  <c r="AZ254" i="9"/>
  <c r="AZ255" i="9"/>
  <c r="AZ256" i="9"/>
  <c r="AZ257" i="9"/>
  <c r="AZ258" i="9"/>
  <c r="AZ259" i="9"/>
  <c r="AZ260" i="9"/>
  <c r="AZ261" i="9"/>
  <c r="AZ262" i="9"/>
  <c r="AZ263" i="9"/>
  <c r="AZ264" i="9"/>
  <c r="AZ265" i="9"/>
  <c r="AZ266" i="9"/>
  <c r="AZ267" i="9"/>
  <c r="AZ268" i="9"/>
  <c r="AZ269" i="9"/>
  <c r="AZ270" i="9"/>
  <c r="AZ271" i="9"/>
  <c r="AZ272" i="9"/>
  <c r="AZ273" i="9"/>
  <c r="AZ274" i="9"/>
  <c r="AZ275" i="9"/>
  <c r="AZ276" i="9"/>
  <c r="AZ277" i="9"/>
  <c r="AZ278" i="9"/>
  <c r="AZ279" i="9"/>
  <c r="AZ280" i="9"/>
  <c r="AZ281" i="9"/>
  <c r="AZ5" i="9"/>
  <c r="AD139" i="4"/>
  <c r="AA147" i="4"/>
  <c r="AB147" i="4" s="1"/>
  <c r="AA148" i="4"/>
  <c r="AB148" i="4" s="1"/>
  <c r="AA149" i="4"/>
  <c r="AB149" i="4" s="1"/>
  <c r="AA150" i="4"/>
  <c r="AB150" i="4" s="1"/>
  <c r="AA151" i="4"/>
  <c r="AB151" i="4" s="1"/>
  <c r="AA152" i="4"/>
  <c r="AB152" i="4" s="1"/>
  <c r="AA153" i="4"/>
  <c r="AB153" i="4" s="1"/>
  <c r="AA154" i="4"/>
  <c r="AB154" i="4" s="1"/>
  <c r="AA155" i="4"/>
  <c r="AB155" i="4" s="1"/>
  <c r="AA156" i="4"/>
  <c r="AB156" i="4" s="1"/>
  <c r="AA157" i="4"/>
  <c r="AB157" i="4" s="1"/>
  <c r="AA158" i="4"/>
  <c r="AB158" i="4" s="1"/>
  <c r="AA145" i="4"/>
  <c r="AB145" i="4" s="1"/>
  <c r="AA146" i="4"/>
  <c r="AB146" i="4" s="1"/>
  <c r="AA144" i="4"/>
  <c r="AQ8" i="9"/>
  <c r="AR8" i="9"/>
  <c r="AS8" i="9"/>
  <c r="AT8" i="9"/>
  <c r="AU8" i="9"/>
  <c r="AQ9" i="9"/>
  <c r="AR9" i="9"/>
  <c r="AS9" i="9"/>
  <c r="AT9" i="9"/>
  <c r="AU9" i="9"/>
  <c r="AQ10" i="9"/>
  <c r="AR10" i="9"/>
  <c r="AS10" i="9"/>
  <c r="AT10" i="9"/>
  <c r="AU10" i="9"/>
  <c r="AQ11" i="9"/>
  <c r="AR11" i="9"/>
  <c r="AS11" i="9"/>
  <c r="AT11" i="9"/>
  <c r="AU11" i="9"/>
  <c r="AQ12" i="9"/>
  <c r="AR12" i="9"/>
  <c r="AS12" i="9"/>
  <c r="AT12" i="9"/>
  <c r="AU12" i="9"/>
  <c r="AP12" i="9"/>
  <c r="AP11" i="9"/>
  <c r="AP10" i="9"/>
  <c r="AP9" i="9"/>
  <c r="AP8" i="9"/>
  <c r="DP6" i="26" l="1"/>
  <c r="DO6" i="26"/>
  <c r="DN6" i="26"/>
  <c r="DP6" i="22"/>
  <c r="Z147" i="4"/>
  <c r="Z155" i="4"/>
  <c r="Z148" i="4"/>
  <c r="Z156" i="4"/>
  <c r="Z146" i="4"/>
  <c r="Z149" i="4"/>
  <c r="Z157" i="4"/>
  <c r="Z145" i="4"/>
  <c r="Z150" i="4"/>
  <c r="Z158" i="4"/>
  <c r="Z153" i="4"/>
  <c r="Z154" i="4"/>
  <c r="Z151" i="4"/>
  <c r="Z152" i="4"/>
  <c r="AB144" i="4"/>
  <c r="Z144" i="4" s="1"/>
  <c r="Y145" i="4"/>
  <c r="Y149" i="4"/>
  <c r="Y157" i="4"/>
  <c r="Y151" i="4"/>
  <c r="Y150" i="4"/>
  <c r="Y158" i="4"/>
  <c r="Y152" i="4"/>
  <c r="Y153" i="4"/>
  <c r="Y154" i="4"/>
  <c r="Y156" i="4"/>
  <c r="Y147" i="4"/>
  <c r="Y155" i="4"/>
  <c r="Y148" i="4"/>
  <c r="Y146" i="4"/>
  <c r="W25" i="9"/>
  <c r="V25" i="9"/>
  <c r="W24" i="9"/>
  <c r="V24" i="9"/>
  <c r="W23" i="9"/>
  <c r="W22" i="9"/>
  <c r="V22" i="9"/>
  <c r="W21" i="9"/>
  <c r="W20" i="9"/>
  <c r="V20" i="9"/>
  <c r="W19" i="9"/>
  <c r="V19" i="9"/>
  <c r="W18" i="9"/>
  <c r="V18" i="9"/>
  <c r="W17" i="9"/>
  <c r="W16" i="9"/>
  <c r="V16" i="9"/>
  <c r="W15" i="9"/>
  <c r="V15" i="9"/>
  <c r="W14" i="9"/>
  <c r="V14" i="9"/>
  <c r="W11" i="9"/>
  <c r="V11" i="9"/>
  <c r="W10" i="9"/>
  <c r="V10" i="9"/>
  <c r="W9" i="9"/>
  <c r="W8" i="9"/>
  <c r="V8" i="9"/>
  <c r="W7" i="9"/>
  <c r="U25" i="9"/>
  <c r="U24" i="9"/>
  <c r="V23" i="9"/>
  <c r="U23" i="9"/>
  <c r="U22" i="9"/>
  <c r="V21" i="9"/>
  <c r="U21" i="9"/>
  <c r="U20" i="9"/>
  <c r="U19" i="9"/>
  <c r="U18" i="9"/>
  <c r="V17" i="9"/>
  <c r="U17" i="9"/>
  <c r="U16" i="9"/>
  <c r="U15" i="9"/>
  <c r="U14" i="9"/>
  <c r="W13" i="9"/>
  <c r="V13" i="9"/>
  <c r="U13" i="9"/>
  <c r="W12" i="9"/>
  <c r="V12" i="9"/>
  <c r="U12" i="9"/>
  <c r="U11" i="9"/>
  <c r="U10" i="9"/>
  <c r="V9" i="9"/>
  <c r="U9" i="9"/>
  <c r="U8" i="9"/>
  <c r="V7" i="9"/>
  <c r="U7" i="9"/>
  <c r="U6" i="9"/>
  <c r="U5" i="9"/>
  <c r="Z32" i="10"/>
  <c r="Z31" i="10"/>
  <c r="Z30" i="10"/>
  <c r="Z29" i="10"/>
  <c r="Z27" i="10"/>
  <c r="L32" i="10"/>
  <c r="L31" i="10"/>
  <c r="L29" i="10"/>
  <c r="Z16" i="10"/>
  <c r="Z14" i="10"/>
  <c r="Z11" i="10"/>
  <c r="Z10" i="10"/>
  <c r="L17" i="10"/>
  <c r="L16" i="10"/>
  <c r="L15" i="10"/>
  <c r="L14" i="10"/>
  <c r="L13" i="10"/>
  <c r="L12" i="10"/>
  <c r="L11" i="10"/>
  <c r="L10" i="10"/>
  <c r="DR6" i="22" l="1"/>
  <c r="DQ6" i="22"/>
  <c r="DM6" i="26"/>
  <c r="DO6" i="22"/>
  <c r="Z6" i="9"/>
  <c r="AA6" i="9"/>
  <c r="X6" i="9"/>
  <c r="Y6" i="9"/>
  <c r="AA7" i="9"/>
  <c r="Z7" i="9"/>
  <c r="X7" i="9"/>
  <c r="Y7" i="9"/>
  <c r="AE12" i="9"/>
  <c r="AC12" i="9"/>
  <c r="AB12" i="9"/>
  <c r="AD12" i="9"/>
  <c r="X17" i="9"/>
  <c r="Y17" i="9"/>
  <c r="AA17" i="9"/>
  <c r="Z17" i="9"/>
  <c r="AA23" i="9"/>
  <c r="Z23" i="9"/>
  <c r="X23" i="9"/>
  <c r="Y23" i="9"/>
  <c r="AE10" i="9"/>
  <c r="AD10" i="9"/>
  <c r="AB10" i="9"/>
  <c r="AC10" i="9"/>
  <c r="AE16" i="9"/>
  <c r="AD16" i="9"/>
  <c r="AC16" i="9"/>
  <c r="AB16" i="9"/>
  <c r="AF20" i="9"/>
  <c r="AI20" i="9"/>
  <c r="AG20" i="9"/>
  <c r="AH20" i="9"/>
  <c r="AF25" i="9"/>
  <c r="AH25" i="9"/>
  <c r="AG25" i="9"/>
  <c r="AI25" i="9"/>
  <c r="X13" i="9"/>
  <c r="Y13" i="9"/>
  <c r="AA13" i="9"/>
  <c r="Z13" i="9"/>
  <c r="Z18" i="9"/>
  <c r="AA18" i="9"/>
  <c r="X18" i="9"/>
  <c r="Y18" i="9"/>
  <c r="Z24" i="9"/>
  <c r="X24" i="9"/>
  <c r="AA24" i="9"/>
  <c r="Y24" i="9"/>
  <c r="AB11" i="9"/>
  <c r="AD11" i="9"/>
  <c r="AC11" i="9"/>
  <c r="AE11" i="9"/>
  <c r="AF17" i="9"/>
  <c r="AH17" i="9"/>
  <c r="AG17" i="9"/>
  <c r="AI17" i="9"/>
  <c r="AE22" i="9"/>
  <c r="AD22" i="9"/>
  <c r="AB22" i="9"/>
  <c r="AC22" i="9"/>
  <c r="X9" i="9"/>
  <c r="Y9" i="9"/>
  <c r="Z9" i="9"/>
  <c r="AA9" i="9"/>
  <c r="AB13" i="9"/>
  <c r="AC13" i="9"/>
  <c r="AD13" i="9"/>
  <c r="AE13" i="9"/>
  <c r="AA19" i="9"/>
  <c r="Z19" i="9"/>
  <c r="X19" i="9"/>
  <c r="Y19" i="9"/>
  <c r="X25" i="9"/>
  <c r="Y25" i="9"/>
  <c r="Z25" i="9"/>
  <c r="AA25" i="9"/>
  <c r="AF11" i="9"/>
  <c r="AI11" i="9"/>
  <c r="AG11" i="9"/>
  <c r="AH11" i="9"/>
  <c r="AE18" i="9"/>
  <c r="AD18" i="9"/>
  <c r="AB18" i="9"/>
  <c r="AC18" i="9"/>
  <c r="AF22" i="9"/>
  <c r="AG22" i="9"/>
  <c r="AI22" i="9"/>
  <c r="AH22" i="9"/>
  <c r="AB7" i="9"/>
  <c r="AC7" i="9"/>
  <c r="AD7" i="9"/>
  <c r="AE7" i="9"/>
  <c r="AI21" i="9"/>
  <c r="AF21" i="9"/>
  <c r="AH21" i="9"/>
  <c r="AG21" i="9"/>
  <c r="Y8" i="9"/>
  <c r="Z8" i="9"/>
  <c r="X8" i="9"/>
  <c r="AA8" i="9"/>
  <c r="AD9" i="9"/>
  <c r="AB9" i="9"/>
  <c r="AC9" i="9"/>
  <c r="AE9" i="9"/>
  <c r="AI13" i="9"/>
  <c r="AF13" i="9"/>
  <c r="AH13" i="9"/>
  <c r="AG13" i="9"/>
  <c r="Y20" i="9"/>
  <c r="Z20" i="9"/>
  <c r="AA20" i="9"/>
  <c r="X20" i="9"/>
  <c r="AF7" i="9"/>
  <c r="AG7" i="9"/>
  <c r="AH7" i="9"/>
  <c r="AI7" i="9"/>
  <c r="AE14" i="9"/>
  <c r="AD14" i="9"/>
  <c r="AB14" i="9"/>
  <c r="AC14" i="9"/>
  <c r="AF18" i="9"/>
  <c r="AG18" i="9"/>
  <c r="AI18" i="9"/>
  <c r="AH18" i="9"/>
  <c r="AI23" i="9"/>
  <c r="AF23" i="9"/>
  <c r="AG23" i="9"/>
  <c r="AH23" i="9"/>
  <c r="AB17" i="9"/>
  <c r="AD17" i="9"/>
  <c r="AC17" i="9"/>
  <c r="AE17" i="9"/>
  <c r="AF10" i="9"/>
  <c r="AG10" i="9"/>
  <c r="AH10" i="9"/>
  <c r="AI10" i="9"/>
  <c r="Z10" i="9"/>
  <c r="AA10" i="9"/>
  <c r="Y10" i="9"/>
  <c r="X10" i="9"/>
  <c r="Z14" i="9"/>
  <c r="Y14" i="9"/>
  <c r="AA14" i="9"/>
  <c r="X14" i="9"/>
  <c r="X21" i="9"/>
  <c r="AA21" i="9"/>
  <c r="Y21" i="9"/>
  <c r="Z21" i="9"/>
  <c r="AE8" i="9"/>
  <c r="AD8" i="9"/>
  <c r="AC8" i="9"/>
  <c r="AB8" i="9"/>
  <c r="AF14" i="9"/>
  <c r="AG14" i="9"/>
  <c r="AI14" i="9"/>
  <c r="AH14" i="9"/>
  <c r="AD19" i="9"/>
  <c r="AB19" i="9"/>
  <c r="AC19" i="9"/>
  <c r="AE19" i="9"/>
  <c r="AE24" i="9"/>
  <c r="AC24" i="9"/>
  <c r="AD24" i="9"/>
  <c r="AB24" i="9"/>
  <c r="AA5" i="9"/>
  <c r="X5" i="9"/>
  <c r="Z5" i="9"/>
  <c r="Y5" i="9"/>
  <c r="Z11" i="9"/>
  <c r="AA11" i="9"/>
  <c r="X11" i="9"/>
  <c r="Y11" i="9"/>
  <c r="AA15" i="9"/>
  <c r="Z15" i="9"/>
  <c r="X15" i="9"/>
  <c r="Y15" i="9"/>
  <c r="AB21" i="9"/>
  <c r="AC21" i="9"/>
  <c r="AD21" i="9"/>
  <c r="AE21" i="9"/>
  <c r="AF8" i="9"/>
  <c r="AG8" i="9"/>
  <c r="AI8" i="9"/>
  <c r="AH8" i="9"/>
  <c r="AD15" i="9"/>
  <c r="AB15" i="9"/>
  <c r="AC15" i="9"/>
  <c r="AE15" i="9"/>
  <c r="AF19" i="9"/>
  <c r="AI19" i="9"/>
  <c r="AG19" i="9"/>
  <c r="AH19" i="9"/>
  <c r="AF24" i="9"/>
  <c r="AI24" i="9"/>
  <c r="AG24" i="9"/>
  <c r="AH24" i="9"/>
  <c r="AF12" i="9"/>
  <c r="AI12" i="9"/>
  <c r="AG12" i="9"/>
  <c r="AH12" i="9"/>
  <c r="AB23" i="9"/>
  <c r="AD23" i="9"/>
  <c r="AC23" i="9"/>
  <c r="AE23" i="9"/>
  <c r="AF16" i="9"/>
  <c r="AI16" i="9"/>
  <c r="AG16" i="9"/>
  <c r="AH16" i="9"/>
  <c r="Y12" i="9"/>
  <c r="Z12" i="9"/>
  <c r="AA12" i="9"/>
  <c r="X12" i="9"/>
  <c r="Z16" i="9"/>
  <c r="X16" i="9"/>
  <c r="Y16" i="9"/>
  <c r="AA16" i="9"/>
  <c r="Z22" i="9"/>
  <c r="AA22" i="9"/>
  <c r="Y22" i="9"/>
  <c r="X22" i="9"/>
  <c r="AI9" i="9"/>
  <c r="AF9" i="9"/>
  <c r="AH9" i="9"/>
  <c r="AG9" i="9"/>
  <c r="AI15" i="9"/>
  <c r="AF15" i="9"/>
  <c r="AG15" i="9"/>
  <c r="AH15" i="9"/>
  <c r="AE20" i="9"/>
  <c r="AC20" i="9"/>
  <c r="AB20" i="9"/>
  <c r="AD20" i="9"/>
  <c r="AD25" i="9"/>
  <c r="AB25" i="9"/>
  <c r="AC25" i="9"/>
  <c r="AE25" i="9"/>
  <c r="L20" i="10"/>
  <c r="Y144" i="4"/>
  <c r="AD157" i="4"/>
  <c r="AC157" i="4"/>
  <c r="AK157" i="4"/>
  <c r="AF157" i="4"/>
  <c r="AE157" i="4"/>
  <c r="AJ157" i="4"/>
  <c r="AI157" i="4"/>
  <c r="AH157" i="4"/>
  <c r="AI144" i="4"/>
  <c r="AH144" i="4"/>
  <c r="AF144" i="4"/>
  <c r="AE144" i="4"/>
  <c r="AD144" i="4"/>
  <c r="AC144" i="4"/>
  <c r="AK144" i="4"/>
  <c r="AJ144" i="4"/>
  <c r="AD149" i="4"/>
  <c r="AC149" i="4"/>
  <c r="AF149" i="4"/>
  <c r="AK149" i="4"/>
  <c r="AE149" i="4"/>
  <c r="AJ149" i="4"/>
  <c r="AI149" i="4"/>
  <c r="AH149" i="4"/>
  <c r="AD151" i="4"/>
  <c r="AC151" i="4"/>
  <c r="AK151" i="4"/>
  <c r="AJ151" i="4"/>
  <c r="AF151" i="4"/>
  <c r="AE151" i="4"/>
  <c r="AI151" i="4"/>
  <c r="AH151" i="4"/>
  <c r="AI146" i="4"/>
  <c r="AH146" i="4"/>
  <c r="AJ146" i="4"/>
  <c r="AF146" i="4"/>
  <c r="AE146" i="4"/>
  <c r="AD146" i="4"/>
  <c r="AC146" i="4"/>
  <c r="AK146" i="4"/>
  <c r="AD145" i="4"/>
  <c r="AE145" i="4"/>
  <c r="AC145" i="4"/>
  <c r="AK145" i="4"/>
  <c r="AJ145" i="4"/>
  <c r="AI145" i="4"/>
  <c r="AH145" i="4"/>
  <c r="AF145" i="4"/>
  <c r="AI154" i="4"/>
  <c r="AH154" i="4"/>
  <c r="AJ154" i="4"/>
  <c r="AF154" i="4"/>
  <c r="AK154" i="4"/>
  <c r="AE154" i="4"/>
  <c r="AD154" i="4"/>
  <c r="AC154" i="4"/>
  <c r="AI156" i="4"/>
  <c r="AK156" i="4"/>
  <c r="AJ156" i="4"/>
  <c r="AH156" i="4"/>
  <c r="AF156" i="4"/>
  <c r="AE156" i="4"/>
  <c r="AD156" i="4"/>
  <c r="AC156" i="4"/>
  <c r="AI152" i="4"/>
  <c r="AH152" i="4"/>
  <c r="AF152" i="4"/>
  <c r="AJ152" i="4"/>
  <c r="AE152" i="4"/>
  <c r="AK152" i="4"/>
  <c r="AD152" i="4"/>
  <c r="AC152" i="4"/>
  <c r="AD153" i="4"/>
  <c r="AE153" i="4"/>
  <c r="AC153" i="4"/>
  <c r="AK153" i="4"/>
  <c r="AF153" i="4"/>
  <c r="AJ153" i="4"/>
  <c r="AI153" i="4"/>
  <c r="AH153" i="4"/>
  <c r="AI148" i="4"/>
  <c r="AJ148" i="4"/>
  <c r="AH148" i="4"/>
  <c r="AF148" i="4"/>
  <c r="AK148" i="4"/>
  <c r="AE148" i="4"/>
  <c r="AD148" i="4"/>
  <c r="AC148" i="4"/>
  <c r="AI158" i="4"/>
  <c r="AH158" i="4"/>
  <c r="AK158" i="4"/>
  <c r="AF158" i="4"/>
  <c r="AE158" i="4"/>
  <c r="AD158" i="4"/>
  <c r="AC158" i="4"/>
  <c r="AJ158" i="4"/>
  <c r="AD155" i="4"/>
  <c r="AC155" i="4"/>
  <c r="AE155" i="4"/>
  <c r="AK155" i="4"/>
  <c r="AJ155" i="4"/>
  <c r="AI155" i="4"/>
  <c r="AH155" i="4"/>
  <c r="AF155" i="4"/>
  <c r="AI150" i="4"/>
  <c r="AH150" i="4"/>
  <c r="AF150" i="4"/>
  <c r="AE150" i="4"/>
  <c r="AJ150" i="4"/>
  <c r="AD150" i="4"/>
  <c r="AC150" i="4"/>
  <c r="AK150" i="4"/>
  <c r="AD147" i="4"/>
  <c r="AF147" i="4"/>
  <c r="AC147" i="4"/>
  <c r="AK147" i="4"/>
  <c r="AJ147" i="4"/>
  <c r="AI147" i="4"/>
  <c r="AH147" i="4"/>
  <c r="AE147" i="4"/>
  <c r="D139" i="8"/>
  <c r="K28" i="8"/>
  <c r="AK78" i="6" l="1"/>
  <c r="AK76" i="6"/>
  <c r="AK80" i="6"/>
  <c r="AJ80" i="6"/>
  <c r="AJ76" i="6"/>
  <c r="AJ78" i="6"/>
  <c r="AK79" i="6"/>
  <c r="AK77" i="6"/>
  <c r="AK81" i="6"/>
  <c r="AJ79" i="6"/>
  <c r="AJ77" i="6"/>
  <c r="AJ81" i="6"/>
  <c r="AM81" i="6"/>
  <c r="AM79" i="6"/>
  <c r="AL79" i="6"/>
  <c r="AL81" i="6"/>
  <c r="AM80" i="6"/>
  <c r="AM78" i="6"/>
  <c r="AL78" i="6"/>
  <c r="AL80" i="6"/>
  <c r="AM76" i="6"/>
  <c r="AL76" i="6"/>
  <c r="AM77" i="6"/>
  <c r="AL77" i="6"/>
  <c r="HA6" i="26"/>
  <c r="HC6" i="22"/>
  <c r="K46" i="8"/>
  <c r="K51" i="8" s="1"/>
  <c r="N163" i="7"/>
  <c r="J285" i="6"/>
  <c r="O287" i="6" s="1"/>
  <c r="L89" i="6" l="1"/>
  <c r="L88" i="6"/>
  <c r="J88" i="6"/>
  <c r="R106" i="6" s="1"/>
  <c r="J89" i="6"/>
  <c r="R107" i="6" s="1"/>
  <c r="N185" i="7"/>
  <c r="N184" i="7"/>
  <c r="P184" i="7" s="1"/>
  <c r="P169" i="7"/>
  <c r="P170" i="7"/>
  <c r="N46" i="8"/>
  <c r="O152" i="7"/>
  <c r="O151" i="7"/>
  <c r="U144" i="6"/>
  <c r="U87" i="7"/>
  <c r="S87" i="7"/>
  <c r="S144" i="6"/>
  <c r="R194" i="6"/>
  <c r="DY6" i="26" s="1"/>
  <c r="T179" i="6"/>
  <c r="P181" i="7" l="1"/>
  <c r="FO6" i="22"/>
  <c r="DR6" i="26"/>
  <c r="DT6" i="22"/>
  <c r="EA6" i="22"/>
  <c r="DQ6" i="26"/>
  <c r="DS6" i="22"/>
  <c r="P185" i="7"/>
  <c r="V6" i="9"/>
  <c r="W5" i="9"/>
  <c r="O247" i="5"/>
  <c r="CU6" i="26" s="1"/>
  <c r="T34" i="5"/>
  <c r="AA4" i="10"/>
  <c r="Y4" i="8"/>
  <c r="Y4" i="7"/>
  <c r="AB4" i="6"/>
  <c r="AA4" i="5"/>
  <c r="V1" i="4"/>
  <c r="O26" i="4"/>
  <c r="AM6" i="26" s="1"/>
  <c r="J280" i="6"/>
  <c r="L277" i="6"/>
  <c r="CW6" i="22" l="1"/>
  <c r="Y34" i="5"/>
  <c r="BW6" i="26" s="1"/>
  <c r="O282" i="6"/>
  <c r="AI5" i="9"/>
  <c r="AH5" i="9"/>
  <c r="AF5" i="9"/>
  <c r="AG5" i="9"/>
  <c r="AE6" i="9"/>
  <c r="AD6" i="9"/>
  <c r="AB6" i="9"/>
  <c r="AC6" i="9"/>
  <c r="O353" i="6"/>
  <c r="P84" i="8"/>
  <c r="Q98" i="7"/>
  <c r="O322" i="7"/>
  <c r="N235" i="6"/>
  <c r="L215" i="8"/>
  <c r="W6" i="9"/>
  <c r="V5" i="9"/>
  <c r="M85" i="8"/>
  <c r="GW6" i="22" l="1"/>
  <c r="GU6" i="26"/>
  <c r="BY6" i="22"/>
  <c r="AB5" i="9"/>
  <c r="U145" i="6" s="1"/>
  <c r="AE5" i="9"/>
  <c r="S88" i="7" s="1"/>
  <c r="AD5" i="9"/>
  <c r="AC5" i="9"/>
  <c r="S145" i="6" s="1"/>
  <c r="AF6" i="9"/>
  <c r="U146" i="6" s="1"/>
  <c r="AI6" i="9"/>
  <c r="S89" i="7" s="1"/>
  <c r="AG6" i="9"/>
  <c r="S146" i="6" s="1"/>
  <c r="AH6" i="9"/>
  <c r="U89" i="7" s="1"/>
  <c r="L362" i="6"/>
  <c r="L361" i="6"/>
  <c r="O354" i="6"/>
  <c r="L360" i="6"/>
  <c r="R318" i="7"/>
  <c r="O293" i="7"/>
  <c r="M317" i="6"/>
  <c r="N237" i="6"/>
  <c r="EC6" i="26" s="1"/>
  <c r="R229" i="6"/>
  <c r="O87" i="8"/>
  <c r="U88" i="7"/>
  <c r="P26" i="4"/>
  <c r="Q26" i="4"/>
  <c r="L216" i="8" l="1"/>
  <c r="N361" i="6"/>
  <c r="N216" i="8" s="1"/>
  <c r="L217" i="8"/>
  <c r="N362" i="6"/>
  <c r="N217" i="8" s="1"/>
  <c r="GX6" i="22"/>
  <c r="GV6" i="26"/>
  <c r="EE6" i="22"/>
  <c r="EX6" i="22"/>
  <c r="EV6" i="26"/>
  <c r="EW6" i="26"/>
  <c r="EY6" i="22"/>
  <c r="EU6" i="26"/>
  <c r="EW6" i="22"/>
  <c r="Q95" i="7"/>
  <c r="Q153" i="6"/>
  <c r="N360" i="6"/>
  <c r="L327" i="6"/>
  <c r="Q152" i="6"/>
  <c r="Q96" i="7"/>
  <c r="O51" i="4"/>
  <c r="FA6" i="22" l="1"/>
  <c r="EY6" i="26"/>
  <c r="EU6" i="22"/>
  <c r="ES6" i="26"/>
  <c r="FB6" i="22"/>
  <c r="EZ6" i="26"/>
  <c r="EZ6" i="22"/>
  <c r="EX6" i="26"/>
  <c r="AC97" i="7"/>
  <c r="AD97" i="7" s="1"/>
  <c r="AH148" i="6"/>
  <c r="AK148" i="6" s="1"/>
  <c r="Q293" i="7"/>
  <c r="L287" i="6"/>
  <c r="L282" i="6"/>
  <c r="AF97" i="7" l="1"/>
  <c r="AE97" i="7"/>
  <c r="AG97" i="7" s="1"/>
  <c r="S97" i="7" s="1"/>
  <c r="AI148" i="6"/>
  <c r="AJ148" i="6"/>
  <c r="N160" i="7"/>
  <c r="L166" i="8"/>
  <c r="P154" i="8" s="1"/>
  <c r="J123" i="8"/>
  <c r="N118" i="8" s="1"/>
  <c r="R185" i="6"/>
  <c r="I140" i="5"/>
  <c r="T18" i="5"/>
  <c r="T19" i="5"/>
  <c r="T20" i="5"/>
  <c r="T21" i="5"/>
  <c r="T22" i="5"/>
  <c r="T23" i="5"/>
  <c r="T24" i="5"/>
  <c r="T25" i="5"/>
  <c r="T26" i="5"/>
  <c r="T27" i="5"/>
  <c r="T28" i="5"/>
  <c r="T29" i="5"/>
  <c r="T30" i="5"/>
  <c r="T31" i="5"/>
  <c r="T32" i="5"/>
  <c r="T33" i="5"/>
  <c r="T17" i="5"/>
  <c r="K189" i="8"/>
  <c r="X30" i="10"/>
  <c r="N121" i="7"/>
  <c r="J322" i="6"/>
  <c r="J17" i="10"/>
  <c r="J16" i="10"/>
  <c r="I199" i="5"/>
  <c r="CN6" i="26" s="1"/>
  <c r="I136" i="5"/>
  <c r="L136" i="5" s="1"/>
  <c r="I135" i="5"/>
  <c r="L135" i="5" s="1"/>
  <c r="I134" i="5"/>
  <c r="L134" i="5" s="1"/>
  <c r="L137" i="5"/>
  <c r="P24" i="4"/>
  <c r="Q24" i="4"/>
  <c r="P51" i="4"/>
  <c r="FI6" i="26" l="1"/>
  <c r="FK6" i="22"/>
  <c r="CP6" i="22"/>
  <c r="J325" i="6"/>
  <c r="L325" i="6" s="1"/>
  <c r="ES6" i="22" s="1"/>
  <c r="FX6" i="22"/>
  <c r="FV6" i="26"/>
  <c r="AF47" i="7"/>
  <c r="Y32" i="5"/>
  <c r="BU6" i="26" s="1"/>
  <c r="Y31" i="5"/>
  <c r="BT6" i="26" s="1"/>
  <c r="Y28" i="5"/>
  <c r="BQ6" i="26" s="1"/>
  <c r="W24" i="5"/>
  <c r="Y30" i="5"/>
  <c r="BS6" i="26" s="1"/>
  <c r="Y29" i="5"/>
  <c r="BR6" i="26" s="1"/>
  <c r="Y33" i="5"/>
  <c r="BV6" i="26" s="1"/>
  <c r="Y25" i="5"/>
  <c r="BN6" i="26" s="1"/>
  <c r="P22" i="4"/>
  <c r="N122" i="7"/>
  <c r="FK6" i="26" s="1"/>
  <c r="L180" i="5"/>
  <c r="CM6" i="26" s="1"/>
  <c r="M315" i="6"/>
  <c r="AF46" i="7"/>
  <c r="Y17" i="5"/>
  <c r="BG6" i="26" s="1"/>
  <c r="W17" i="5"/>
  <c r="W23" i="5"/>
  <c r="Y23" i="5"/>
  <c r="BM6" i="26" s="1"/>
  <c r="Y22" i="5"/>
  <c r="BL6" i="26" s="1"/>
  <c r="W22" i="5"/>
  <c r="Y21" i="5"/>
  <c r="BK6" i="26" s="1"/>
  <c r="W21" i="5"/>
  <c r="Y18" i="5"/>
  <c r="BH6" i="26" s="1"/>
  <c r="W18" i="5"/>
  <c r="Y20" i="5"/>
  <c r="BJ6" i="26" s="1"/>
  <c r="W20" i="5"/>
  <c r="Y26" i="5"/>
  <c r="BO6" i="26" s="1"/>
  <c r="W26" i="5"/>
  <c r="W27" i="5"/>
  <c r="Y27" i="5"/>
  <c r="BP6" i="26" s="1"/>
  <c r="W19" i="5"/>
  <c r="Y19" i="5"/>
  <c r="BI6" i="26" s="1"/>
  <c r="O143" i="7"/>
  <c r="J326" i="6"/>
  <c r="M316" i="6"/>
  <c r="R186" i="6"/>
  <c r="T184" i="6"/>
  <c r="N171" i="7"/>
  <c r="K190" i="8"/>
  <c r="L199" i="5"/>
  <c r="CO6" i="26" s="1"/>
  <c r="U24" i="4"/>
  <c r="J124" i="8"/>
  <c r="L167" i="8"/>
  <c r="O323" i="7"/>
  <c r="Q22" i="4"/>
  <c r="AL148" i="6" l="1"/>
  <c r="S154" i="6" s="1"/>
  <c r="DT6" i="26" s="1"/>
  <c r="W219" i="8"/>
  <c r="N353" i="7"/>
  <c r="J35" i="10" s="1"/>
  <c r="FM6" i="22"/>
  <c r="GQ6" i="22"/>
  <c r="GO6" i="26"/>
  <c r="HD6" i="22"/>
  <c r="HB6" i="26"/>
  <c r="GZ6" i="22"/>
  <c r="GX6" i="26"/>
  <c r="AT6" i="22"/>
  <c r="BC6" i="22"/>
  <c r="N111" i="5"/>
  <c r="N112" i="5" s="1"/>
  <c r="CG6" i="26" s="1"/>
  <c r="BE6" i="22"/>
  <c r="N109" i="5"/>
  <c r="CI6" i="26" s="1"/>
  <c r="BF6" i="22"/>
  <c r="CQ6" i="22"/>
  <c r="HF6" i="22"/>
  <c r="HD6" i="26"/>
  <c r="BK6" i="22"/>
  <c r="BR6" i="22"/>
  <c r="BQ6" i="22"/>
  <c r="BL6" i="22"/>
  <c r="BJ6" i="22"/>
  <c r="BM6" i="22"/>
  <c r="BN6" i="22"/>
  <c r="BO6" i="22"/>
  <c r="BI6" i="22"/>
  <c r="CO6" i="22"/>
  <c r="BP6" i="22"/>
  <c r="BX6" i="22"/>
  <c r="BT6" i="22"/>
  <c r="BU6" i="22"/>
  <c r="BS6" i="22"/>
  <c r="BV6" i="22"/>
  <c r="BW6" i="22"/>
  <c r="J290" i="6"/>
  <c r="W353" i="7"/>
  <c r="L35" i="10" s="1"/>
  <c r="GI6" i="26"/>
  <c r="GK6" i="22"/>
  <c r="EQ6" i="26"/>
  <c r="EQ6" i="22"/>
  <c r="EO6" i="26"/>
  <c r="EJ6" i="22"/>
  <c r="EN6" i="26"/>
  <c r="EP6" i="22"/>
  <c r="T46" i="5"/>
  <c r="T48" i="5" s="1"/>
  <c r="BF6" i="26" s="1"/>
  <c r="P122" i="7"/>
  <c r="T51" i="5"/>
  <c r="I141" i="5"/>
  <c r="L141" i="5" s="1"/>
  <c r="P84" i="5"/>
  <c r="P85" i="5" s="1"/>
  <c r="CE6" i="26" s="1"/>
  <c r="P25" i="6"/>
  <c r="J15" i="10"/>
  <c r="J14" i="10"/>
  <c r="Q324" i="7"/>
  <c r="X16" i="10"/>
  <c r="M55" i="7"/>
  <c r="FE6" i="26" s="1"/>
  <c r="O12" i="8"/>
  <c r="O299" i="7"/>
  <c r="O297" i="7"/>
  <c r="O291" i="7"/>
  <c r="Q156" i="6"/>
  <c r="S157" i="6" s="1"/>
  <c r="O22" i="4"/>
  <c r="L326" i="6"/>
  <c r="O292" i="7"/>
  <c r="O298" i="7"/>
  <c r="M90" i="8"/>
  <c r="N241" i="8"/>
  <c r="M91" i="8"/>
  <c r="N238" i="6"/>
  <c r="T44" i="5"/>
  <c r="L153" i="5"/>
  <c r="R191" i="6"/>
  <c r="DX6" i="26" s="1"/>
  <c r="Q99" i="7"/>
  <c r="W100" i="7" s="1"/>
  <c r="W325" i="7"/>
  <c r="L34" i="10" s="1"/>
  <c r="N243" i="7"/>
  <c r="FW6" i="26" s="1"/>
  <c r="N234" i="6"/>
  <c r="P46" i="6"/>
  <c r="S82" i="5"/>
  <c r="N219" i="8"/>
  <c r="M51" i="8"/>
  <c r="M208" i="7"/>
  <c r="L124" i="8"/>
  <c r="N167" i="8"/>
  <c r="AC190" i="8"/>
  <c r="M190" i="8" s="1"/>
  <c r="Z28" i="10"/>
  <c r="L359" i="6"/>
  <c r="J328" i="6"/>
  <c r="L329" i="6" s="1"/>
  <c r="J213" i="7"/>
  <c r="J215" i="7" s="1"/>
  <c r="FS6" i="26" s="1"/>
  <c r="M53" i="6"/>
  <c r="M55" i="6" s="1"/>
  <c r="N159" i="7"/>
  <c r="M59" i="7"/>
  <c r="X10" i="10" l="1"/>
  <c r="CY6" i="26"/>
  <c r="T6" i="16"/>
  <c r="AK6" i="26"/>
  <c r="P55" i="6"/>
  <c r="DD6" i="26" s="1"/>
  <c r="DC6" i="26"/>
  <c r="DV6" i="22"/>
  <c r="J291" i="6"/>
  <c r="L291" i="6" s="1"/>
  <c r="J292" i="6"/>
  <c r="FY6" i="22"/>
  <c r="P243" i="7"/>
  <c r="FX6" i="26" s="1"/>
  <c r="W363" i="6"/>
  <c r="N363" i="6"/>
  <c r="O276" i="7"/>
  <c r="O290" i="7" s="1"/>
  <c r="FL6" i="26"/>
  <c r="FN6" i="22"/>
  <c r="FU6" i="22"/>
  <c r="HE6" i="26"/>
  <c r="HG6" i="22"/>
  <c r="HC6" i="26"/>
  <c r="HE6" i="22"/>
  <c r="GY6" i="26"/>
  <c r="HA6" i="22"/>
  <c r="GP6" i="26"/>
  <c r="GR6" i="22"/>
  <c r="AS6" i="22"/>
  <c r="FG6" i="22"/>
  <c r="S85" i="5"/>
  <c r="CF6" i="26" s="1"/>
  <c r="CG6" i="22"/>
  <c r="BH6" i="22"/>
  <c r="CK6" i="22"/>
  <c r="Q112" i="5"/>
  <c r="CI6" i="22"/>
  <c r="GJ6" i="26"/>
  <c r="GL6" i="22"/>
  <c r="ER6" i="26"/>
  <c r="ET6" i="22"/>
  <c r="DU6" i="26"/>
  <c r="DW6" i="22"/>
  <c r="DA6" i="22"/>
  <c r="DE6" i="22"/>
  <c r="DZ6" i="22"/>
  <c r="P242" i="8"/>
  <c r="HI6" i="22" s="1"/>
  <c r="X33" i="10"/>
  <c r="J29" i="10"/>
  <c r="R228" i="6"/>
  <c r="Q299" i="7"/>
  <c r="W329" i="6"/>
  <c r="Z18" i="10" s="1"/>
  <c r="J293" i="6"/>
  <c r="W41" i="5"/>
  <c r="L152" i="5"/>
  <c r="CJ6" i="26" s="1"/>
  <c r="Q325" i="7"/>
  <c r="J34" i="10" s="1"/>
  <c r="Q292" i="7"/>
  <c r="Q298" i="7" s="1"/>
  <c r="Q291" i="7"/>
  <c r="Q297" i="7" s="1"/>
  <c r="X31" i="10"/>
  <c r="X29" i="10"/>
  <c r="X27" i="10"/>
  <c r="L215" i="7"/>
  <c r="FT6" i="26" s="1"/>
  <c r="AD55" i="7"/>
  <c r="P55" i="7" s="1"/>
  <c r="AF55" i="7"/>
  <c r="R196" i="6"/>
  <c r="W157" i="6"/>
  <c r="Q161" i="7"/>
  <c r="Q162" i="7"/>
  <c r="Q163" i="7"/>
  <c r="W242" i="8"/>
  <c r="S100" i="7"/>
  <c r="O92" i="8"/>
  <c r="W239" i="6"/>
  <c r="J294" i="6"/>
  <c r="Z33" i="10"/>
  <c r="X32" i="10"/>
  <c r="M60" i="7"/>
  <c r="P58" i="7"/>
  <c r="X13" i="10"/>
  <c r="T52" i="5"/>
  <c r="T53" i="5" s="1"/>
  <c r="BY6" i="26" s="1"/>
  <c r="K120" i="6"/>
  <c r="AE85" i="5"/>
  <c r="L28" i="10"/>
  <c r="N236" i="6"/>
  <c r="P236" i="6" s="1"/>
  <c r="P237" i="6"/>
  <c r="BG6" i="22" l="1"/>
  <c r="BE6" i="26"/>
  <c r="R197" i="6"/>
  <c r="X14" i="10" s="1"/>
  <c r="EA6" i="26"/>
  <c r="CJ6" i="22"/>
  <c r="CH6" i="26"/>
  <c r="EI6" i="26"/>
  <c r="M121" i="6"/>
  <c r="EK6" i="22"/>
  <c r="ED6" i="26"/>
  <c r="P239" i="6"/>
  <c r="EF6" i="26" s="1"/>
  <c r="O289" i="7"/>
  <c r="Q289" i="7" s="1"/>
  <c r="GD6" i="22" s="1"/>
  <c r="FJ6" i="26"/>
  <c r="FL6" i="22"/>
  <c r="CA6" i="22"/>
  <c r="FG6" i="26"/>
  <c r="FI6" i="22"/>
  <c r="GW6" i="26"/>
  <c r="GY6" i="22"/>
  <c r="FF6" i="26"/>
  <c r="FH6" i="22"/>
  <c r="FV6" i="22"/>
  <c r="CL6" i="22"/>
  <c r="FZ6" i="22"/>
  <c r="CH6" i="22"/>
  <c r="GK6" i="26"/>
  <c r="GM6" i="22"/>
  <c r="EM6" i="22"/>
  <c r="EK6" i="26"/>
  <c r="FA6" i="26"/>
  <c r="FC6" i="22"/>
  <c r="DF6" i="22"/>
  <c r="EG6" i="22"/>
  <c r="EE6" i="26"/>
  <c r="EC6" i="22"/>
  <c r="ET6" i="26"/>
  <c r="EV6" i="22"/>
  <c r="EF6" i="22"/>
  <c r="EN6" i="22"/>
  <c r="EL6" i="26"/>
  <c r="EL6" i="22"/>
  <c r="EJ6" i="26"/>
  <c r="ED6" i="22"/>
  <c r="EB6" i="26"/>
  <c r="HG6" i="26"/>
  <c r="W48" i="5"/>
  <c r="O296" i="7"/>
  <c r="Q290" i="7"/>
  <c r="X34" i="10"/>
  <c r="P187" i="7"/>
  <c r="R277" i="7"/>
  <c r="O295" i="7"/>
  <c r="Z19" i="10"/>
  <c r="Z34" i="10"/>
  <c r="Z37" i="10" s="1"/>
  <c r="Z15" i="10"/>
  <c r="Z13" i="10"/>
  <c r="L154" i="5"/>
  <c r="X19" i="10"/>
  <c r="X18" i="10"/>
  <c r="J28" i="10"/>
  <c r="R259" i="8"/>
  <c r="BD6" i="26" s="1"/>
  <c r="J32" i="10"/>
  <c r="J31" i="10"/>
  <c r="L294" i="6"/>
  <c r="L292" i="6"/>
  <c r="L293" i="6"/>
  <c r="X11" i="10"/>
  <c r="J11" i="10"/>
  <c r="R273" i="7"/>
  <c r="O121" i="6"/>
  <c r="W259" i="8"/>
  <c r="X28" i="10"/>
  <c r="W296" i="6"/>
  <c r="M62" i="7"/>
  <c r="N190" i="7"/>
  <c r="W191" i="7" s="1"/>
  <c r="L296" i="6" l="1"/>
  <c r="X37" i="10"/>
  <c r="J47" i="10" s="1"/>
  <c r="L47" i="10" s="1"/>
  <c r="GB6" i="26"/>
  <c r="FO6" i="26"/>
  <c r="FQ6" i="22"/>
  <c r="GG6" i="26"/>
  <c r="GI6" i="22"/>
  <c r="DS6" i="26"/>
  <c r="DU6" i="22"/>
  <c r="W300" i="7"/>
  <c r="L30" i="10"/>
  <c r="W53" i="5"/>
  <c r="W56" i="5"/>
  <c r="Z17" i="10"/>
  <c r="W64" i="7"/>
  <c r="P64" i="7"/>
  <c r="J12" i="10"/>
  <c r="O154" i="5"/>
  <c r="CK6" i="26" s="1"/>
  <c r="Z12" i="10"/>
  <c r="W380" i="6"/>
  <c r="P191" i="7"/>
  <c r="FP6" i="26" s="1"/>
  <c r="X12" i="10"/>
  <c r="Z20" i="10" l="1"/>
  <c r="W370" i="7"/>
  <c r="FR6" i="22"/>
  <c r="CM6" i="22"/>
  <c r="FH6" i="26"/>
  <c r="FJ6" i="22"/>
  <c r="EH6" i="22"/>
  <c r="EM6" i="26"/>
  <c r="EO6" i="22"/>
  <c r="Q296" i="7"/>
  <c r="L27" i="10"/>
  <c r="L33" i="10"/>
  <c r="W58" i="5"/>
  <c r="CB6" i="26" s="1"/>
  <c r="X17" i="10"/>
  <c r="J30" i="10"/>
  <c r="X15" i="10"/>
  <c r="Q295" i="7"/>
  <c r="R380" i="6"/>
  <c r="BB6" i="26" s="1"/>
  <c r="J27" i="10"/>
  <c r="J13" i="10"/>
  <c r="X20" i="10" l="1"/>
  <c r="J45" i="10" s="1"/>
  <c r="L45" i="10" s="1"/>
  <c r="GC6" i="26"/>
  <c r="GE6" i="22"/>
  <c r="CD6" i="22"/>
  <c r="GH6" i="26"/>
  <c r="GJ6" i="22"/>
  <c r="L37" i="10"/>
  <c r="J10" i="10"/>
  <c r="J20" i="10" s="1"/>
  <c r="J44" i="10" s="1"/>
  <c r="L44" i="10" s="1"/>
  <c r="S263" i="5"/>
  <c r="BA6" i="26" s="1"/>
  <c r="Q300" i="7"/>
  <c r="R370" i="7" s="1"/>
  <c r="BC6" i="26" s="1"/>
  <c r="J33" i="10" l="1"/>
  <c r="J37" i="10" l="1"/>
  <c r="J46" i="10" s="1"/>
  <c r="L46" i="10" s="1"/>
  <c r="P42" i="10" s="1"/>
  <c r="AZ6" i="26" s="1"/>
  <c r="I1401" i="24" a="1"/>
  <c r="B1494" i="24" a="1"/>
  <c r="C1527" i="24"/>
  <c r="D1735" i="24" a="1"/>
  <c r="M1400" i="24" a="1"/>
  <c r="M1487" i="24" a="1"/>
  <c r="H82" i="24" a="1"/>
  <c r="I1420" i="24" a="1"/>
  <c r="H1739" i="24" a="1"/>
  <c r="M1034" i="24" a="1"/>
  <c r="D1484" i="24" a="1"/>
  <c r="I1454" i="24" a="1"/>
  <c r="M470" i="24" a="1"/>
  <c r="H908" i="24" a="1"/>
  <c r="C1409" i="24"/>
  <c r="M887" i="24" a="1"/>
  <c r="I1685" i="24" a="1"/>
  <c r="I1346" i="24" a="1"/>
  <c r="M543" i="24" a="1"/>
  <c r="M310" i="24" a="1"/>
  <c r="M925" i="24" a="1"/>
  <c r="M1176" i="24" a="1"/>
  <c r="M1224" i="24" a="1"/>
  <c r="H1576" i="24" a="1"/>
  <c r="H1866" i="24" a="1"/>
  <c r="M55" i="24" a="1"/>
  <c r="D1367" i="24" a="1"/>
  <c r="H211" i="24" a="1"/>
  <c r="B922" i="24" a="1"/>
  <c r="D1445" i="24" a="1"/>
  <c r="M1586" i="24" a="1"/>
  <c r="M1214" i="24" a="1"/>
  <c r="M1210" i="24" a="1"/>
  <c r="I1683" i="24" a="1"/>
  <c r="D1003" i="24" a="1"/>
  <c r="D1485" i="24" a="1"/>
  <c r="I750" i="24" a="1"/>
  <c r="H1569" i="24" a="1"/>
  <c r="H1558" i="24" a="1"/>
  <c r="H730" i="24" a="1"/>
  <c r="B1449" i="24" a="1"/>
  <c r="M1490" i="24" a="1"/>
  <c r="C1408" i="24"/>
  <c r="I1739" i="24" a="1"/>
  <c r="M1849" i="24" a="1"/>
  <c r="I1369" i="24" a="1"/>
  <c r="M390" i="24" a="1"/>
  <c r="I451" i="24" a="1"/>
  <c r="C1563" i="24"/>
  <c r="B1652" i="24" a="1"/>
  <c r="M459" i="24" a="1"/>
  <c r="M1329" i="24" a="1"/>
  <c r="I1046" i="24" a="1"/>
  <c r="I1551" i="24" a="1"/>
  <c r="M1118" i="24" a="1"/>
  <c r="H337" i="24" a="1"/>
  <c r="M710" i="24" a="1"/>
  <c r="C1693" i="24"/>
  <c r="I1475" i="24" a="1"/>
  <c r="B111" i="24" a="1"/>
  <c r="I918" i="24" a="1"/>
  <c r="I1524" i="24" a="1"/>
  <c r="C1860" i="24"/>
  <c r="C630" i="24"/>
  <c r="M590" i="24" a="1"/>
  <c r="M1647" i="24" a="1"/>
  <c r="I1399" i="24" a="1"/>
  <c r="C580" i="24"/>
  <c r="I1837" i="24" a="1"/>
  <c r="I276" i="24" a="1"/>
  <c r="H1807" i="24" a="1"/>
  <c r="I1379" i="24" a="1"/>
  <c r="C1552" i="24"/>
  <c r="M979" i="24" a="1"/>
  <c r="D1366" i="24" a="1"/>
  <c r="D1354" i="24" a="1"/>
  <c r="M1217" i="24" a="1"/>
  <c r="M551" i="24" a="1"/>
  <c r="H1330" i="24" a="1"/>
  <c r="M359" i="24" a="1"/>
  <c r="C1328" i="24"/>
  <c r="M805" i="24" a="1"/>
  <c r="M295" i="24" a="1"/>
  <c r="D844" i="24" a="1"/>
  <c r="H685" i="24" a="1"/>
  <c r="B1844" i="24" a="1"/>
  <c r="M961" i="24" a="1"/>
  <c r="I1554" i="24" a="1"/>
  <c r="C1858" i="24"/>
  <c r="C1192" i="24"/>
  <c r="D1480" i="24" a="1"/>
  <c r="C1134" i="24"/>
  <c r="B1684" i="24" a="1"/>
  <c r="H1461" i="24" a="1"/>
  <c r="I1695" i="24" a="1"/>
  <c r="C1838" i="24"/>
  <c r="H1778" i="24" a="1"/>
  <c r="B1852" i="24" a="1"/>
  <c r="I1244" i="24" a="1"/>
  <c r="M1134" i="24" a="1"/>
  <c r="M657" i="24" a="1"/>
  <c r="B781" i="24" a="1"/>
  <c r="C1590" i="24"/>
  <c r="B91" i="24" a="1"/>
  <c r="C1454" i="24"/>
  <c r="B1657" i="24" a="1"/>
  <c r="D1844" i="24" a="1"/>
  <c r="B1111" i="24" a="1"/>
  <c r="I1692" i="24" a="1"/>
  <c r="B368" i="24" a="1"/>
  <c r="C337" i="24"/>
  <c r="M320" i="24" a="1"/>
  <c r="D1245" i="24" a="1"/>
  <c r="D1530" i="24" a="1"/>
  <c r="C1382" i="24"/>
  <c r="I70" i="24" a="1"/>
  <c r="D1856" i="24" a="1"/>
  <c r="M681" i="24" a="1"/>
  <c r="H1640" i="24" a="1"/>
  <c r="D1479" i="24" a="1"/>
  <c r="D1385" i="24" a="1"/>
  <c r="D606" i="24" a="1"/>
  <c r="H679" i="24" a="1"/>
  <c r="M977" i="24" a="1"/>
  <c r="C1756" i="24"/>
  <c r="H1768" i="24" a="1"/>
  <c r="D1695" i="24" a="1"/>
  <c r="M1043" i="24" a="1"/>
  <c r="M193" i="24" a="1"/>
  <c r="D801" i="24" a="1"/>
  <c r="I40" i="24" a="1"/>
  <c r="D1589" i="24" a="1"/>
  <c r="D1144" i="24" a="1"/>
  <c r="C1407" i="24"/>
  <c r="M108" i="24" a="1"/>
  <c r="B124" i="24" a="1"/>
  <c r="H1107" i="24" a="1"/>
  <c r="D1015" i="24" a="1"/>
  <c r="M1331" i="24" a="1"/>
  <c r="D1488" i="24" a="1"/>
  <c r="D1540" i="24" a="1"/>
  <c r="D891" i="24" a="1"/>
  <c r="H1584" i="24" a="1"/>
  <c r="H940" i="24" a="1"/>
  <c r="M367" i="24" a="1"/>
  <c r="M309" i="24" a="1"/>
  <c r="H1891" i="24" a="1"/>
  <c r="M1864" i="24" a="1"/>
  <c r="H400" i="24" a="1"/>
  <c r="I252" i="24" a="1"/>
  <c r="H1765" i="24" a="1"/>
  <c r="C1845" i="24"/>
  <c r="M464" i="24" a="1"/>
  <c r="D590" i="24" a="1"/>
  <c r="B1462" i="24" a="1"/>
  <c r="C944" i="24"/>
  <c r="M1060" i="24" a="1"/>
  <c r="C1729" i="24"/>
  <c r="B265" i="24" a="1"/>
  <c r="C1813" i="24"/>
  <c r="D926" i="24" a="1"/>
  <c r="M1039" i="24" a="1"/>
  <c r="M466" i="24" a="1"/>
  <c r="M1226" i="24" a="1"/>
  <c r="H1700" i="24" a="1"/>
  <c r="C1266" i="24"/>
  <c r="M1392" i="24" a="1"/>
  <c r="D567" i="24" a="1"/>
  <c r="M1306" i="24" a="1"/>
  <c r="H1788" i="24" a="1"/>
  <c r="D1514" i="24" a="1"/>
  <c r="M1425" i="24" a="1"/>
  <c r="C90" i="24"/>
  <c r="I1477" i="24" a="1"/>
  <c r="H1586" i="24" a="1"/>
  <c r="B1880" i="24" a="1"/>
  <c r="H1877" i="24" a="1"/>
  <c r="M1878" i="24" a="1"/>
  <c r="B1431" i="24" a="1"/>
  <c r="I1621" i="24" a="1"/>
  <c r="D1226" i="24" a="1"/>
  <c r="I1015" i="24" a="1"/>
  <c r="H1444" i="24" a="1"/>
  <c r="H1906" i="24" a="1"/>
  <c r="M528" i="24" a="1"/>
  <c r="B736" i="24" a="1"/>
  <c r="B1178" i="24" a="1"/>
  <c r="B1011" i="24" a="1"/>
  <c r="B305" i="24" a="1"/>
  <c r="H1581" i="24" a="1"/>
  <c r="C1419" i="24"/>
  <c r="C1529" i="24"/>
  <c r="M1247" i="24" a="1"/>
  <c r="I1768" i="24" a="1"/>
  <c r="D1437" i="24" a="1"/>
  <c r="I129" i="24" a="1"/>
  <c r="H1197" i="24" a="1"/>
  <c r="I1492" i="24" a="1"/>
  <c r="M270" i="24" a="1"/>
  <c r="D1677" i="24" a="1"/>
  <c r="M502" i="24" a="1"/>
  <c r="D142" i="24" a="1"/>
  <c r="C1072" i="24"/>
  <c r="M230" i="24" a="1"/>
  <c r="B1181" i="24" a="1"/>
  <c r="I596" i="24" a="1"/>
  <c r="I1650" i="24" a="1"/>
  <c r="C1850" i="24"/>
  <c r="B786" i="24" a="1"/>
  <c r="H1873" i="24" a="1"/>
  <c r="B894" i="24" a="1"/>
  <c r="M1441" i="24" a="1"/>
  <c r="M429" i="24" a="1"/>
  <c r="D797" i="24" a="1"/>
  <c r="C1573" i="24"/>
  <c r="I496" i="24" a="1"/>
  <c r="D1744" i="24" a="1"/>
  <c r="M1403" i="24" a="1"/>
  <c r="C1498" i="24"/>
  <c r="M1451" i="24" a="1"/>
  <c r="D1859" i="24" a="1"/>
  <c r="M1112" i="24" a="1"/>
  <c r="C1508" i="24"/>
  <c r="M557" i="24" a="1"/>
  <c r="H10" i="24" a="1"/>
  <c r="M1111" i="24" a="1"/>
  <c r="C1507" i="24"/>
  <c r="H1490" i="24" a="1"/>
  <c r="I564" i="24" a="1"/>
  <c r="D1010" i="24" a="1"/>
  <c r="H727" i="24" a="1"/>
  <c r="D1667" i="24" a="1"/>
  <c r="M1327" i="24" a="1"/>
  <c r="D1429" i="24" a="1"/>
  <c r="M579" i="24" a="1"/>
  <c r="H1394" i="24" a="1"/>
  <c r="B405" i="24" a="1"/>
  <c r="I1563" i="24" a="1"/>
  <c r="H1565" i="24" a="1"/>
  <c r="I1496" i="24" a="1"/>
  <c r="I1905" i="24" a="1"/>
  <c r="B1081" i="24" a="1"/>
  <c r="M1090" i="24" a="1"/>
  <c r="B1096" i="24" a="1"/>
  <c r="I405" i="24" a="1"/>
  <c r="H285" i="24" a="1"/>
  <c r="M1092" i="24" a="1"/>
  <c r="I1594" i="24" a="1"/>
  <c r="C1717" i="24"/>
  <c r="B1502" i="24" a="1"/>
  <c r="H1203" i="24" a="1"/>
  <c r="M455" i="24" a="1"/>
  <c r="M1083" i="24" a="1"/>
  <c r="M144" i="24" a="1"/>
  <c r="M1344" i="24" a="1"/>
  <c r="M351" i="24" a="1"/>
  <c r="M1140" i="24" a="1"/>
  <c r="D1601" i="24" a="1"/>
  <c r="D1770" i="24" a="1"/>
  <c r="B1718" i="24" a="1"/>
  <c r="C1360" i="24"/>
  <c r="H1074" i="24" a="1"/>
  <c r="I78" i="24" a="1"/>
  <c r="M406" i="24" a="1"/>
  <c r="M333" i="24" a="1"/>
  <c r="H436" i="24" a="1"/>
  <c r="I503" i="24" a="1"/>
  <c r="M960" i="24" a="1"/>
  <c r="D1860" i="24" a="1"/>
  <c r="M50" i="24" a="1"/>
  <c r="B612" i="24" a="1"/>
  <c r="M995" i="24" a="1"/>
  <c r="B75" i="24" a="1"/>
  <c r="I718" i="24" a="1"/>
  <c r="H489" i="24" a="1"/>
  <c r="M968" i="24" a="1"/>
  <c r="H1582" i="24" a="1"/>
  <c r="M303" i="24" a="1"/>
  <c r="M601" i="24" a="1"/>
  <c r="H1735" i="24" a="1"/>
  <c r="C1798" i="24"/>
  <c r="M278" i="24" a="1"/>
  <c r="I826" i="24" a="1"/>
  <c r="I1341" i="24" a="1"/>
  <c r="D1251" i="24" a="1"/>
  <c r="H325" i="24" a="1"/>
  <c r="M47" i="24" a="1"/>
  <c r="C1446" i="24"/>
  <c r="B1740" i="24" a="1"/>
  <c r="M1009" i="24" a="1"/>
  <c r="C1852" i="24"/>
  <c r="H1381" i="24" a="1"/>
  <c r="D712" i="24" a="1"/>
  <c r="D1758" i="24" a="1"/>
  <c r="H1698" i="24" a="1"/>
  <c r="H1761" i="24" a="1"/>
  <c r="M100" i="24" a="1"/>
  <c r="H1757" i="24" a="1"/>
  <c r="H1763" i="24" a="1"/>
  <c r="M177" i="24" a="1"/>
  <c r="C1406" i="24"/>
  <c r="H1666" i="24" a="1"/>
  <c r="I514" i="24" a="1"/>
  <c r="H1103" i="24" a="1"/>
  <c r="D119" i="24" a="1"/>
  <c r="B1692" i="24" a="1"/>
  <c r="C1431" i="24"/>
  <c r="B1602" i="24" a="1"/>
  <c r="C1489" i="24"/>
  <c r="H1711" i="24" a="1"/>
  <c r="B1644" i="24" a="1"/>
  <c r="I1853" i="24" a="1"/>
  <c r="M1885" i="24" a="1"/>
  <c r="M1093" i="24" a="1"/>
  <c r="I796" i="24" a="1"/>
  <c r="C1669" i="24"/>
  <c r="H1245" i="24" a="1"/>
  <c r="D677" i="24" a="1"/>
  <c r="B709" i="24" a="1"/>
  <c r="I897" i="24" a="1"/>
  <c r="M559" i="24" a="1"/>
  <c r="M1253" i="24" a="1"/>
  <c r="I1757" i="24" a="1"/>
  <c r="B224" i="24" a="1"/>
  <c r="M36" i="24" a="1"/>
  <c r="B1802" i="24" a="1"/>
  <c r="M1165" i="24" a="1"/>
  <c r="C62" i="24"/>
  <c r="I293" i="24" a="1"/>
  <c r="I1204" i="24" a="1"/>
  <c r="B1093" i="24" a="1"/>
  <c r="I279" i="24" a="1"/>
  <c r="M157" i="24" a="1"/>
  <c r="M1071" i="24" a="1"/>
  <c r="C1381" i="24"/>
  <c r="M677" i="24" a="1"/>
  <c r="D1861" i="24" a="1"/>
  <c r="M1128" i="24" a="1"/>
  <c r="M76" i="24" a="1"/>
  <c r="I1713" i="24" a="1"/>
  <c r="M1131" i="24" a="1"/>
  <c r="B1701" i="24" a="1"/>
  <c r="H1491" i="24" a="1"/>
  <c r="C1871" i="24"/>
  <c r="B621" i="24" a="1"/>
  <c r="C627" i="24"/>
  <c r="I1634" i="24" a="1"/>
  <c r="H1766" i="24" a="1"/>
  <c r="I1756" i="24" a="1"/>
  <c r="C1883" i="24"/>
  <c r="H1627" i="24" a="1"/>
  <c r="I66" i="24" a="1"/>
  <c r="I1111" i="24" a="1"/>
  <c r="M911" i="24" a="1"/>
  <c r="I1177" i="24" a="1"/>
  <c r="D1399" i="24" a="1"/>
  <c r="B700" i="24" a="1"/>
  <c r="M1145" i="24" a="1"/>
  <c r="I1367" i="24" a="1"/>
  <c r="I1864" i="24" a="1"/>
  <c r="H1032" i="24" a="1"/>
  <c r="H1828" i="24" a="1"/>
  <c r="B420" i="24" a="1"/>
  <c r="C1063" i="24"/>
  <c r="M124" i="24" a="1"/>
  <c r="M173" i="24" a="1"/>
  <c r="C1467" i="24"/>
  <c r="B325" i="24" a="1"/>
  <c r="B367" i="24" a="1"/>
  <c r="M388" i="24" a="1"/>
  <c r="I1550" i="24" a="1"/>
  <c r="C912" i="24"/>
  <c r="C364" i="24"/>
  <c r="B423" i="24" a="1"/>
  <c r="C1695" i="24"/>
  <c r="H208" i="24" a="1"/>
  <c r="I30" i="24" a="1"/>
  <c r="M1354" i="24" a="1"/>
  <c r="B1769" i="24" a="1"/>
  <c r="C1444" i="24"/>
  <c r="H1555" i="24" a="1"/>
  <c r="D1624" i="24" a="1"/>
  <c r="D1665" i="24" a="1"/>
  <c r="B151" i="24" a="1"/>
  <c r="B1002" i="24" a="1"/>
  <c r="D1269" i="24" a="1"/>
  <c r="M948" i="24" a="1"/>
  <c r="I1562" i="24" a="1"/>
  <c r="H1465" i="24" a="1"/>
  <c r="D1457" i="24" a="1"/>
  <c r="M134" i="24" a="1"/>
  <c r="I1536" i="24" a="1"/>
  <c r="M634" i="24" a="1"/>
  <c r="I1197" i="24" a="1"/>
  <c r="D1645" i="24" a="1"/>
  <c r="C130" i="24"/>
  <c r="B1024" i="24" a="1"/>
  <c r="C917" i="24"/>
  <c r="M387" i="24" a="1"/>
  <c r="M908" i="24" a="1"/>
  <c r="M951" i="24" a="1"/>
  <c r="I623" i="24" a="1"/>
  <c r="H414" i="24" a="1"/>
  <c r="C1694" i="24"/>
  <c r="D1796" i="24" a="1"/>
  <c r="M536" i="24" a="1"/>
  <c r="I1786" i="24" a="1"/>
  <c r="M259" i="24" a="1"/>
  <c r="B1140" i="24" a="1"/>
  <c r="D1684" i="24" a="1"/>
  <c r="D91" i="24" a="1"/>
  <c r="C1870" i="24"/>
  <c r="M1125" i="24" a="1"/>
  <c r="C1545" i="24"/>
  <c r="H210" i="24" a="1"/>
  <c r="C784" i="24"/>
  <c r="C1212" i="24"/>
  <c r="I1281" i="24" a="1"/>
  <c r="H547" i="24" a="1"/>
  <c r="M687" i="24" a="1"/>
  <c r="D895" i="24" a="1"/>
  <c r="D790" i="24" a="1"/>
  <c r="H976" i="24" a="1"/>
  <c r="C1843" i="24"/>
  <c r="H1499" i="24" a="1"/>
  <c r="M774" i="24" a="1"/>
  <c r="H1896" i="24" a="1"/>
  <c r="H757" i="24" a="1"/>
  <c r="I1666" i="24" a="1"/>
  <c r="D1351" i="24" a="1"/>
  <c r="I1893" i="24" a="1"/>
  <c r="I1442" i="24" a="1"/>
  <c r="M1108" i="24" a="1"/>
  <c r="B1861" i="24" a="1"/>
  <c r="D1734" i="24" a="1"/>
  <c r="B1362" i="24" a="1"/>
  <c r="I1533" i="24" a="1"/>
  <c r="I1764" i="24" a="1"/>
  <c r="M984" i="24" a="1"/>
  <c r="D538" i="24" a="1"/>
  <c r="H1592" i="24" a="1"/>
  <c r="D1371" i="24" a="1"/>
  <c r="H1597" i="24" a="1"/>
  <c r="D1835" i="24" a="1"/>
  <c r="M1604" i="24" a="1"/>
  <c r="B1255" i="24" a="1"/>
  <c r="D1609" i="24" a="1"/>
  <c r="D1899" i="24" a="1"/>
  <c r="H335" i="24" a="1"/>
  <c r="I54" i="24" a="1"/>
  <c r="H819" i="24" a="1"/>
  <c r="M52" i="24" a="1"/>
  <c r="B1537" i="24" a="1"/>
  <c r="D315" i="24" a="1"/>
  <c r="H1890" i="24" a="1"/>
  <c r="H257" i="24" a="1"/>
  <c r="B1672" i="24" a="1"/>
  <c r="H1720" i="24" a="1"/>
  <c r="H379" i="24" a="1"/>
  <c r="I1576" i="24" a="1"/>
  <c r="M1356" i="24" a="1"/>
  <c r="D124" i="24" a="1"/>
  <c r="M616" i="24" a="1"/>
  <c r="H964" i="24" a="1"/>
  <c r="M195" i="24" a="1"/>
  <c r="B1428" i="24" a="1"/>
  <c r="B631" i="24" a="1"/>
  <c r="B1125" i="24" a="1"/>
  <c r="I1709" i="24" a="1"/>
  <c r="H1642" i="24" a="1"/>
  <c r="C1887" i="24"/>
  <c r="C1414" i="24"/>
  <c r="M1366" i="24" a="1"/>
  <c r="C1821" i="24"/>
  <c r="C1516" i="24"/>
  <c r="H394" i="24" a="1"/>
  <c r="M78" i="24" a="1"/>
  <c r="D382" i="24" a="1"/>
  <c r="H366" i="24" a="1"/>
  <c r="H1605" i="24" a="1"/>
  <c r="I345" i="24" a="1"/>
  <c r="D496" i="24" a="1"/>
  <c r="D1765" i="24" a="1"/>
  <c r="C1497" i="24"/>
  <c r="B1119" i="24" a="1"/>
  <c r="I1571" i="24" a="1"/>
  <c r="H1781" i="24" a="1"/>
  <c r="D995" i="24" a="1"/>
  <c r="D739" i="24" a="1"/>
  <c r="D1166" i="24" a="1"/>
  <c r="C112" i="24"/>
  <c r="D993" i="24" a="1"/>
  <c r="M1063" i="24" a="1"/>
  <c r="I1663" i="24" a="1"/>
  <c r="D1875" i="24" a="1"/>
  <c r="D1531" i="24" a="1"/>
  <c r="I1655" i="24" a="1"/>
  <c r="H53" i="24" a="1"/>
  <c r="H1308" i="24" a="1"/>
  <c r="M826" i="24" a="1"/>
  <c r="I1462" i="24" a="1"/>
  <c r="I1658" i="24" a="1"/>
  <c r="M1190" i="24" a="1"/>
  <c r="M1015" i="24" a="1"/>
  <c r="C1383" i="24"/>
  <c r="D839" i="24" a="1"/>
  <c r="I300" i="24" a="1"/>
  <c r="M1335" i="24" a="1"/>
  <c r="C576" i="24"/>
  <c r="B1722" i="24" a="1"/>
  <c r="C1740" i="24"/>
  <c r="M165" i="24" a="1"/>
  <c r="D1647" i="24" a="1"/>
  <c r="H518" i="24" a="1"/>
  <c r="H1217" i="24" a="1"/>
  <c r="M1163" i="24" a="1"/>
  <c r="M501" i="24" a="1"/>
  <c r="D1674" i="24" a="1"/>
  <c r="C1362" i="24"/>
  <c r="H1567" i="24" a="1"/>
  <c r="M95" i="24" a="1"/>
  <c r="H462" i="24" a="1"/>
  <c r="M197" i="24" a="1"/>
  <c r="M1123" i="24" a="1"/>
  <c r="I1805" i="24" a="1"/>
  <c r="C1458" i="24"/>
  <c r="D988" i="24" a="1"/>
  <c r="M1121" i="24" a="1"/>
  <c r="H1212" i="24" a="1"/>
  <c r="I1376" i="24" a="1"/>
  <c r="I1735" i="24" a="1"/>
  <c r="D1803" i="24" a="1"/>
  <c r="B1757" i="24" a="1"/>
  <c r="M137" i="24" a="1"/>
  <c r="B1277" i="24" a="1"/>
  <c r="H1742" i="24" a="1"/>
  <c r="D1447" i="24" a="1"/>
  <c r="B1445" i="24" a="1"/>
  <c r="M959" i="24" a="1"/>
  <c r="H1359" i="24" a="1"/>
  <c r="I1736" i="24" a="1"/>
  <c r="M1315" i="24" a="1"/>
  <c r="H882" i="24" a="1"/>
  <c r="M1430" i="24" a="1"/>
  <c r="M575" i="24" a="1"/>
  <c r="H1685" i="24" a="1"/>
  <c r="D1393" i="24" a="1"/>
  <c r="M9" i="24" a="1"/>
  <c r="M793" i="24" a="1"/>
  <c r="C1878" i="24"/>
  <c r="D1757" i="24" a="1"/>
  <c r="C1768" i="24"/>
  <c r="C1410" i="24"/>
  <c r="B1486" i="24" a="1"/>
  <c r="H1398" i="24" a="1"/>
  <c r="I710" i="24" a="1"/>
  <c r="H1018" i="24" a="1"/>
  <c r="H861" i="24" a="1"/>
  <c r="M742" i="24" a="1"/>
  <c r="C1292" i="24"/>
  <c r="B557" i="24" a="1"/>
  <c r="C1369" i="24"/>
  <c r="C1547" i="24"/>
  <c r="D665" i="24" a="1"/>
  <c r="B332" i="24" a="1"/>
  <c r="I192" i="24" a="1"/>
  <c r="M1460" i="24" a="1"/>
  <c r="H201" i="24" a="1"/>
  <c r="H1893" i="24" a="1"/>
  <c r="H1817" i="24" a="1"/>
  <c r="I1874" i="24" a="1"/>
  <c r="D1753" i="24" a="1"/>
  <c r="H1539" i="24" a="1"/>
  <c r="M811" i="24" a="1"/>
  <c r="B1678" i="24" a="1"/>
  <c r="C1627" i="24"/>
  <c r="D1788" i="24" a="1"/>
  <c r="D1584" i="24" a="1"/>
  <c r="M879" i="24" a="1"/>
  <c r="B1533" i="24" a="1"/>
  <c r="M340" i="24" a="1"/>
  <c r="H401" i="24" a="1"/>
  <c r="C837" i="24"/>
  <c r="M212" i="24" a="1"/>
  <c r="H486" i="24" a="1"/>
  <c r="M943" i="24" a="1"/>
  <c r="M65" i="24" a="1"/>
  <c r="I729" i="24" a="1"/>
  <c r="C1368" i="24"/>
  <c r="M762" i="24" a="1"/>
  <c r="H1625" i="24" a="1"/>
  <c r="C664" i="24"/>
  <c r="H1783" i="24" a="1"/>
  <c r="D1040" i="24" a="1"/>
  <c r="C1543" i="24"/>
  <c r="I949" i="24" a="1"/>
  <c r="D1807" i="24" a="1"/>
  <c r="I1638" i="24" a="1"/>
  <c r="M679" i="24" a="1"/>
  <c r="D1681" i="24" a="1"/>
  <c r="D1350" i="24" a="1"/>
  <c r="H1047" i="24" a="1"/>
  <c r="C1833" i="24"/>
  <c r="D662" i="24" a="1"/>
  <c r="C1592" i="24"/>
  <c r="M656" i="24" a="1"/>
  <c r="M1203" i="24" a="1"/>
  <c r="I1831" i="24" a="1"/>
  <c r="M1187" i="24" a="1"/>
  <c r="M944" i="24" a="1"/>
  <c r="M196" i="24" a="1"/>
  <c r="C64" i="24"/>
  <c r="H966" i="24" a="1"/>
  <c r="M201" i="24" a="1"/>
  <c r="H117" i="24" a="1"/>
  <c r="M1250" i="24" a="1"/>
  <c r="M1867" i="24" a="1"/>
  <c r="B1768" i="24" a="1"/>
  <c r="C899" i="24"/>
  <c r="B1356" i="24" a="1"/>
  <c r="H1387" i="24" a="1"/>
  <c r="M1378" i="24" a="1"/>
  <c r="D1706" i="24" a="1"/>
  <c r="B1517" i="24" a="1"/>
  <c r="M1216" i="24" a="1"/>
  <c r="M102" i="24" a="1"/>
  <c r="C1091" i="24"/>
  <c r="B436" i="24" a="1"/>
  <c r="D1755" i="24" a="1"/>
  <c r="M250" i="24" a="1"/>
  <c r="D98" i="24" a="1"/>
  <c r="I1820" i="24" a="1"/>
  <c r="H1786" i="24" a="1"/>
  <c r="C839" i="24"/>
  <c r="B30" i="24" a="1"/>
  <c r="B1710" i="24" a="1"/>
  <c r="I1850" i="24" a="1"/>
  <c r="B1846" i="24" a="1"/>
  <c r="D1772" i="24" a="1"/>
  <c r="H1383" i="24" a="1"/>
  <c r="I939" i="24" a="1"/>
  <c r="C1738" i="24"/>
  <c r="M731" i="24" a="1"/>
  <c r="B1273" i="24" a="1"/>
  <c r="C1682" i="24"/>
  <c r="M1172" i="24" a="1"/>
  <c r="M1296" i="24" a="1"/>
  <c r="C1877" i="24"/>
  <c r="M360" i="24" a="1"/>
  <c r="I1545" i="24" a="1"/>
  <c r="B634" i="24" a="1"/>
  <c r="I932" i="24" a="1"/>
  <c r="I1886" i="24" a="1"/>
  <c r="M1582" i="24" a="1"/>
  <c r="M243" i="24" a="1"/>
  <c r="D1764" i="24" a="1"/>
  <c r="H186" i="24" a="1"/>
  <c r="C1430" i="24"/>
  <c r="M1180" i="24" a="1"/>
  <c r="M630" i="24" a="1"/>
  <c r="I298" i="24" a="1"/>
  <c r="C647" i="24"/>
  <c r="C1116" i="24"/>
  <c r="C169" i="24"/>
  <c r="D1517" i="24" a="1"/>
  <c r="D1702" i="24" a="1"/>
  <c r="M53" i="24" a="1"/>
  <c r="H1473" i="24" a="1"/>
  <c r="H1795" i="24" a="1"/>
  <c r="M419" i="24" a="1"/>
  <c r="M985" i="24" a="1"/>
  <c r="I530" i="24" a="1"/>
  <c r="H1815" i="24" a="1"/>
  <c r="C1572" i="24"/>
  <c r="I661" i="24" a="1"/>
  <c r="M191" i="24" a="1"/>
  <c r="H1608" i="24" a="1"/>
  <c r="B1715" i="24" a="1"/>
  <c r="B391" i="24" a="1"/>
  <c r="H1506" i="24" a="1"/>
  <c r="I1793" i="24" a="1"/>
  <c r="B715" i="24" a="1"/>
  <c r="H1656" i="24" a="1"/>
  <c r="H1442" i="24" a="1"/>
  <c r="D1822" i="24" a="1"/>
  <c r="I1567" i="24" a="1"/>
  <c r="C1591" i="24"/>
  <c r="H747" i="24" a="1"/>
  <c r="I1490" i="24" a="1"/>
  <c r="C1049" i="24"/>
  <c r="D217" i="24" a="1"/>
  <c r="B1905" i="24" a="1"/>
  <c r="I888" i="24" a="1"/>
  <c r="B1414" i="24" a="1"/>
  <c r="I196" i="24" a="1"/>
  <c r="C1559" i="24"/>
  <c r="H1618" i="24" a="1"/>
  <c r="D1466" i="24" a="1"/>
  <c r="D81" i="24" a="1"/>
  <c r="M331" i="24" a="1"/>
  <c r="D1176" i="24" a="1"/>
  <c r="B1507" i="24" a="1"/>
  <c r="M209" i="24" a="1"/>
  <c r="M569" i="24" a="1"/>
  <c r="M649" i="24" a="1"/>
  <c r="H1454" i="24" a="1"/>
  <c r="H1541" i="24" a="1"/>
  <c r="C1466" i="24"/>
  <c r="M1154" i="24" a="1"/>
  <c r="M1631" i="24" a="1"/>
  <c r="H954" i="24" a="1"/>
  <c r="B1774" i="24" a="1"/>
  <c r="C1828" i="24"/>
  <c r="C1501" i="24"/>
  <c r="M1590" i="24" a="1"/>
  <c r="C1400" i="24"/>
  <c r="H1822" i="24" a="1"/>
  <c r="C1731" i="24"/>
  <c r="C715" i="24"/>
  <c r="M1255" i="24" a="1"/>
  <c r="I1601" i="24" a="1"/>
  <c r="I1906" i="24" a="1"/>
  <c r="C1593" i="24"/>
  <c r="H1218" i="24" a="1"/>
  <c r="H1796" i="24" a="1"/>
  <c r="B1777" i="24" a="1"/>
  <c r="I1445" i="24" a="1"/>
  <c r="M380" i="24" a="1"/>
  <c r="M1290" i="24" a="1"/>
  <c r="H1825" i="24" a="1"/>
  <c r="D1546" i="24" a="1"/>
  <c r="H1780" i="24" a="1"/>
  <c r="I1464" i="24" a="1"/>
  <c r="B1285" i="24" a="1"/>
  <c r="M1021" i="24" a="1"/>
  <c r="M1845" i="24" a="1"/>
  <c r="D881" i="24" a="1"/>
  <c r="I1163" i="24" a="1"/>
  <c r="C1251" i="24"/>
  <c r="H705" i="24" a="1"/>
  <c r="I1619" i="24" a="1"/>
  <c r="C1831" i="24"/>
  <c r="C572" i="24"/>
  <c r="M1616" i="24" a="1"/>
  <c r="M1855" i="24" a="1"/>
  <c r="D1583" i="24" a="1"/>
  <c r="B425" i="24" a="1"/>
  <c r="I1522" i="24" a="1"/>
  <c r="D1882" i="24" a="1"/>
  <c r="I1493" i="24" a="1"/>
  <c r="I1521" i="24" a="1"/>
  <c r="H1878" i="24" a="1"/>
  <c r="M912" i="24" a="1"/>
  <c r="I1444" i="24" a="1"/>
  <c r="I1412" i="24" a="1"/>
  <c r="H654" i="24" a="1"/>
  <c r="M1355" i="24" a="1"/>
  <c r="M312" i="24" a="1"/>
  <c r="D1651" i="24" a="1"/>
  <c r="I306" i="24" a="1"/>
  <c r="I1344" i="24" a="1"/>
  <c r="M1894" i="24" a="1"/>
  <c r="M59" i="24" a="1"/>
  <c r="H1646" i="24" a="1"/>
  <c r="I1604" i="24" a="1"/>
  <c r="C1872" i="24"/>
  <c r="M661" i="24" a="1"/>
  <c r="I1472" i="24" a="1"/>
  <c r="H139" i="24" a="1"/>
  <c r="M1188" i="24" a="1"/>
  <c r="H1502" i="24" a="1"/>
  <c r="M621" i="24" a="1"/>
  <c r="M1589" i="24" a="1"/>
  <c r="H1230" i="24" a="1"/>
  <c r="M1213" i="24" a="1"/>
  <c r="D1725" i="24" a="1"/>
  <c r="H1334" i="24" a="1"/>
  <c r="M1280" i="24" a="1"/>
  <c r="M1847" i="24" a="1"/>
  <c r="I1582" i="24" a="1"/>
  <c r="M346" i="24" a="1"/>
  <c r="M227" i="24" a="1"/>
  <c r="I65" i="24" a="1"/>
  <c r="C1844" i="24"/>
  <c r="I1761" i="24" a="1"/>
  <c r="B863" i="24" a="1"/>
  <c r="I1182" i="24" a="1"/>
  <c r="M978" i="24" a="1"/>
  <c r="M1002" i="24" a="1"/>
  <c r="I1435" i="24" a="1"/>
  <c r="I1362" i="24" a="1"/>
  <c r="C961" i="24"/>
  <c r="H1784" i="24" a="1"/>
  <c r="H635" i="24" a="1"/>
  <c r="M1645" i="24" a="1"/>
  <c r="I1541" i="24" a="1"/>
  <c r="I1781" i="24" a="1"/>
  <c r="M545" i="24" a="1"/>
  <c r="M847" i="24" a="1"/>
  <c r="M578" i="24" a="1"/>
  <c r="I1359" i="24" a="1"/>
  <c r="D1412" i="24" a="1"/>
  <c r="D753" i="24" a="1"/>
  <c r="C1657" i="24"/>
  <c r="B1593" i="24" a="1"/>
  <c r="B1766" i="24" a="1"/>
  <c r="B1376" i="24" a="1"/>
  <c r="I450" i="24" a="1"/>
  <c r="B1720" i="24" a="1"/>
  <c r="D1759" i="24" a="1"/>
  <c r="H1721" i="24" a="1"/>
  <c r="M1245" i="24" a="1"/>
  <c r="I1527" i="24" a="1"/>
  <c r="D1016" i="24" a="1"/>
  <c r="D38" i="24" a="1"/>
  <c r="C1538" i="24"/>
  <c r="D1017" i="24" a="1"/>
  <c r="M792" i="24" a="1"/>
  <c r="H307" i="24" a="1"/>
  <c r="B536" i="24" a="1"/>
  <c r="C1814" i="24"/>
  <c r="D1537" i="24" a="1"/>
  <c r="M1055" i="24" a="1"/>
  <c r="H1265" i="24" a="1"/>
  <c r="C1424" i="24"/>
  <c r="D1657" i="24" a="1"/>
  <c r="B329" i="24" a="1"/>
  <c r="H1538" i="24" a="1"/>
  <c r="B1571" i="24" a="1"/>
  <c r="D1649" i="24" a="1"/>
  <c r="I19" i="24" a="1"/>
  <c r="M420" i="24" a="1"/>
  <c r="I262" i="24" a="1"/>
  <c r="M1152" i="24" a="1"/>
  <c r="I1620" i="24" a="1"/>
  <c r="D41" i="24" a="1"/>
  <c r="H1427" i="24" a="1"/>
  <c r="H1743" i="24" a="1"/>
  <c r="M486" i="24" a="1"/>
  <c r="C1744" i="24"/>
  <c r="I22" i="24" a="1"/>
  <c r="H1589" i="24" a="1"/>
  <c r="D1782" i="24" a="1"/>
  <c r="H1448" i="24" a="1"/>
  <c r="I1385" i="24" a="1"/>
  <c r="M1220" i="24" a="1"/>
  <c r="C27" i="24"/>
  <c r="I1423" i="24" a="1"/>
  <c r="M983" i="24" a="1"/>
  <c r="M233" i="24" a="1"/>
  <c r="C1765" i="24"/>
  <c r="H656" i="24" a="1"/>
  <c r="C1602" i="24"/>
  <c r="H724" i="24" a="1"/>
  <c r="D1633" i="24" a="1"/>
  <c r="M1535" i="24" a="1"/>
  <c r="I166" i="24" a="1"/>
  <c r="H773" i="24" a="1"/>
  <c r="I1489" i="24" a="1"/>
  <c r="M1068" i="24" a="1"/>
  <c r="I1320" i="24" a="1"/>
  <c r="C1361" i="24"/>
  <c r="H1747" i="24" a="1"/>
  <c r="D1483" i="24" a="1"/>
  <c r="D341" i="24" a="1"/>
  <c r="M1472" i="24" a="1"/>
  <c r="B1665" i="24" a="1"/>
  <c r="B1015" i="24" a="1"/>
  <c r="I817" i="24" a="1"/>
  <c r="H658" i="24" a="1"/>
  <c r="H1705" i="24" a="1"/>
  <c r="I270" i="24" a="1"/>
  <c r="H586" i="24" a="1"/>
  <c r="M871" i="24" a="1"/>
  <c r="B1441" i="24" a="1"/>
  <c r="H1863" i="24" a="1"/>
  <c r="M1332" i="24" a="1"/>
  <c r="M271" i="24" a="1"/>
  <c r="M678" i="24" a="1"/>
  <c r="H1869" i="24" a="1"/>
  <c r="C181" i="24"/>
  <c r="M175" i="24" a="1"/>
  <c r="I822" i="24" a="1"/>
  <c r="D329" i="24" a="1"/>
  <c r="M1850" i="24" a="1"/>
  <c r="I1560" i="24" a="1"/>
  <c r="B1808" i="24" a="1"/>
  <c r="M1600" i="24" a="1"/>
  <c r="I1290" i="24" a="1"/>
  <c r="C1375" i="24"/>
  <c r="M1346" i="24" a="1"/>
  <c r="D1746" i="24" a="1"/>
  <c r="H1696" i="24" a="1"/>
  <c r="C1120" i="24"/>
  <c r="I426" i="24" a="1"/>
  <c r="B1068" i="24" a="1"/>
  <c r="I1900" i="24" a="1"/>
  <c r="M1317" i="24" a="1"/>
  <c r="M1415" i="24" a="1"/>
  <c r="M167" i="24" a="1"/>
  <c r="B1448" i="24" a="1"/>
  <c r="I1872" i="24" a="1"/>
  <c r="C1535" i="24"/>
  <c r="B1400" i="24" a="1"/>
  <c r="M849" i="24" a="1"/>
  <c r="H1669" i="24" a="1"/>
  <c r="H251" i="24" a="1"/>
  <c r="M240" i="24" a="1"/>
  <c r="M82" i="24" a="1"/>
  <c r="C1457" i="24"/>
  <c r="M667" i="24" a="1"/>
  <c r="H798" i="24" a="1"/>
  <c r="D484" i="24" a="1"/>
  <c r="C938" i="24"/>
  <c r="C1561" i="24"/>
  <c r="I1824" i="24" a="1"/>
  <c r="H541" i="24" a="1"/>
  <c r="B1412" i="24" a="1"/>
  <c r="B575" i="24" a="1"/>
  <c r="H1901" i="24" a="1"/>
  <c r="D1679" i="24" a="1"/>
  <c r="I1471" i="24" a="1"/>
  <c r="B1468" i="24" a="1"/>
  <c r="I1451" i="24" a="1"/>
  <c r="C1520" i="24"/>
  <c r="B997" i="24" a="1"/>
  <c r="I1171" i="24" a="1"/>
  <c r="M1036" i="24" a="1"/>
  <c r="B1372" i="24" a="1"/>
  <c r="D1310" i="24" a="1"/>
  <c r="C1384" i="24"/>
  <c r="D385" i="24" a="1"/>
  <c r="C583" i="24"/>
  <c r="I1574" i="24" a="1"/>
  <c r="M313" i="24" a="1"/>
  <c r="C913" i="24"/>
  <c r="M213" i="24" a="1"/>
  <c r="C1024" i="24"/>
  <c r="C1284" i="24"/>
  <c r="I1534" i="24" a="1"/>
  <c r="M56" i="24" a="1"/>
  <c r="M456" i="24" a="1"/>
  <c r="M1264" i="24" a="1"/>
  <c r="H768" i="24" a="1"/>
  <c r="D1382" i="24" a="1"/>
  <c r="I902" i="24" a="1"/>
  <c r="B594" i="24" a="1"/>
  <c r="D1896" i="24" a="1"/>
  <c r="I1755" i="24" a="1"/>
  <c r="M408" i="24" a="1"/>
  <c r="M539" i="24" a="1"/>
  <c r="M827" i="24" a="1"/>
  <c r="M537" i="24" a="1"/>
  <c r="C1447" i="24"/>
  <c r="D1690" i="24" a="1"/>
  <c r="D1827" i="24" a="1"/>
  <c r="B1675" i="24" a="1"/>
  <c r="I1794" i="24" a="1"/>
  <c r="C313" i="24"/>
  <c r="C1618" i="24"/>
  <c r="M695" i="24" a="1"/>
  <c r="C1832" i="24"/>
  <c r="I1040" i="24" a="1"/>
  <c r="H1733" i="24" a="1"/>
  <c r="H1745" i="24" a="1"/>
  <c r="M1082" i="24" a="1"/>
  <c r="D1664" i="24" a="1"/>
  <c r="H1730" i="24" a="1"/>
  <c r="M595" i="24" a="1"/>
  <c r="M789" i="24" a="1"/>
  <c r="B284" i="24" a="1"/>
  <c r="B1055" i="24" a="1"/>
  <c r="C1425" i="24"/>
  <c r="B1677" i="24" a="1"/>
  <c r="M1549" i="24" a="1"/>
  <c r="H1684" i="24" a="1"/>
  <c r="D190" i="24" a="1"/>
  <c r="H1679" i="24" a="1"/>
  <c r="M1106" i="24" a="1"/>
  <c r="I1656" i="24" a="1"/>
  <c r="H1302" i="24" a="1"/>
  <c r="D1834" i="24" a="1"/>
  <c r="I387" i="24" a="1"/>
  <c r="M1237" i="24" a="1"/>
  <c r="B785" i="24" a="1"/>
  <c r="C1685" i="24"/>
  <c r="B1465" i="24" a="1"/>
  <c r="D1440" i="24" a="1"/>
  <c r="M1450" i="24" a="1"/>
  <c r="M1302" i="24" a="1"/>
  <c r="I1896" i="24" a="1"/>
  <c r="M214" i="24" a="1"/>
  <c r="I1185" i="24" a="1"/>
  <c r="I810" i="24" a="1"/>
  <c r="D1315" i="24" a="1"/>
  <c r="C1835" i="24"/>
  <c r="I508" i="24" a="1"/>
  <c r="I1852" i="24" a="1"/>
  <c r="I1724" i="24" a="1"/>
  <c r="M151" i="24" a="1"/>
  <c r="C1863" i="24"/>
  <c r="H39" i="24" a="1"/>
  <c r="H1677" i="24" a="1"/>
  <c r="M451" i="24" a="1"/>
  <c r="C574" i="24"/>
  <c r="I1539" i="24" a="1"/>
  <c r="H1726" i="24" a="1"/>
  <c r="M662" i="24" a="1"/>
  <c r="H1519" i="24" a="1"/>
  <c r="M1200" i="24" a="1"/>
  <c r="I1701" i="24" a="1"/>
  <c r="B1894" i="24" a="1"/>
  <c r="H1580" i="24" a="1"/>
  <c r="C1793" i="24"/>
  <c r="B814" i="24" a="1"/>
  <c r="B1583" i="24" a="1"/>
  <c r="H1814" i="24" a="1"/>
  <c r="H864" i="24" a="1"/>
  <c r="H1591" i="24" a="1"/>
  <c r="D1881" i="24" a="1"/>
  <c r="M523" i="24" a="1"/>
  <c r="H1628" i="24" a="1"/>
  <c r="B763" i="24" a="1"/>
  <c r="I317" i="24" a="1"/>
  <c r="M738" i="24" a="1"/>
  <c r="C1896" i="24"/>
  <c r="D1632" i="24" a="1"/>
  <c r="M561" i="24" a="1"/>
  <c r="M487" i="24" a="1"/>
  <c r="D61" i="24" a="1"/>
  <c r="H1613" i="24" a="1"/>
  <c r="B1503" i="24" a="1"/>
  <c r="B1121" i="24" a="1"/>
  <c r="D1417" i="24" a="1"/>
  <c r="D1132" i="24" a="1"/>
  <c r="M636" i="24" a="1"/>
  <c r="H1749" i="24" a="1"/>
  <c r="B1642" i="24" a="1"/>
  <c r="M824" i="24" a="1"/>
  <c r="B1349" i="24" a="1"/>
  <c r="B465" i="24" a="1"/>
  <c r="H1691" i="24" a="1"/>
  <c r="M262" i="24" a="1"/>
  <c r="M1488" i="24" a="1"/>
  <c r="H1527" i="24" a="1"/>
  <c r="C1650" i="24"/>
  <c r="I1468" i="24" a="1"/>
  <c r="B637" i="24" a="1"/>
  <c r="M221" i="24" a="1"/>
  <c r="H306" i="24" a="1"/>
  <c r="B698" i="24" a="1"/>
  <c r="M519" i="24" a="1"/>
  <c r="I1515" i="24" a="1"/>
  <c r="I353" i="24" a="1"/>
  <c r="C1605" i="24"/>
  <c r="I1877" i="24" a="1"/>
  <c r="I1780" i="24" a="1"/>
  <c r="H1667" i="24" a="1"/>
  <c r="C1643" i="24"/>
  <c r="M1284" i="24" a="1"/>
  <c r="D1748" i="24" a="1"/>
  <c r="I1868" i="24" a="1"/>
  <c r="I1702" i="24" a="1"/>
  <c r="M57" i="24" a="1"/>
  <c r="D54" i="24" a="1"/>
  <c r="M518" i="24" a="1"/>
  <c r="D1579" i="24" a="1"/>
  <c r="H1794" i="24" a="1"/>
  <c r="M1113" i="24" a="1"/>
  <c r="D1439" i="24" a="1"/>
  <c r="H128" i="24" a="1"/>
  <c r="C1629" i="24"/>
  <c r="M1884" i="24" a="1"/>
  <c r="I1892" i="24" a="1"/>
  <c r="D1776" i="24" a="1"/>
  <c r="M647" i="24" a="1"/>
  <c r="D1829" i="24" a="1"/>
  <c r="H1728" i="24" a="1"/>
  <c r="D1723" i="24" a="1"/>
  <c r="I1393" i="24" a="1"/>
  <c r="I1428" i="24" a="1"/>
  <c r="I1733" i="24" a="1"/>
  <c r="D1171" i="24" a="1"/>
  <c r="M572" i="24" a="1"/>
  <c r="H1351" i="24" a="1"/>
  <c r="C1837" i="24"/>
  <c r="M503" i="24" a="1"/>
  <c r="H1012" i="24" a="1"/>
  <c r="H1228" i="24" a="1"/>
  <c r="I1599" i="24" a="1"/>
  <c r="C1546" i="24"/>
  <c r="C756" i="24"/>
  <c r="M700" i="24" a="1"/>
  <c r="M1863" i="24" a="1"/>
  <c r="M640" i="24" a="1"/>
  <c r="I1507" i="24" a="1"/>
  <c r="H1014" i="24" a="1"/>
  <c r="M743" i="24" a="1"/>
  <c r="B7" i="24" a="1"/>
  <c r="C1599" i="24"/>
  <c r="H1692" i="24" a="1"/>
  <c r="C1515" i="24"/>
  <c r="I449" i="24" a="1"/>
  <c r="C1125" i="24"/>
  <c r="B974" i="24" a="1"/>
  <c r="M1219" i="24" a="1"/>
  <c r="H1629" i="24" a="1"/>
  <c r="C1889" i="24"/>
  <c r="C1088" i="24"/>
  <c r="H1774" i="24" a="1"/>
  <c r="H913" i="24" a="1"/>
  <c r="B639" i="24" a="1"/>
  <c r="C30" i="24"/>
  <c r="M154" i="24" a="1"/>
  <c r="H1503" i="24" a="1"/>
  <c r="M416" i="24" a="1"/>
  <c r="M868" i="24" a="1"/>
  <c r="C1748" i="24"/>
  <c r="H606" i="24" a="1"/>
  <c r="M1018" i="24" a="1"/>
  <c r="H872" i="24" a="1"/>
  <c r="D1219" i="24" a="1"/>
  <c r="I1310" i="24" a="1"/>
  <c r="H1604" i="24" a="1"/>
  <c r="I1607" i="24" a="1"/>
  <c r="D1220" i="24" a="1"/>
  <c r="H1157" i="24" a="1"/>
  <c r="B1019" i="24" a="1"/>
  <c r="M733" i="24" a="1"/>
  <c r="D1191" i="24" a="1"/>
  <c r="M1006" i="24" a="1"/>
  <c r="M1138" i="24" a="1"/>
  <c r="M131" i="24" a="1"/>
  <c r="M373" i="24" a="1"/>
  <c r="H1414" i="24" a="1"/>
  <c r="I1372" i="24" a="1"/>
  <c r="M460" i="24" a="1"/>
  <c r="M189" i="24" a="1"/>
  <c r="D1580" i="24" a="1"/>
  <c r="B1809" i="24" a="1"/>
  <c r="H1434" i="24" a="1"/>
  <c r="H1534" i="24" a="1"/>
  <c r="C1479" i="24"/>
  <c r="H1338" i="24" a="1"/>
  <c r="B1409" i="24" a="1"/>
  <c r="I122" i="24" a="1"/>
  <c r="M1380" i="24" a="1"/>
  <c r="M937" i="24" a="1"/>
  <c r="H1736" i="24" a="1"/>
  <c r="M371" i="24" a="1"/>
  <c r="C960" i="24"/>
  <c r="M699" i="24" a="1"/>
  <c r="H147" i="24" a="1"/>
  <c r="C1215" i="24"/>
  <c r="M508" i="24" a="1"/>
  <c r="C792" i="24"/>
  <c r="M211" i="24" a="1"/>
  <c r="B1476" i="24" a="1"/>
  <c r="H788" i="24" a="1"/>
  <c r="I1845" i="24" a="1"/>
  <c r="M216" i="24" a="1"/>
  <c r="I1538" i="24" a="1"/>
  <c r="C1653" i="24"/>
  <c r="C1633" i="24"/>
  <c r="M328" i="24" a="1"/>
  <c r="I1161" i="24" a="1"/>
  <c r="D1629" i="24" a="1"/>
  <c r="D1521" i="24" a="1"/>
  <c r="M618" i="24" a="1"/>
  <c r="C1399" i="24"/>
  <c r="M239" i="24" a="1"/>
  <c r="B1541" i="24" a="1"/>
  <c r="M135" i="24" a="1"/>
  <c r="D1843" i="24" a="1"/>
  <c r="C1000" i="24"/>
  <c r="D1223" i="24" a="1"/>
  <c r="M1161" i="24" a="1"/>
  <c r="B1366" i="24" a="1"/>
  <c r="D1698" i="24" a="1"/>
  <c r="D1470" i="24" a="1"/>
  <c r="I1826" i="24" a="1"/>
  <c r="B1238" i="24" a="1"/>
  <c r="D1885" i="24" a="1"/>
  <c r="M327" i="24" a="1"/>
  <c r="H1505" i="24" a="1"/>
  <c r="M933" i="24" a="1"/>
  <c r="H1459" i="24" a="1"/>
  <c r="C1864" i="24"/>
  <c r="I525" i="24" a="1"/>
  <c r="M560" i="24" a="1"/>
  <c r="I1883" i="24" a="1"/>
  <c r="M1181" i="24" a="1"/>
  <c r="H1435" i="24" a="1"/>
  <c r="H454" i="24" a="1"/>
  <c r="I1556" i="24" a="1"/>
  <c r="C1900" i="24"/>
  <c r="M349" i="24" a="1"/>
  <c r="D508" i="24" a="1"/>
  <c r="I1876" i="24" a="1"/>
  <c r="C785" i="24"/>
  <c r="D874" i="24" a="1"/>
  <c r="M986" i="24" a="1"/>
  <c r="M929" i="24" a="1"/>
  <c r="M461" i="24" a="1"/>
  <c r="M635" i="24" a="1"/>
  <c r="M1004" i="24" a="1"/>
  <c r="M1017" i="24" a="1"/>
  <c r="M1100" i="24" a="1"/>
  <c r="D1388" i="24" a="1"/>
  <c r="M1503" i="24" a="1"/>
  <c r="H1250" i="24" a="1"/>
  <c r="C1228" i="24"/>
  <c r="C1575" i="24"/>
  <c r="I1512" i="24" a="1"/>
  <c r="C487" i="24"/>
  <c r="I1260" i="24" a="1"/>
  <c r="M1192" i="24" a="1"/>
  <c r="B1738" i="24" a="1"/>
  <c r="H1648" i="24" a="1"/>
  <c r="C1028" i="24"/>
  <c r="D1372" i="24" a="1"/>
  <c r="I821" i="24" a="1"/>
  <c r="M1652" i="24" a="1"/>
  <c r="I1890" i="24" a="1"/>
  <c r="I981" i="24" a="1"/>
  <c r="C631" i="24"/>
  <c r="I1357" i="24" a="1"/>
  <c r="M480" i="24" a="1"/>
  <c r="C1549" i="24"/>
  <c r="B1771" i="24" a="1"/>
  <c r="M1887" i="24" a="1"/>
  <c r="C1779" i="24"/>
  <c r="I1447" i="24" a="1"/>
  <c r="M845" i="24" a="1"/>
  <c r="D178" i="24" a="1"/>
  <c r="M1630" i="24" a="1"/>
  <c r="C1453" i="24"/>
  <c r="M723" i="24" a="1"/>
  <c r="H1812" i="24" a="1"/>
  <c r="M69" i="24" a="1"/>
  <c r="M1421" i="24" a="1"/>
  <c r="C1347" i="24"/>
  <c r="C1638" i="24"/>
  <c r="H1045" i="24" a="1"/>
  <c r="C1758" i="24"/>
  <c r="I207" i="24" a="1"/>
  <c r="C1781" i="24"/>
  <c r="B1049" i="24" a="1"/>
  <c r="B162" i="24" a="1"/>
  <c r="H1715" i="24" a="1"/>
  <c r="M1525" i="24" a="1"/>
  <c r="B1392" i="24" a="1"/>
  <c r="M1299" i="24" a="1"/>
  <c r="C1473" i="24"/>
  <c r="C772" i="24"/>
  <c r="H1512" i="24" a="1"/>
  <c r="H1251" i="24" a="1"/>
  <c r="C1390" i="24"/>
  <c r="H1436" i="24" a="1"/>
  <c r="B341" i="24" a="1"/>
  <c r="I184" i="24" a="1"/>
  <c r="B1676" i="24" a="1"/>
  <c r="H1577" i="24" a="1"/>
  <c r="B1708" i="24" a="1"/>
  <c r="I1809" i="24" a="1"/>
  <c r="M119" i="24" a="1"/>
  <c r="H1276" i="24" a="1"/>
  <c r="I64" i="24" a="1"/>
  <c r="M407" i="24" a="1"/>
  <c r="M293" i="24" a="1"/>
  <c r="C1649" i="24"/>
  <c r="C1317" i="24"/>
  <c r="C331" i="24"/>
  <c r="M688" i="24" a="1"/>
  <c r="B844" i="24" a="1"/>
  <c r="C1759" i="24"/>
  <c r="I742" i="24" a="1"/>
  <c r="C1261" i="24"/>
  <c r="B1313" i="24" a="1"/>
  <c r="C586" i="24"/>
  <c r="M927" i="24" a="1"/>
  <c r="M1442" i="24" a="1"/>
  <c r="C808" i="24"/>
  <c r="M530" i="24" a="1"/>
  <c r="B263" i="24" a="1"/>
  <c r="I1678" i="24" a="1"/>
  <c r="D236" i="24" a="1"/>
  <c r="I1849" i="24" a="1"/>
  <c r="B1347" i="24" a="1"/>
  <c r="B240" i="24" a="1"/>
  <c r="H1602" i="24" a="1"/>
  <c r="C1733" i="24"/>
  <c r="C1668" i="24"/>
  <c r="I625" i="24" a="1"/>
  <c r="D670" i="24" a="1"/>
  <c r="I1776" i="24" a="1"/>
  <c r="D175" i="24" a="1"/>
  <c r="M431" i="24" a="1"/>
  <c r="H1632" i="24" a="1"/>
  <c r="I1684" i="24" a="1"/>
  <c r="M892" i="24" a="1"/>
  <c r="M525" i="24" a="1"/>
  <c r="M1338" i="24" a="1"/>
  <c r="M1418" i="24" a="1"/>
  <c r="D1229" i="24" a="1"/>
  <c r="B1862" i="24" a="1"/>
  <c r="H881" i="24" a="1"/>
  <c r="H537" i="24" a="1"/>
  <c r="C1688" i="24"/>
  <c r="D1840" i="24" a="1"/>
  <c r="C1484" i="24"/>
  <c r="H643" i="24" a="1"/>
  <c r="H153" i="24" a="1"/>
  <c r="M379" i="24" a="1"/>
  <c r="M994" i="24" a="1"/>
  <c r="I1476" i="24" a="1"/>
  <c r="H907" i="24" a="1"/>
  <c r="H1339" i="24" a="1"/>
  <c r="C1496" i="24"/>
  <c r="C1880" i="24"/>
  <c r="I1745" i="24" a="1"/>
  <c r="H1609" i="24" a="1"/>
  <c r="D1897" i="24" a="1"/>
  <c r="M920" i="24" a="1"/>
  <c r="M121" i="24" a="1"/>
  <c r="I952" i="24" a="1"/>
  <c r="C1652" i="24"/>
  <c r="C1285" i="24"/>
  <c r="H1467" i="24" a="1"/>
  <c r="B905" i="24" a="1"/>
  <c r="D427" i="24" a="1"/>
  <c r="M1058" i="24" a="1"/>
  <c r="B1745" i="24" a="1"/>
  <c r="M411" i="24" a="1"/>
  <c r="M1605" i="24" a="1"/>
  <c r="M1479" i="24" a="1"/>
  <c r="H939" i="24" a="1"/>
  <c r="H1462" i="24" a="1"/>
  <c r="B1867" i="24" a="1"/>
  <c r="C897" i="24"/>
  <c r="C343" i="24"/>
  <c r="D1262" i="24" a="1"/>
  <c r="M1588" i="24" a="1"/>
  <c r="H1431" i="24" a="1"/>
  <c r="C283" i="24"/>
  <c r="D1824" i="24" a="1"/>
  <c r="D1883" i="24" a="1"/>
  <c r="C1468" i="24"/>
  <c r="C1767" i="24"/>
  <c r="M497" i="24" a="1"/>
  <c r="M477" i="24" a="1"/>
  <c r="C1421" i="24"/>
  <c r="H28" i="24" a="1"/>
  <c r="D1471" i="24" a="1"/>
  <c r="D1615" i="24" a="1"/>
  <c r="C1460" i="24"/>
  <c r="M599" i="24" a="1"/>
  <c r="B537" i="24" a="1"/>
  <c r="D1588" i="24" a="1"/>
  <c r="M949" i="24" a="1"/>
  <c r="D1335" i="24" a="1"/>
  <c r="M771" i="24" a="1"/>
  <c r="H605" i="24" a="1"/>
  <c r="B117" i="24" a="1"/>
  <c r="I711" i="24" a="1"/>
  <c r="C1181" i="24"/>
  <c r="C1412" i="24"/>
  <c r="M836" i="24" a="1"/>
  <c r="M447" i="24" a="1"/>
  <c r="D1815" i="24" a="1"/>
  <c r="I891" i="24" a="1"/>
  <c r="D818" i="24" a="1"/>
  <c r="C1782" i="24"/>
  <c r="I1689" i="24" a="1"/>
  <c r="D509" i="24" a="1"/>
  <c r="H769" i="24" a="1"/>
  <c r="C1195" i="24"/>
  <c r="I1835" i="24" a="1"/>
  <c r="H535" i="24" a="1"/>
  <c r="H743" i="24" a="1"/>
  <c r="B1651" i="24" a="1"/>
  <c r="M1270" i="24" a="1"/>
  <c r="I1632" i="24" a="1"/>
  <c r="D1887" i="24" a="1"/>
  <c r="M1411" i="24" a="1"/>
  <c r="H1871" i="24" a="1"/>
  <c r="M622" i="24" a="1"/>
  <c r="I679" i="24" a="1"/>
  <c r="M1539" i="24" a="1"/>
  <c r="I1603" i="24" a="1"/>
  <c r="C1262" i="24"/>
  <c r="D371" i="24" a="1"/>
  <c r="B1843" i="24" a="1"/>
  <c r="D1785" i="24" a="1"/>
  <c r="D817" i="24" a="1"/>
  <c r="H107" i="24" a="1"/>
  <c r="H1450" i="24" a="1"/>
  <c r="C1038" i="24"/>
  <c r="D1793" i="24" a="1"/>
  <c r="I1737" i="24" a="1"/>
  <c r="B802" i="24" a="1"/>
  <c r="M813" i="24" a="1"/>
  <c r="C726" i="24"/>
  <c r="H1464" i="24" a="1"/>
  <c r="D1623" i="24" a="1"/>
  <c r="D235" i="24" a="1"/>
  <c r="H1573" i="24" a="1"/>
  <c r="B1776" i="24" a="1"/>
  <c r="M580" i="24" a="1"/>
  <c r="D1720" i="24" a="1"/>
  <c r="M894" i="24" a="1"/>
  <c r="H1531" i="24" a="1"/>
  <c r="B1064" i="24" a="1"/>
  <c r="M162" i="24" a="1"/>
  <c r="D1098" i="24" a="1"/>
  <c r="M422" i="24" a="1"/>
  <c r="D1391" i="24" a="1"/>
  <c r="C36" i="24"/>
  <c r="M780" i="24" a="1"/>
  <c r="D1194" i="24" a="1"/>
  <c r="C1122" i="24"/>
  <c r="H1460" i="24" a="1"/>
  <c r="H1874" i="24" a="1"/>
  <c r="C1873" i="24"/>
  <c r="M872" i="24" a="1"/>
  <c r="M856" i="24" a="1"/>
  <c r="M491" i="24" a="1"/>
  <c r="C817" i="24"/>
  <c r="M769" i="24" a="1"/>
  <c r="C1903" i="24"/>
  <c r="H332" i="24" a="1"/>
  <c r="H166" i="24" a="1"/>
  <c r="D1096" i="24" a="1"/>
  <c r="M538" i="24" a="1"/>
  <c r="H1622" i="24" a="1"/>
  <c r="D1295" i="24" a="1"/>
  <c r="M606" i="24" a="1"/>
  <c r="C1432" i="24"/>
  <c r="D1509" i="24" a="1"/>
  <c r="M1618" i="24" a="1"/>
  <c r="D1790" i="24" a="1"/>
  <c r="C1517" i="24"/>
  <c r="M245" i="24" a="1"/>
  <c r="B1750" i="24" a="1"/>
  <c r="I1491" i="24" a="1"/>
  <c r="I1590" i="24" a="1"/>
  <c r="M1094" i="24" a="1"/>
  <c r="H1727" i="24" a="1"/>
  <c r="B1381" i="24" a="1"/>
  <c r="M453" i="24" a="1"/>
  <c r="D494" i="24" a="1"/>
  <c r="B1254" i="24" a="1"/>
  <c r="I936" i="24" a="1"/>
  <c r="H54" i="24" a="1"/>
  <c r="D1574" i="24" a="1"/>
  <c r="M941" i="24" a="1"/>
  <c r="M998" i="24" a="1"/>
  <c r="H1809" i="24" a="1"/>
  <c r="D1658" i="24" a="1"/>
  <c r="M1507" i="24" a="1"/>
  <c r="M404" i="24" a="1"/>
  <c r="I1409" i="24" a="1"/>
  <c r="B1304" i="24" a="1"/>
  <c r="C618" i="24"/>
  <c r="H1756" i="24" a="1"/>
  <c r="I1005" i="24" a="1"/>
  <c r="D667" i="24" a="1"/>
  <c r="C1635" i="24"/>
  <c r="D1567" i="24" a="1"/>
  <c r="C1492" i="24"/>
  <c r="H80" i="24" a="1"/>
  <c r="B1488" i="24" a="1"/>
  <c r="M1174" i="24" a="1"/>
  <c r="M1129" i="24" a="1"/>
  <c r="C1338" i="24"/>
  <c r="B1803" i="24" a="1"/>
  <c r="C347" i="24"/>
  <c r="H1419" i="24" a="1"/>
  <c r="D1745" i="24" a="1"/>
  <c r="H581" i="24" a="1"/>
  <c r="M1144" i="24" a="1"/>
  <c r="I1246" i="24" a="1"/>
  <c r="B1682" i="24" a="1"/>
  <c r="D1161" i="24" a="1"/>
  <c r="M442" i="24" a="1"/>
  <c r="M1010" i="24" a="1"/>
  <c r="I1652" i="24" a="1"/>
  <c r="H689" i="24" a="1"/>
  <c r="H1824" i="24" a="1"/>
  <c r="M759" i="24" a="1"/>
  <c r="D1763" i="24" a="1"/>
  <c r="M1186" i="24" a="1"/>
  <c r="C1810" i="24"/>
  <c r="M505" i="24" a="1"/>
  <c r="M779" i="24" a="1"/>
  <c r="B95" i="24" a="1"/>
  <c r="M694" i="24" a="1"/>
  <c r="H1417" i="24" a="1"/>
  <c r="C566" i="24"/>
  <c r="I548" i="24" a="1"/>
  <c r="M627" i="24" a="1"/>
  <c r="B748" i="24" a="1"/>
  <c r="C1312" i="24"/>
  <c r="M425" i="24" a="1"/>
  <c r="H973" i="24" a="1"/>
  <c r="I1854" i="24" a="1"/>
  <c r="I1596" i="24" a="1"/>
  <c r="B1173" i="24" a="1"/>
  <c r="H1650" i="24" a="1"/>
  <c r="B1218" i="24" a="1"/>
  <c r="D1101" i="24" a="1"/>
  <c r="B1527" i="24" a="1"/>
  <c r="M361" i="24" a="1"/>
  <c r="I1275" i="24" a="1"/>
  <c r="C681" i="24"/>
  <c r="H1585" i="24" a="1"/>
  <c r="M549" i="24" a="1"/>
  <c r="I1827" i="24" a="1"/>
  <c r="I766" i="24" a="1"/>
  <c r="B100" i="24" a="1"/>
  <c r="M1025" i="24" a="1"/>
  <c r="H1372" i="24" a="1"/>
  <c r="B65" i="24" a="1"/>
  <c r="I1261" i="24" a="1"/>
  <c r="M652" i="24" a="1"/>
  <c r="C1661" i="24"/>
  <c r="C1760" i="24"/>
  <c r="B1694" i="24" a="1"/>
  <c r="B1845" i="24" a="1"/>
  <c r="B1850" i="24" a="1"/>
  <c r="H1456" i="24" a="1"/>
  <c r="D342" i="24" a="1"/>
  <c r="M80" i="24" a="1"/>
  <c r="C1450" i="24"/>
  <c r="M1643" i="24" a="1"/>
  <c r="B1822" i="24" a="1"/>
  <c r="D1798" i="24" a="1"/>
  <c r="H239" i="24" a="1"/>
  <c r="C1115" i="24"/>
  <c r="I1750" i="24" a="1"/>
  <c r="M598" i="24" a="1"/>
  <c r="M1098" i="24" a="1"/>
  <c r="C1301" i="24"/>
  <c r="C1610" i="24"/>
  <c r="I88" i="24" a="1"/>
  <c r="D1558" i="24" a="1"/>
  <c r="C118" i="24"/>
  <c r="M645" i="24" a="1"/>
  <c r="C1848" i="24"/>
  <c r="H1699" i="24" a="1"/>
  <c r="B456" i="24" a="1"/>
  <c r="D700" i="24" a="1"/>
  <c r="C762" i="24"/>
  <c r="H580" i="24" a="1"/>
  <c r="I1517" i="24" a="1"/>
  <c r="D422" i="24" a="1"/>
  <c r="M1065" i="24" a="1"/>
  <c r="C806" i="24"/>
  <c r="D1076" i="24" a="1"/>
  <c r="H1574" i="24" a="1"/>
  <c r="D1526" i="24" a="1"/>
  <c r="C349" i="24"/>
  <c r="M1409" i="24" a="1"/>
  <c r="H1458" i="24" a="1"/>
  <c r="M1114" i="24" a="1"/>
  <c r="D1804" i="24" a="1"/>
  <c r="I311" i="24" a="1"/>
  <c r="D1427" i="24" a="1"/>
  <c r="M629" i="24" a="1"/>
  <c r="D900" i="24" a="1"/>
  <c r="C1044" i="24"/>
  <c r="M1419" i="24" a="1"/>
  <c r="D99" i="24" a="1"/>
  <c r="D799" i="24" a="1"/>
  <c r="H649" i="24" a="1"/>
  <c r="B582" i="24" a="1"/>
  <c r="M1221" i="24" a="1"/>
  <c r="D805" i="24" a="1"/>
  <c r="I1775" i="24" a="1"/>
  <c r="M1639" i="24" a="1"/>
  <c r="M260" i="24" a="1"/>
  <c r="M1124" i="24" a="1"/>
  <c r="H1300" i="24" a="1"/>
  <c r="D958" i="24" a="1"/>
  <c r="I606" i="24" a="1"/>
  <c r="M1119" i="24" a="1"/>
  <c r="M828" i="24" a="1"/>
  <c r="M1260" i="24" a="1"/>
  <c r="B1596" i="24" a="1"/>
  <c r="H1876" i="24" a="1"/>
  <c r="H231" i="24" a="1"/>
  <c r="D23" i="24" a="1"/>
  <c r="D1544" i="24" a="1"/>
  <c r="B1706" i="24" a="1"/>
  <c r="M1361" i="24" a="1"/>
  <c r="M935" i="24" a="1"/>
  <c r="B1153" i="24" a="1"/>
  <c r="H703" i="24" a="1"/>
  <c r="C1523" i="24"/>
  <c r="M1199" i="24" a="1"/>
  <c r="C354" i="24"/>
  <c r="I278" i="24" a="1"/>
  <c r="B1670" i="24" a="1"/>
  <c r="H1478" i="24" a="1"/>
  <c r="D1192" i="24" a="1"/>
  <c r="B276" i="24" a="1"/>
  <c r="B614" i="24" a="1"/>
  <c r="M1470" i="24" a="1"/>
  <c r="C210" i="24"/>
  <c r="H1548" i="24" a="1"/>
  <c r="H362" i="24" a="1"/>
  <c r="I748" i="24" a="1"/>
  <c r="M720" i="24" a="1"/>
  <c r="C1310" i="24"/>
  <c r="H143" i="24" a="1"/>
  <c r="C1676" i="24"/>
  <c r="B1668" i="24" a="1"/>
  <c r="B697" i="24" a="1"/>
  <c r="B1685" i="24" a="1"/>
  <c r="I1467" i="24" a="1"/>
  <c r="M1862" i="24" a="1"/>
  <c r="B1603" i="24" a="1"/>
  <c r="B478" i="24" a="1"/>
  <c r="I1181" i="24" a="1"/>
  <c r="D1557" i="24" a="1"/>
  <c r="B951" i="24" a="1"/>
  <c r="I565" i="24" a="1"/>
  <c r="H1486" i="24" a="1"/>
  <c r="B1704" i="24" a="1"/>
  <c r="I8" i="24" a="1"/>
  <c r="B708" i="24" a="1"/>
  <c r="M777" i="24" a="1"/>
  <c r="C1377" i="24"/>
  <c r="D46" i="24" a="1"/>
  <c r="M164" i="24" a="1"/>
  <c r="H1292" i="24" a="1"/>
  <c r="B1798" i="24" a="1"/>
  <c r="C1815" i="24"/>
  <c r="I1889" i="24" a="1"/>
  <c r="H655" i="24" a="1"/>
  <c r="B1198" i="24" a="1"/>
  <c r="H1026" i="24" a="1"/>
  <c r="M628" i="24" a="1"/>
  <c r="D1533" i="24" a="1"/>
  <c r="I167" i="24" a="1"/>
  <c r="H1410" i="24" a="1"/>
  <c r="M138" i="24" a="1"/>
  <c r="I727" i="24" a="1"/>
  <c r="C217" i="24"/>
  <c r="D1569" i="24" a="1"/>
  <c r="I354" i="24" a="1"/>
  <c r="C1749" i="24"/>
  <c r="D930" i="24" a="1"/>
  <c r="H348" i="24" a="1"/>
  <c r="M1291" i="24" a="1"/>
  <c r="M235" i="24" a="1"/>
  <c r="B439" i="24" a="1"/>
  <c r="B1714" i="24" a="1"/>
  <c r="M366" i="24" a="1"/>
  <c r="D796" i="24" a="1"/>
  <c r="C1726" i="24"/>
  <c r="H127" i="24" a="1"/>
  <c r="H851" i="24" a="1"/>
  <c r="I913" i="24" a="1"/>
  <c r="I1495" i="24" a="1"/>
  <c r="B1648" i="24" a="1"/>
  <c r="M716" i="24" a="1"/>
  <c r="H1579" i="24" a="1"/>
  <c r="M1032" i="24" a="1"/>
  <c r="M488" i="24" a="1"/>
  <c r="C1327" i="24"/>
  <c r="C1434" i="24"/>
  <c r="M1067" i="24" a="1"/>
  <c r="H164" i="24" a="1"/>
  <c r="M1481" i="24" a="1"/>
  <c r="M739" i="24" a="1"/>
  <c r="I1732" i="24" a="1"/>
  <c r="B920" i="24" a="1"/>
  <c r="C594" i="24"/>
  <c r="H245" i="24" a="1"/>
  <c r="C271" i="24"/>
  <c r="I1502" i="24" a="1"/>
  <c r="D1553" i="24" a="1"/>
  <c r="M914" i="24" a="1"/>
  <c r="M1607" i="24" a="1"/>
  <c r="B759" i="24" a="1"/>
  <c r="I874" i="24" a="1"/>
  <c r="C1528" i="24"/>
  <c r="B482" i="24" a="1"/>
  <c r="M342" i="24" a="1"/>
  <c r="M860" i="24" a="1"/>
  <c r="C1841" i="24"/>
  <c r="C1395" i="24"/>
  <c r="I1280" i="24" a="1"/>
  <c r="B788" i="24" a="1"/>
  <c r="M763" i="24" a="1"/>
  <c r="M440" i="24" a="1"/>
  <c r="M1880" i="24" a="1"/>
  <c r="H1498" i="24" a="1"/>
  <c r="H209" i="24" a="1"/>
  <c r="I1628" i="24" a="1"/>
  <c r="H1424" i="24" a="1"/>
  <c r="H1707" i="24" a="1"/>
  <c r="M311" i="24" a="1"/>
  <c r="M714" i="24" a="1"/>
  <c r="I67" i="24" a="1"/>
  <c r="I1787" i="24" a="1"/>
  <c r="C1839" i="24"/>
  <c r="M399" i="24" a="1"/>
  <c r="H1737" i="24" a="1"/>
  <c r="D1554" i="24" a="1"/>
  <c r="M1473" i="24" a="1"/>
  <c r="B527" i="24" a="1"/>
  <c r="H905" i="24" a="1"/>
  <c r="C432" i="24"/>
  <c r="D1146" i="24" a="1"/>
  <c r="C706" i="24"/>
  <c r="B1681" i="24" a="1"/>
  <c r="M1033" i="24" a="1"/>
  <c r="C930" i="24"/>
  <c r="D1628" i="24" a="1"/>
  <c r="H70" i="24" a="1"/>
  <c r="C3" i="24"/>
  <c r="I1605" i="24" a="1"/>
  <c r="M1080" i="24" a="1"/>
  <c r="I1622" i="24" a="1"/>
  <c r="I1834" i="24" a="1"/>
  <c r="D1352" i="24" a="1"/>
  <c r="I832" i="24" a="1"/>
  <c r="D452" i="24" a="1"/>
  <c r="H115" i="24" a="1"/>
  <c r="B660" i="24" a="1"/>
  <c r="D1027" i="24" a="1"/>
  <c r="B459" i="24" a="1"/>
  <c r="D899" i="24" a="1"/>
  <c r="H1663" i="24" a="1"/>
  <c r="D1347" i="24" a="1"/>
  <c r="D1608" i="24" a="1"/>
  <c r="I434" i="24" a="1"/>
  <c r="D1550" i="24" a="1"/>
  <c r="C1389" i="24"/>
  <c r="C774" i="24"/>
  <c r="B1318" i="24" a="1"/>
  <c r="C1803" i="24"/>
  <c r="M1020" i="24" a="1"/>
  <c r="H924" i="24" a="1"/>
  <c r="I1400" i="24" a="1"/>
  <c r="B8" i="24" a="1"/>
  <c r="C1094" i="24"/>
  <c r="C1506" i="24"/>
  <c r="B744" i="24" a="1"/>
  <c r="M296" i="24" a="1"/>
  <c r="D22" i="24" a="1"/>
  <c r="H1093" i="24" a="1"/>
  <c r="B837" i="24" a="1"/>
  <c r="C448" i="24"/>
  <c r="B511" i="24" a="1"/>
  <c r="B1424" i="24" a="1"/>
  <c r="B1167" i="24" a="1"/>
  <c r="B1201" i="24" a="1"/>
  <c r="D15" i="24" a="1"/>
  <c r="D1532" i="24" a="1"/>
  <c r="M395" i="24" a="1"/>
  <c r="D1102" i="24" a="1"/>
  <c r="I1858" i="24" a="1"/>
  <c r="H370" i="24" a="1"/>
  <c r="I534" i="24" a="1"/>
  <c r="C1704" i="24"/>
  <c r="C653" i="24"/>
  <c r="H205" i="24" a="1"/>
  <c r="I916" i="24" a="1"/>
  <c r="H86" i="24" a="1"/>
  <c r="I1720" i="24" a="1"/>
  <c r="H1494" i="24" a="1"/>
  <c r="H1758" i="24" a="1"/>
  <c r="I814" i="24" a="1"/>
  <c r="M837" i="24" a="1"/>
  <c r="D338" i="24" a="1"/>
  <c r="H1631" i="24" a="1"/>
  <c r="C1624" i="24"/>
  <c r="M396" i="24" a="1"/>
  <c r="I1210" i="24" a="1"/>
  <c r="D1819" i="24" a="1"/>
  <c r="M748" i="24" a="1"/>
  <c r="C1823" i="24"/>
  <c r="C385" i="24"/>
  <c r="I1680" i="24" a="1"/>
  <c r="I168" i="24" a="1"/>
  <c r="I1488" i="24" a="1"/>
  <c r="B804" i="24" a="1"/>
  <c r="D1685" i="24" a="1"/>
  <c r="H1172" i="24" a="1"/>
  <c r="D1358" i="24" a="1"/>
  <c r="D1622" i="24" a="1"/>
  <c r="M867" i="24" a="1"/>
  <c r="D1476" i="24" a="1"/>
  <c r="H1641" i="24" a="1"/>
  <c r="D1184" i="24" a="1"/>
  <c r="C1702" i="24"/>
  <c r="M562" i="24" a="1"/>
  <c r="C1780" i="24"/>
  <c r="H763" i="24" a="1"/>
  <c r="H1515" i="24" a="1"/>
  <c r="B960" i="24" a="1"/>
  <c r="D1435" i="24" a="1"/>
  <c r="D58" i="24" a="1"/>
  <c r="B632" i="24" a="1"/>
  <c r="H1005" i="24" a="1"/>
  <c r="M436" i="24" a="1"/>
  <c r="I1662" i="24" a="1"/>
  <c r="D1356" i="24" a="1"/>
  <c r="I1691" i="24" a="1"/>
  <c r="H161" i="24" a="1"/>
  <c r="B1425" i="24" a="1"/>
  <c r="I1058" i="24" a="1"/>
  <c r="M613" i="24" a="1"/>
  <c r="D1675" i="24" a="1"/>
  <c r="D1338" i="24" a="1"/>
  <c r="C993" i="24"/>
  <c r="H1439" i="24" a="1"/>
  <c r="D1264" i="24" a="1"/>
  <c r="B53" i="24" a="1"/>
  <c r="B663" i="24" a="1"/>
  <c r="D1700" i="24" a="1"/>
  <c r="M1349" i="24" a="1"/>
  <c r="H410" i="24" a="1"/>
  <c r="C712" i="24"/>
  <c r="C1904" i="24"/>
  <c r="D1630" i="24" a="1"/>
  <c r="H91" i="24" a="1"/>
  <c r="D1582" i="24" a="1"/>
  <c r="H559" i="24" a="1"/>
  <c r="D386" i="24" a="1"/>
  <c r="M675" i="24" a="1"/>
  <c r="B681" i="24" a="1"/>
  <c r="B757" i="24" a="1"/>
  <c r="C1358" i="24"/>
  <c r="D882" i="24" a="1"/>
  <c r="M1047" i="24" a="1"/>
  <c r="M689" i="24" a="1"/>
  <c r="H1751" i="24" a="1"/>
  <c r="M1211" i="24" a="1"/>
  <c r="H1872" i="24" a="1"/>
  <c r="H984" i="24" a="1"/>
  <c r="M964" i="24" a="1"/>
  <c r="I1636" i="24" a="1"/>
  <c r="M1184" i="24" a="1"/>
  <c r="H664" i="24" a="1"/>
  <c r="C1379" i="24"/>
  <c r="C65" i="24"/>
  <c r="M155" i="24" a="1"/>
  <c r="D1121" i="24" a="1"/>
  <c r="I737" i="24" a="1"/>
  <c r="C470" i="24"/>
  <c r="D835" i="24" a="1"/>
  <c r="C830" i="24"/>
  <c r="C1587" i="24"/>
  <c r="C820" i="24"/>
  <c r="H1523" i="24" a="1"/>
  <c r="C384" i="24"/>
  <c r="M597" i="24" a="1"/>
  <c r="C1679" i="24"/>
  <c r="M757" i="24" a="1"/>
  <c r="D1639" i="24" a="1"/>
  <c r="I1237" i="24" a="1"/>
  <c r="I1725" i="24" a="1"/>
  <c r="B1622" i="24" a="1"/>
  <c r="C442" i="24"/>
  <c r="C1794" i="24"/>
  <c r="M317" i="24" a="1"/>
  <c r="H1178" i="24" a="1"/>
  <c r="D144" i="24" a="1"/>
  <c r="H968" i="24" a="1"/>
  <c r="I759" i="24" a="1"/>
  <c r="M146" i="24" a="1"/>
  <c r="B347" i="24" a="1"/>
  <c r="B782" i="24" a="1"/>
  <c r="H860" i="24" a="1"/>
  <c r="B1046" i="24" a="1"/>
  <c r="I1017" i="24" a="1"/>
  <c r="H1708" i="24" a="1"/>
  <c r="B66" i="24" a="1"/>
  <c r="H383" i="24" a="1"/>
  <c r="I1395" i="24" a="1"/>
  <c r="I340" i="24" a="1"/>
  <c r="I1633" i="24" a="1"/>
  <c r="B183" i="24" a="1"/>
  <c r="I1485" i="24" a="1"/>
  <c r="M1275" i="24" a="1"/>
  <c r="B866" i="24" a="1"/>
  <c r="D325" i="24" a="1"/>
  <c r="I1003" i="24" a="1"/>
  <c r="I751" i="24" a="1"/>
  <c r="M858" i="24" a="1"/>
  <c r="B1017" i="24" a="1"/>
  <c r="M696" i="24" a="1"/>
  <c r="I1268" i="24" a="1"/>
  <c r="M1044" i="24" a="1"/>
  <c r="C1439" i="24"/>
  <c r="I758" i="24" a="1"/>
  <c r="M40" i="24" a="1"/>
  <c r="C1639" i="24"/>
  <c r="D1590" i="24" a="1"/>
  <c r="I479" i="24" a="1"/>
  <c r="B27" i="24" a="1"/>
  <c r="D1478" i="24" a="1"/>
  <c r="D340" i="24" a="1"/>
  <c r="M991" i="24" a="1"/>
  <c r="B903" i="24" a="1"/>
  <c r="H807" i="24" a="1"/>
  <c r="I1481" i="24" a="1"/>
  <c r="H1767" i="24" a="1"/>
  <c r="M504" i="24" a="1"/>
  <c r="C1443" i="24"/>
  <c r="D1832" i="24" a="1"/>
  <c r="B1775" i="24" a="1"/>
  <c r="C1526" i="24"/>
  <c r="M352" i="24" a="1"/>
  <c r="C1791" i="24"/>
  <c r="H1202" i="24" a="1"/>
  <c r="H402" i="24" a="1"/>
  <c r="D528" i="24" a="1"/>
  <c r="M113" i="24" a="1"/>
  <c r="D1581" i="24" a="1"/>
  <c r="I1773" i="24" a="1"/>
  <c r="M163" i="24" a="1"/>
  <c r="C859" i="24"/>
  <c r="M370" i="24" a="1"/>
  <c r="M261" i="24" a="1"/>
  <c r="H579" i="24" a="1"/>
  <c r="H1593" i="24" a="1"/>
  <c r="I693" i="24" a="1"/>
  <c r="B106" i="24" a="1"/>
  <c r="D193" i="24" a="1"/>
  <c r="C1398" i="24"/>
  <c r="I1312" i="24" a="1"/>
  <c r="C1655" i="24"/>
  <c r="B1721" i="24" a="1"/>
  <c r="H1135" i="24" a="1"/>
  <c r="H576" i="24" a="1"/>
  <c r="M540" i="24" a="1"/>
  <c r="B1134" i="24" a="1"/>
  <c r="M1049" i="24" a="1"/>
  <c r="B1089" i="24" a="1"/>
  <c r="M474" i="24" a="1"/>
  <c r="M565" i="24" a="1"/>
  <c r="M725" i="24" a="1"/>
  <c r="C786" i="24"/>
  <c r="M1860" i="24" a="1"/>
  <c r="C151" i="24"/>
  <c r="D1384" i="24" a="1"/>
  <c r="B1614" i="24" a="1"/>
  <c r="I1498" i="24" a="1"/>
  <c r="C1471" i="24"/>
  <c r="H1335" i="24" a="1"/>
  <c r="D1825" i="24" a="1"/>
  <c r="B1028" i="24" a="1"/>
  <c r="H1075" i="24" a="1"/>
  <c r="D1380" i="24" a="1"/>
  <c r="B600" i="24" a="1"/>
  <c r="B209" i="24" a="1"/>
  <c r="C389" i="24"/>
  <c r="D1365" i="24" a="1"/>
  <c r="D500" i="24" a="1"/>
  <c r="C312" i="24"/>
  <c r="D1768" i="24" a="1"/>
  <c r="M485" i="24" a="1"/>
  <c r="M67" i="24" a="1"/>
  <c r="H1396" i="24" a="1"/>
  <c r="C1645" i="24"/>
  <c r="B1535" i="24" a="1"/>
  <c r="H1153" i="24" a="1"/>
  <c r="M1089" i="24" a="1"/>
  <c r="M64" i="24" a="1"/>
  <c r="D1710" i="24" a="1"/>
  <c r="H1324" i="24" a="1"/>
  <c r="C1521" i="24"/>
  <c r="M839" i="24" a="1"/>
  <c r="B585" i="24" a="1"/>
  <c r="B1267" i="24" a="1"/>
  <c r="C243" i="24"/>
  <c r="B993" i="24" a="1"/>
  <c r="H859" i="24" a="1"/>
  <c r="H178" i="24" a="1"/>
  <c r="I1279" i="24" a="1"/>
  <c r="I1529" i="24" a="1"/>
  <c r="C382" i="24"/>
  <c r="C468" i="24"/>
  <c r="I998" i="24" a="1"/>
  <c r="B328" i="24" a="1"/>
  <c r="M174" i="24" a="1"/>
  <c r="C716" i="24"/>
  <c r="M919" i="24" a="1"/>
  <c r="B1616" i="24" a="1"/>
  <c r="M570" i="24" a="1"/>
  <c r="D963" i="24" a="1"/>
  <c r="I265" i="24" a="1"/>
  <c r="H98" i="24" a="1"/>
  <c r="B868" i="24" a="1"/>
  <c r="B1430" i="24" a="1"/>
  <c r="H1418" i="24" a="1"/>
  <c r="I803" i="24" a="1"/>
  <c r="D1884" i="24" a="1"/>
  <c r="D1900" i="24" a="1"/>
  <c r="I635" i="24" a="1"/>
  <c r="M817" i="24" a="1"/>
  <c r="C1275" i="24"/>
  <c r="B333" i="24" a="1"/>
  <c r="I454" i="24" a="1"/>
  <c r="I1092" i="24" a="1"/>
  <c r="D1407" i="24" a="1"/>
  <c r="M444" i="24" a="1"/>
  <c r="H1260" i="24" a="1"/>
  <c r="I274" i="24" a="1"/>
  <c r="I6" i="24" a="1"/>
  <c r="C1102" i="24"/>
  <c r="H776" i="24" a="1"/>
  <c r="I1402" i="24" a="1"/>
  <c r="C12" i="24"/>
  <c r="M1198" i="24" a="1"/>
  <c r="D411" i="24" a="1"/>
  <c r="I1094" i="24" a="1"/>
  <c r="C1155" i="24"/>
  <c r="B1199" i="24" a="1"/>
  <c r="C1713" i="24"/>
  <c r="B1204" i="24" a="1"/>
  <c r="H1769" i="24" a="1"/>
  <c r="H1791" i="24" a="1"/>
  <c r="M818" i="24" a="1"/>
  <c r="I1130" i="24" a="1"/>
  <c r="I139" i="24" a="1"/>
  <c r="M997" i="24" a="1"/>
  <c r="C145" i="24"/>
  <c r="M1030" i="24" a="1"/>
  <c r="H1475" i="24" a="1"/>
  <c r="C1576" i="24"/>
  <c r="M1293" i="24" a="1"/>
  <c r="D1802" i="24" a="1"/>
  <c r="C1558" i="24"/>
  <c r="H1734" i="24" a="1"/>
  <c r="D265" i="24" a="1"/>
  <c r="I1595" i="24" a="1"/>
  <c r="H914" i="24" a="1"/>
  <c r="I138" i="24" a="1"/>
  <c r="C649" i="24"/>
  <c r="I705" i="24" a="1"/>
  <c r="C825" i="24"/>
  <c r="C1893" i="24"/>
  <c r="M386" i="24" a="1"/>
  <c r="C326" i="24"/>
  <c r="C1474" i="24"/>
  <c r="C1674" i="24"/>
  <c r="M158" i="24" a="1"/>
  <c r="M1486" i="24" a="1"/>
  <c r="D228" i="24" a="1"/>
  <c r="B1097" i="24" a="1"/>
  <c r="M1103" i="24" a="1"/>
  <c r="I1030" i="24" a="1"/>
  <c r="M1159" i="24" a="1"/>
  <c r="C1719" i="24"/>
  <c r="D681" i="24" a="1"/>
  <c r="D939" i="24" a="1"/>
  <c r="M623" i="24" a="1"/>
  <c r="B1719" i="24" a="1"/>
  <c r="I829" i="24" a="1"/>
  <c r="M588" i="24" a="1"/>
  <c r="C720" i="24"/>
  <c r="D104" i="24" a="1"/>
  <c r="H1729" i="24" a="1"/>
  <c r="M1494" i="24" a="1"/>
  <c r="C228" i="24"/>
  <c r="D1810" i="24" a="1"/>
  <c r="C1480" i="24"/>
  <c r="C1168" i="24"/>
  <c r="M888" i="24" a="1"/>
  <c r="H167" i="24" a="1"/>
  <c r="M1256" i="24" a="1"/>
  <c r="I460" i="24" a="1"/>
  <c r="D1743" i="24" a="1"/>
  <c r="M478" i="24" a="1"/>
  <c r="D582" i="24" a="1"/>
  <c r="H607" i="24" a="1"/>
  <c r="C1582" i="24"/>
  <c r="M315" i="24" a="1"/>
  <c r="C1322" i="24"/>
  <c r="I187" i="24" a="1"/>
  <c r="M257" i="24" a="1"/>
  <c r="H326" i="24" a="1"/>
  <c r="I1526" i="24" a="1"/>
  <c r="C1654" i="24"/>
  <c r="D372" i="24" a="1"/>
  <c r="B1744" i="24" a="1"/>
  <c r="H1366" i="24" a="1"/>
  <c r="D474" i="24" a="1"/>
  <c r="H1507" i="24" a="1"/>
  <c r="D1268" i="24" a="1"/>
  <c r="C1089" i="24"/>
  <c r="I1771" i="24" a="1"/>
  <c r="I1561" i="24" a="1"/>
  <c r="B1849" i="24" a="1"/>
  <c r="H731" i="24" a="1"/>
  <c r="I1430" i="24" a="1"/>
  <c r="M1387" i="24" a="1"/>
  <c r="B1436" i="24" a="1"/>
  <c r="C850" i="24"/>
  <c r="M641" i="24" a="1"/>
  <c r="C163" i="24"/>
  <c r="B930" i="24" a="1"/>
  <c r="I674" i="24" a="1"/>
  <c r="H192" i="24" a="1"/>
  <c r="M752" i="24" a="1"/>
  <c r="D1029" i="24" a="1"/>
  <c r="H426" i="24" a="1"/>
  <c r="I1415" i="24" a="1"/>
  <c r="C101" i="24"/>
  <c r="D355" i="24" a="1"/>
  <c r="D8" i="24" a="1"/>
  <c r="I934" i="24" a="1"/>
  <c r="C317" i="24"/>
  <c r="I1777" i="24" a="1"/>
  <c r="C368" i="24"/>
  <c r="D1836" i="24" a="1"/>
  <c r="C189" i="24"/>
  <c r="H796" i="24" a="1"/>
  <c r="H1015" i="24" a="1"/>
  <c r="H1810" i="24" a="1"/>
  <c r="B1671" i="24" a="1"/>
  <c r="C146" i="24"/>
  <c r="H121" i="24" a="1"/>
  <c r="M691" i="24" a="1"/>
  <c r="H810" i="24" a="1"/>
  <c r="I1299" i="24" a="1"/>
  <c r="I1727" i="24" a="1"/>
  <c r="D849" i="24" a="1"/>
  <c r="I239" i="24" a="1"/>
  <c r="M1476" i="24" a="1"/>
  <c r="C59" i="24"/>
  <c r="D1714" i="24" a="1"/>
  <c r="C1842" i="24"/>
  <c r="C1735" i="24"/>
  <c r="D1244" i="24" a="1"/>
  <c r="M639" i="24" a="1"/>
  <c r="B1052" i="24" a="1"/>
  <c r="H235" i="24" a="1"/>
  <c r="H1554" i="24" a="1"/>
  <c r="C1141" i="24"/>
  <c r="D65" i="24" a="1"/>
  <c r="C1565" i="24"/>
  <c r="H1280" i="24" a="1"/>
  <c r="C420" i="24"/>
  <c r="I51" i="24" a="1"/>
  <c r="I1074" i="24" a="1"/>
  <c r="M1238" i="24" a="1"/>
  <c r="I388" i="24" a="1"/>
  <c r="C1422" i="24"/>
  <c r="B650" i="24" a="1"/>
  <c r="B853" i="24" a="1"/>
  <c r="M60" i="24" a="1"/>
  <c r="I1052" i="24" a="1"/>
  <c r="B1556" i="24" a="1"/>
  <c r="M83" i="24" a="1"/>
  <c r="H1016" i="24" a="1"/>
  <c r="H1513" i="24" a="1"/>
  <c r="B1540" i="24" a="1"/>
  <c r="H513" i="24" a="1"/>
  <c r="C1754" i="24"/>
  <c r="C397" i="24"/>
  <c r="M509" i="24" a="1"/>
  <c r="M1014" i="24" a="1"/>
  <c r="I526" i="24" a="1"/>
  <c r="I1331" i="24" a="1"/>
  <c r="I644" i="24" a="1"/>
  <c r="M117" i="24" a="1"/>
  <c r="I1869" i="24" a="1"/>
  <c r="C1158" i="24"/>
  <c r="I1375" i="24" a="1"/>
  <c r="B1700" i="24" a="1"/>
  <c r="I302" i="24" a="1"/>
  <c r="M1376" i="24" a="1"/>
  <c r="I1644" i="24" a="1"/>
  <c r="C67" i="24"/>
  <c r="B440" i="24" a="1"/>
  <c r="M1215" i="24" a="1"/>
  <c r="H525" i="24" a="1"/>
  <c r="M234" i="24" a="1"/>
  <c r="M287" i="24" a="1"/>
  <c r="M1551" i="24" a="1"/>
  <c r="D1716" i="24" a="1"/>
  <c r="M49" i="24" a="1"/>
  <c r="M931" i="24" a="1"/>
  <c r="M855" i="24" a="1"/>
  <c r="B1811" i="24" a="1"/>
  <c r="M1483" i="24" a="1"/>
  <c r="C1742" i="24"/>
  <c r="C230" i="24"/>
  <c r="M795" i="24" a="1"/>
  <c r="D1559" i="24" a="1"/>
  <c r="H1535" i="24" a="1"/>
  <c r="H1408" i="24" a="1"/>
  <c r="D575" i="24" a="1"/>
  <c r="C1640" i="24"/>
  <c r="D215" i="24" a="1"/>
  <c r="B79" i="24" a="1"/>
  <c r="H1411" i="24" a="1"/>
  <c r="D1178" i="24" a="1"/>
  <c r="M51" i="24" a="1"/>
  <c r="B1866" i="24" a="1"/>
  <c r="C1882" i="24"/>
  <c r="D703" i="24" a="1"/>
  <c r="H652" i="24" a="1"/>
  <c r="B1460" i="24" a="1"/>
  <c r="M1325" i="24" a="1"/>
  <c r="D1594" i="24" a="1"/>
  <c r="D568" i="24" a="1"/>
  <c r="C1388" i="24"/>
  <c r="H963" i="24" a="1"/>
  <c r="D1739" i="24" a="1"/>
  <c r="C532" i="24"/>
  <c r="B237" i="24" a="1"/>
  <c r="B211" i="24" a="1"/>
  <c r="D1801" i="24" a="1"/>
  <c r="I15" i="24" a="1"/>
  <c r="M732" i="24" a="1"/>
  <c r="C481" i="24"/>
  <c r="M147" i="24" a="1"/>
  <c r="M7" i="24" a="1"/>
  <c r="C1697" i="24"/>
  <c r="M1298" i="24" a="1"/>
  <c r="M643" i="24" a="1"/>
  <c r="C1056" i="24"/>
  <c r="I873" i="24" a="1"/>
  <c r="I1188" i="24" a="1"/>
  <c r="M750" i="24" a="1"/>
  <c r="C1802" i="24"/>
  <c r="H346" i="24" a="1"/>
  <c r="D362" i="24" a="1"/>
  <c r="H1264" i="24" a="1"/>
  <c r="D1193" i="24" a="1"/>
  <c r="M133" i="24" a="1"/>
  <c r="D468" i="24" a="1"/>
  <c r="M222" i="24" a="1"/>
  <c r="I1390" i="24" a="1"/>
  <c r="C1260" i="24"/>
  <c r="I1008" i="24" a="1"/>
  <c r="B1539" i="24" a="1"/>
  <c r="H1407" i="24" a="1"/>
  <c r="I142" i="24" a="1"/>
  <c r="C1007" i="24"/>
  <c r="C1671" i="24"/>
  <c r="I1300" i="24" a="1"/>
  <c r="D1525" i="24" a="1"/>
  <c r="I1079" i="24" a="1"/>
  <c r="B889" i="24" a="1"/>
  <c r="D580" i="24" a="1"/>
  <c r="C222" i="24"/>
  <c r="H1850" i="24" a="1"/>
  <c r="B1833" i="24" a="1"/>
  <c r="I585" i="24" a="1"/>
  <c r="I287" i="24" a="1"/>
  <c r="D1360" i="24" a="1"/>
  <c r="I1751" i="24" a="1"/>
  <c r="C417" i="24"/>
  <c r="C407" i="24"/>
  <c r="C1493" i="24"/>
  <c r="D76" i="24" a="1"/>
  <c r="H979" i="24" a="1"/>
  <c r="M564" i="24" a="1"/>
  <c r="B1666" i="24" a="1"/>
  <c r="H1686" i="24" a="1"/>
  <c r="B1043" i="24" a="1"/>
  <c r="H1240" i="24" a="1"/>
  <c r="C57" i="24"/>
  <c r="H734" i="24" a="1"/>
  <c r="H1238" i="24" a="1"/>
  <c r="D546" i="24" a="1"/>
  <c r="M305" i="24" a="1"/>
  <c r="D641" i="24" a="1"/>
  <c r="H1772" i="24" a="1"/>
  <c r="M874" i="24" a="1"/>
  <c r="I1811" i="24" a="1"/>
  <c r="C197" i="24"/>
  <c r="B1288" i="24" a="1"/>
  <c r="I130" i="24" a="1"/>
  <c r="C743" i="24"/>
  <c r="H624" i="24" a="1"/>
  <c r="I111" i="24" a="1"/>
  <c r="C906" i="24"/>
  <c r="I1833" i="24" a="1"/>
  <c r="I1881" i="24" a="1"/>
  <c r="M573" i="24" a="1"/>
  <c r="I1880" i="24" a="1"/>
  <c r="I1456" i="24" a="1"/>
  <c r="B601" i="24" a="1"/>
  <c r="D289" i="24" a="1"/>
  <c r="H1665" i="24" a="1"/>
  <c r="H155" i="24" a="1"/>
  <c r="D519" i="24" a="1"/>
  <c r="C1589" i="24"/>
  <c r="I109" i="24" a="1"/>
  <c r="C1790" i="24"/>
  <c r="C1356" i="24"/>
  <c r="D1249" i="24" a="1"/>
  <c r="H1445" i="24" a="1"/>
  <c r="C1616" i="24"/>
  <c r="H1078" i="24" a="1"/>
  <c r="C558" i="24"/>
  <c r="B525" i="24" a="1"/>
  <c r="B909" i="24" a="1"/>
  <c r="C1076" i="24"/>
  <c r="C670" i="24"/>
  <c r="I749" i="24" a="1"/>
  <c r="H1860" i="24" a="1"/>
  <c r="B1401" i="24" a="1"/>
  <c r="M1052" i="24" a="1"/>
  <c r="B266" i="24" a="1"/>
  <c r="B813" i="24" a="1"/>
  <c r="C113" i="24"/>
  <c r="H1571" i="24" a="1"/>
  <c r="M1294" i="24" a="1"/>
  <c r="D1597" i="24" a="1"/>
  <c r="D437" i="24" a="1"/>
  <c r="D1287" i="24" a="1"/>
  <c r="M1120" i="24" a="1"/>
  <c r="I756" i="24" a="1"/>
  <c r="D902" i="24" a="1"/>
  <c r="I1483" i="24" a="1"/>
  <c r="C1707" i="24"/>
  <c r="M1320" i="24" a="1"/>
  <c r="H1194" i="24" a="1"/>
  <c r="B61" i="24" a="1"/>
  <c r="C208" i="24"/>
  <c r="D855" i="24" a="1"/>
  <c r="I1301" i="24" a="1"/>
  <c r="H1599" i="24" a="1"/>
  <c r="D1891" i="24" a="1"/>
  <c r="D1867" i="24" a="1"/>
  <c r="D1682" i="24" a="1"/>
  <c r="I1056" i="24" a="1"/>
  <c r="D867" i="24" a="1"/>
  <c r="C102" i="24"/>
  <c r="C1071" i="24"/>
  <c r="I1790" i="24" a="1"/>
  <c r="D360" i="24" a="1"/>
  <c r="I1352" i="24" a="1"/>
  <c r="D1666" i="24" a="1"/>
  <c r="B1686" i="24" a="1"/>
  <c r="B1151" i="24" a="1"/>
  <c r="M1443" i="24" a="1"/>
  <c r="M1265" i="24" a="1"/>
  <c r="I1823" i="24" a="1"/>
  <c r="I827" i="24" a="1"/>
  <c r="I1687" i="24" a="1"/>
  <c r="M924" i="24" a="1"/>
  <c r="C1727" i="24"/>
  <c r="I301" i="24" a="1"/>
  <c r="M1136" i="24" a="1"/>
  <c r="C109" i="24"/>
  <c r="M1133" i="24" a="1"/>
  <c r="M592" i="24" a="1"/>
  <c r="M1868" i="24" a="1"/>
  <c r="C1570" i="24"/>
  <c r="M956" i="24" a="1"/>
  <c r="I1041" i="24" a="1"/>
  <c r="D1430" i="24" a="1"/>
  <c r="I1800" i="24" a="1"/>
  <c r="B260" i="24" a="1"/>
  <c r="D1369" i="24" a="1"/>
  <c r="C1225" i="24"/>
  <c r="B1655" i="24" a="1"/>
  <c r="I1564" i="24" a="1"/>
  <c r="D800" i="24" a="1"/>
  <c r="D1660" i="24" a="1"/>
  <c r="C1539" i="24"/>
  <c r="M1263" i="24" a="1"/>
  <c r="M1574" i="24" a="1"/>
  <c r="H392" i="24" a="1"/>
  <c r="B778" i="24" a="1"/>
  <c r="I840" i="24" a="1"/>
  <c r="B611" i="24" a="1"/>
  <c r="I261" i="24" a="1"/>
  <c r="D707" i="24" a="1"/>
  <c r="B1286" i="24" a="1"/>
  <c r="H1343" i="24" a="1"/>
  <c r="H1551" i="24" a="1"/>
  <c r="I986" i="24" a="1"/>
  <c r="D1631" i="24" a="1"/>
  <c r="H276" i="24" a="1"/>
  <c r="D1731" i="24" a="1"/>
  <c r="C285" i="24"/>
  <c r="M263" i="24" a="1"/>
  <c r="D82" i="24" a="1"/>
  <c r="D905" i="24" a="1"/>
  <c r="D442" i="24" a="1"/>
  <c r="M1438" i="24" a="1"/>
  <c r="I1813" i="24" a="1"/>
  <c r="M664" i="24" a="1"/>
  <c r="D908" i="24" a="1"/>
  <c r="C1764" i="24"/>
  <c r="H1899" i="24" a="1"/>
  <c r="I767" i="24" a="1"/>
  <c r="D1515" i="24" a="1"/>
  <c r="I593" i="24" a="1"/>
  <c r="B69" i="24" a="1"/>
  <c r="B58" i="24" a="1"/>
  <c r="M698" i="24" a="1"/>
  <c r="I1283" i="24" a="1"/>
  <c r="M1266" i="24" a="1"/>
  <c r="C1724" i="24"/>
  <c r="M974" i="24" a="1"/>
  <c r="C890" i="24"/>
  <c r="M1046" i="24" a="1"/>
  <c r="C369" i="24"/>
  <c r="H1371" i="24" a="1"/>
  <c r="D181" i="24" a="1"/>
  <c r="M878" i="24" a="1"/>
  <c r="H1057" i="24" a="1"/>
  <c r="C1295" i="24"/>
  <c r="I41" i="24" a="1"/>
  <c r="M238" i="24" a="1"/>
  <c r="H1802" i="24" a="1"/>
  <c r="I1382" i="24" a="1"/>
  <c r="I1712" i="24" a="1"/>
  <c r="D1593" i="24" a="1"/>
  <c r="H1862" i="24" a="1"/>
  <c r="B840" i="24" a="1"/>
  <c r="H1354" i="24" a="1"/>
  <c r="C555" i="24"/>
  <c r="C1710" i="24"/>
  <c r="M526" i="24" a="1"/>
  <c r="C1367" i="24"/>
  <c r="C1596" i="24"/>
  <c r="C701" i="24"/>
  <c r="M1501" i="24" a="1"/>
  <c r="I1772" i="24" a="1"/>
  <c r="M308" i="24" a="1"/>
  <c r="M1048" i="24" a="1"/>
  <c r="H1489" i="24" a="1"/>
  <c r="M1242" i="24" a="1"/>
  <c r="I1438" i="24" a="1"/>
  <c r="I1392" i="24" a="1"/>
  <c r="I1494" i="24" a="1"/>
  <c r="M1182" i="24" a="1"/>
  <c r="D363" i="24" a="1"/>
  <c r="M556" i="24" a="1"/>
  <c r="H1687" i="24" a="1"/>
  <c r="B1736" i="24" a="1"/>
  <c r="D1562" i="24" a="1"/>
  <c r="M377" i="24" a="1"/>
  <c r="H1712" i="24" a="1"/>
  <c r="B1697" i="24" a="1"/>
  <c r="I1723" i="24" a="1"/>
  <c r="H408" i="24" a="1"/>
  <c r="M1167" i="24" a="1"/>
  <c r="M1542" i="24" a="1"/>
  <c r="H1752" i="24" a="1"/>
  <c r="H448" i="24" a="1"/>
  <c r="D864" i="24" a="1"/>
  <c r="M32" i="24" a="1"/>
  <c r="D1555" i="24" a="1"/>
  <c r="M781" i="24" a="1"/>
  <c r="B522" i="24" a="1"/>
  <c r="I28" i="24" a="1"/>
  <c r="M329" i="24" a="1"/>
  <c r="H1395" i="24" a="1"/>
  <c r="C195" i="24"/>
  <c r="C79" i="24"/>
  <c r="B337" i="24" a="1"/>
  <c r="M967" i="24" a="1"/>
  <c r="C1096" i="24"/>
  <c r="I1600" i="24" a="1"/>
  <c r="M12" i="24" a="1"/>
  <c r="D897" i="24" a="1"/>
  <c r="I1631" i="24" a="1"/>
  <c r="B251" i="24" a="1"/>
  <c r="D410" i="24" a="1"/>
  <c r="M391" i="24" a="1"/>
  <c r="H1680" i="24" a="1"/>
  <c r="M104" i="24" a="1"/>
  <c r="M786" i="24" a="1"/>
  <c r="M1042" i="24" a="1"/>
  <c r="C1249" i="24"/>
  <c r="D1432" i="24" a="1"/>
  <c r="H1672" i="24" a="1"/>
  <c r="D1316" i="24" a="1"/>
  <c r="D1906" i="24" a="1"/>
  <c r="B645" i="24" a="1"/>
  <c r="D540" i="24" a="1"/>
  <c r="D171" i="24" a="1"/>
  <c r="B365" i="24" a="1"/>
  <c r="H467" i="24" a="1"/>
  <c r="D1524" i="24" a="1"/>
  <c r="H1283" i="24" a="1"/>
  <c r="I1625" i="24" a="1"/>
  <c r="M767" i="24" a="1"/>
  <c r="M975" i="24" a="1"/>
  <c r="H299" i="24" a="1"/>
  <c r="D1160" i="24" a="1"/>
  <c r="C1895" i="24"/>
  <c r="B381" i="24" a="1"/>
  <c r="D1232" i="24" a="1"/>
  <c r="B1878" i="24" a="1"/>
  <c r="C685" i="24"/>
  <c r="M761" i="24" a="1"/>
  <c r="B801" i="24" a="1"/>
  <c r="C843" i="24"/>
  <c r="M922" i="24" a="1"/>
  <c r="B1279" i="24" a="1"/>
  <c r="C1514" i="24"/>
  <c r="I1153" i="24" a="1"/>
  <c r="I97" i="24" a="1"/>
  <c r="I1614" i="24" a="1"/>
  <c r="C1630" i="24"/>
  <c r="H737" i="24" a="1"/>
  <c r="C1571" i="24"/>
  <c r="I1836" i="24" a="1"/>
  <c r="C1554" i="24"/>
  <c r="B1296" i="24" a="1"/>
  <c r="C947" i="24"/>
  <c r="D1496" i="24" a="1"/>
  <c r="I1762" i="24" a="1"/>
  <c r="D366" i="24" a="1"/>
  <c r="D1527" i="24" a="1"/>
  <c r="M1078" i="24" a="1"/>
  <c r="B304" i="24" a="1"/>
  <c r="B1202" i="24" a="1"/>
  <c r="C688" i="24"/>
  <c r="H602" i="24" a="1"/>
  <c r="B187" i="24" a="1"/>
  <c r="D212" i="24" a="1"/>
  <c r="D601" i="24" a="1"/>
  <c r="D968" i="24" a="1"/>
  <c r="M415" i="24" a="1"/>
  <c r="C1769" i="24"/>
  <c r="D1808" i="24" a="1"/>
  <c r="H511" i="24" a="1"/>
  <c r="B1669" i="24" a="1"/>
  <c r="B1713" i="24" a="1"/>
  <c r="D1547" i="24" a="1"/>
  <c r="I1070" i="24" a="1"/>
  <c r="H1362" i="24" a="1"/>
  <c r="H1311" i="24" a="1"/>
  <c r="I1839" i="24" a="1"/>
  <c r="I1796" i="24" a="1"/>
  <c r="D1516" i="24" a="1"/>
  <c r="M1156" i="24" a="1"/>
  <c r="M1348" i="24" a="1"/>
  <c r="D1451" i="24" a="1"/>
  <c r="C1105" i="24"/>
  <c r="D187" i="24" a="1"/>
  <c r="B1640" i="24" a="1"/>
  <c r="M604" i="24" a="1"/>
  <c r="H1902" i="24" a="1"/>
  <c r="D1577" i="24" a="1"/>
  <c r="M1876" i="24" a="1"/>
  <c r="D1539" i="24" a="1"/>
  <c r="M472" i="24" a="1"/>
  <c r="H680" i="24" a="1"/>
  <c r="H1453" i="24" a="1"/>
  <c r="M469" i="24" a="1"/>
  <c r="D1795" i="24" a="1"/>
  <c r="D1646" i="24" a="1"/>
  <c r="D1814" i="24" a="1"/>
  <c r="C1346" i="24"/>
  <c r="M854" i="24" a="1"/>
  <c r="B950" i="24" a="1"/>
  <c r="H1477" i="24" a="1"/>
  <c r="H320" i="24" a="1"/>
  <c r="C755" i="24"/>
  <c r="C1830" i="24"/>
  <c r="M883" i="24" a="1"/>
  <c r="B1289" i="24" a="1"/>
  <c r="B64" i="24" a="1"/>
  <c r="D1362" i="24" a="1"/>
  <c r="M424" i="24" a="1"/>
  <c r="C757" i="24"/>
  <c r="H1719" i="24" a="1"/>
  <c r="M75" i="24" a="1"/>
  <c r="M840" i="24" a="1"/>
  <c r="M1515" i="24" a="1"/>
  <c r="M587" i="24" a="1"/>
  <c r="B252" i="24" a="1"/>
  <c r="C776" i="24"/>
  <c r="I1004" i="24" a="1"/>
  <c r="H1389" i="24" a="1"/>
  <c r="M1340" i="24" a="1"/>
  <c r="M831" i="24" a="1"/>
  <c r="M409" i="24" a="1"/>
  <c r="D1619" i="24" a="1"/>
  <c r="B1353" i="24" a="1"/>
  <c r="I1256" i="24" a="1"/>
  <c r="D310" i="24" a="1"/>
  <c r="M633" i="24" a="1"/>
  <c r="I557" i="24" a="1"/>
  <c r="D1738" i="24" a="1"/>
  <c r="D868" i="24" a="1"/>
  <c r="C1433" i="24"/>
  <c r="M364" i="24" a="1"/>
  <c r="C308" i="24"/>
  <c r="H1309" i="24" a="1"/>
  <c r="H96" i="24" a="1"/>
  <c r="I1703" i="24" a="1"/>
  <c r="C1804" i="24"/>
  <c r="M1126" i="24" a="1"/>
  <c r="H111" i="24" a="1"/>
  <c r="M1179" i="24" a="1"/>
  <c r="H1533" i="24" a="1"/>
  <c r="B1106" i="24" a="1"/>
  <c r="D848" i="24" a="1"/>
  <c r="M475" i="24" a="1"/>
  <c r="M853" i="24" a="1"/>
  <c r="C604" i="24"/>
  <c r="I132" i="24" a="1"/>
  <c r="C1662" i="24"/>
  <c r="I850" i="24" a="1"/>
  <c r="M1277" i="24" a="1"/>
  <c r="I206" i="24" a="1"/>
  <c r="B78" i="24" a="1"/>
  <c r="I1816" i="24" a="1"/>
  <c r="I921" i="24" a="1"/>
  <c r="C1672" i="24"/>
  <c r="B222" i="24" a="1"/>
  <c r="D629" i="24" a="1"/>
  <c r="C540" i="24"/>
  <c r="B373" i="24" a="1"/>
  <c r="D1787" i="24" a="1"/>
  <c r="H1430" i="24" a="1"/>
  <c r="I1309" i="24" a="1"/>
  <c r="M231" i="24" a="1"/>
  <c r="H673" i="24" a="1"/>
  <c r="M1139" i="24" a="1"/>
  <c r="M1520" i="24" a="1"/>
  <c r="H399" i="24" a="1"/>
  <c r="D55" i="24" a="1"/>
  <c r="H951" i="24" a="1"/>
  <c r="C242" i="24"/>
  <c r="M1632" i="24" a="1"/>
  <c r="D1258" i="24" a="1"/>
  <c r="H1413" i="24" a="1"/>
  <c r="I1425" i="24" a="1"/>
  <c r="H1365" i="24" a="1"/>
  <c r="H459" i="24" a="1"/>
  <c r="M249" i="24" a="1"/>
  <c r="M1611" i="24" a="1"/>
  <c r="H1600" i="24" a="1"/>
  <c r="M1162" i="24" a="1"/>
  <c r="H1559" i="24" a="1"/>
  <c r="M1412" i="24" a="1"/>
  <c r="M787" i="24" a="1"/>
  <c r="D872" i="24" a="1"/>
  <c r="D87" i="24" a="1"/>
  <c r="C1198" i="24"/>
  <c r="D1142" i="24" a="1"/>
  <c r="M132" i="24" a="1"/>
  <c r="C1585" i="24"/>
  <c r="C804" i="24"/>
  <c r="H1856" i="24" a="1"/>
  <c r="H1210" i="24" a="1"/>
  <c r="M810" i="24" a="1"/>
  <c r="C1525" i="24"/>
  <c r="D1837" i="24" a="1"/>
  <c r="H442" i="24" a="1"/>
  <c r="D1689" i="24" a="1"/>
  <c r="M81" i="24" a="1"/>
  <c r="M1171" i="24" a="1"/>
  <c r="H1897" i="24" a="1"/>
  <c r="M958" i="24" a="1"/>
  <c r="C278" i="24"/>
  <c r="H1167" i="24" a="1"/>
  <c r="M712" i="24" a="1"/>
  <c r="H1353" i="24" a="1"/>
  <c r="H985" i="24" a="1"/>
  <c r="I1506" i="24" a="1"/>
  <c r="I942" i="24" a="1"/>
  <c r="D458" i="24" a="1"/>
  <c r="I1676" i="24" a="1"/>
  <c r="D1642" i="24" a="1"/>
  <c r="I304" i="24" a="1"/>
  <c r="B696" i="24" a="1"/>
  <c r="I1664" i="24" a="1"/>
  <c r="M176" i="24" a="1"/>
  <c r="H1881" i="24" a="1"/>
  <c r="M808" i="24" a="1"/>
  <c r="M1644" i="24" a="1"/>
  <c r="H1348" i="24" a="1"/>
  <c r="M220" i="24" a="1"/>
  <c r="C949" i="24"/>
  <c r="D1461" i="24" a="1"/>
  <c r="H1892" i="24" a="1"/>
  <c r="C554" i="24"/>
  <c r="C634" i="24"/>
  <c r="B659" i="24" a="1"/>
  <c r="C1874" i="24"/>
  <c r="I494" i="24" a="1"/>
  <c r="M1244" i="24" a="1"/>
  <c r="C1762" i="24"/>
  <c r="D1794" i="24" a="1"/>
  <c r="I1742" i="24" a="1"/>
  <c r="D673" i="24" a="1"/>
  <c r="M255" i="24" a="1"/>
  <c r="I1364" i="24" a="1"/>
  <c r="B314" i="24" a="1"/>
  <c r="M1196" i="24" a="1"/>
  <c r="D251" i="24" a="1"/>
  <c r="I1333" i="24" a="1"/>
  <c r="H412" i="24" a="1"/>
  <c r="M746" i="24" a="1"/>
  <c r="B995" i="24" a="1"/>
  <c r="D260" i="24" a="1"/>
  <c r="C1031" i="24"/>
  <c r="D1653" i="24" a="1"/>
  <c r="I1033" i="24" a="1"/>
  <c r="H1562" i="24" a="1"/>
  <c r="C1564" i="24"/>
  <c r="I1501" i="24" a="1"/>
  <c r="M1591" i="24" a="1"/>
  <c r="D1761" i="24" a="1"/>
  <c r="C132" i="24"/>
  <c r="M775" i="24" a="1"/>
  <c r="C629" i="24"/>
  <c r="M1364" i="24" a="1"/>
  <c r="C920" i="24"/>
  <c r="B913" i="24" a="1"/>
  <c r="C1840" i="24"/>
  <c r="C953" i="24"/>
  <c r="C1090" i="24"/>
  <c r="C896" i="24"/>
  <c r="I1758" i="24" a="1"/>
  <c r="C22" i="24"/>
  <c r="C991" i="24"/>
  <c r="I126" i="24" a="1"/>
  <c r="C250" i="24"/>
  <c r="H1741" i="24" a="1"/>
  <c r="B16" i="24" a="1"/>
  <c r="C447" i="24"/>
  <c r="C1597" i="24"/>
  <c r="C1775" i="24"/>
  <c r="D1703" i="24" a="1"/>
  <c r="I712" i="24" a="1"/>
  <c r="H1566" i="24" a="1"/>
  <c r="C835" i="24"/>
  <c r="D1510" i="24" a="1"/>
  <c r="H1846" i="24" a="1"/>
  <c r="M1225" i="24" a="1"/>
  <c r="C175" i="24"/>
  <c r="H1162" i="24" a="1"/>
  <c r="D1482" i="24" a="1"/>
  <c r="M42" i="24" a="1"/>
  <c r="D1774" i="24" a="1"/>
  <c r="C1905" i="24"/>
  <c r="H83" i="24" a="1"/>
  <c r="D1491" i="24" a="1"/>
  <c r="B996" i="24" a="1"/>
  <c r="M1000" i="24" a="1"/>
  <c r="H6" i="24" a="1"/>
  <c r="H1255" i="24" a="1"/>
  <c r="I169" i="24" a="1"/>
  <c r="C1755" i="24"/>
  <c r="M1592" i="24" a="1"/>
  <c r="D1057" i="24" a="1"/>
  <c r="I1389" i="24" a="1"/>
  <c r="I516" i="24" a="1"/>
  <c r="C441" i="24"/>
  <c r="C1355" i="24"/>
  <c r="D1876" i="24" a="1"/>
  <c r="B530" i="24" a="1"/>
  <c r="D622" i="24" a="1"/>
  <c r="C529" i="24"/>
  <c r="B1295" i="24" a="1"/>
  <c r="D722" i="24" a="1"/>
  <c r="I1360" i="24" a="1"/>
  <c r="D1617" i="24" a="1"/>
  <c r="B1882" i="24" a="1"/>
  <c r="M1137" i="24" a="1"/>
  <c r="B86" i="24" a="1"/>
  <c r="H1764" i="24" a="1"/>
  <c r="H1118" i="24" a="1"/>
  <c r="M206" i="24" a="1"/>
  <c r="I99" i="24" a="1"/>
  <c r="B549" i="24" a="1"/>
  <c r="I480" i="24" a="1"/>
  <c r="M1258" i="24" a="1"/>
  <c r="I965" i="24" a="1"/>
  <c r="C492" i="24"/>
  <c r="B9" i="24" a="1"/>
  <c r="H1134" i="24" a="1"/>
  <c r="B726" i="24" a="1"/>
  <c r="M653" i="24" a="1"/>
  <c r="M566" i="24" a="1"/>
  <c r="H1688" i="24" a="1"/>
  <c r="H17" i="24" a="1"/>
  <c r="D1659" i="24" a="1"/>
  <c r="H720" i="24" a="1"/>
  <c r="C257" i="24"/>
  <c r="H1610" i="24" a="1"/>
  <c r="C1311" i="24"/>
  <c r="D680" i="24" a="1"/>
  <c r="C1665" i="24"/>
  <c r="D1475" i="24" a="1"/>
  <c r="H215" i="24" a="1"/>
  <c r="C1494" i="24"/>
  <c r="B839" i="24" a="1"/>
  <c r="M354" i="24" a="1"/>
  <c r="M495" i="24" a="1"/>
  <c r="D218" i="24" a="1"/>
  <c r="M1146" i="24" a="1"/>
  <c r="H1690" i="24" a="1"/>
  <c r="M1531" i="24" a="1"/>
  <c r="C1801" i="24"/>
  <c r="M1642" i="24" a="1"/>
  <c r="I1821" i="24" a="1"/>
  <c r="M833" i="24" a="1"/>
  <c r="I1532" i="24" a="1"/>
  <c r="B338" i="24" a="1"/>
  <c r="B1892" i="24" a="1"/>
  <c r="M1475" i="24" a="1"/>
  <c r="B1233" i="24" a="1"/>
  <c r="D1392" i="24" a="1"/>
  <c r="H611" i="24" a="1"/>
  <c r="M615" i="24" a="1"/>
  <c r="C570" i="24"/>
  <c r="B88" i="24" a="1"/>
  <c r="I1429" i="24" a="1"/>
  <c r="C1902" i="24"/>
  <c r="I1484" i="24" a="1"/>
  <c r="D1116" i="24" a="1"/>
  <c r="H44" i="24" a="1"/>
  <c r="M766" i="24" a="1"/>
  <c r="I1778" i="24" a="1"/>
  <c r="M63" i="24" a="1"/>
  <c r="M1559" i="24" a="1"/>
  <c r="D221" i="24" a="1"/>
  <c r="M492" i="24" a="1"/>
  <c r="M1232" i="24" a="1"/>
  <c r="M374" i="24" a="1"/>
  <c r="M658" i="24" a="1"/>
  <c r="M581" i="24" a="1"/>
  <c r="M1054" i="24" a="1"/>
  <c r="M356" i="24" a="1"/>
  <c r="B1590" i="24" a="1"/>
  <c r="M139" i="24" a="1"/>
  <c r="C486" i="24"/>
  <c r="D1332" i="24" a="1"/>
  <c r="C1137" i="24"/>
  <c r="C1876" i="24"/>
  <c r="I1679" i="24" a="1"/>
  <c r="B1480" i="24" a="1"/>
  <c r="M619" i="24" a="1"/>
  <c r="I216" i="24" a="1"/>
  <c r="B630" i="24" a="1"/>
  <c r="I1682" i="24" a="1"/>
  <c r="M799" i="24" a="1"/>
  <c r="H1474" i="24" a="1"/>
  <c r="D1672" i="24" a="1"/>
  <c r="C408" i="24"/>
  <c r="B1155" i="24" a="1"/>
  <c r="C578" i="24"/>
  <c r="M106" i="24" a="1"/>
  <c r="C1562" i="24"/>
  <c r="B1170" i="24" a="1"/>
  <c r="H1885" i="24" a="1"/>
  <c r="I1661" i="24" a="1"/>
  <c r="M1110" i="24" a="1"/>
  <c r="M962" i="24" a="1"/>
  <c r="I1407" i="24" a="1"/>
  <c r="M355" i="24" a="1"/>
  <c r="D1324" i="24" a="1"/>
  <c r="C98" i="24"/>
  <c r="C81" i="24"/>
  <c r="M1556" i="24" a="1"/>
  <c r="M1268" i="24" a="1"/>
  <c r="M765" i="24" a="1"/>
  <c r="H1340" i="24" a="1"/>
  <c r="B1013" i="24" a="1"/>
  <c r="C849" i="24"/>
  <c r="B1679" i="24" a="1"/>
  <c r="B1619" i="24" a="1"/>
  <c r="B1429" i="24" a="1"/>
  <c r="I72" i="24" a="1"/>
  <c r="I188" i="24" a="1"/>
  <c r="C1387" i="24"/>
  <c r="C306" i="24"/>
  <c r="B1829" i="24" a="1"/>
  <c r="D1519" i="24" a="1"/>
  <c r="M1281" i="24" a="1"/>
  <c r="M304" i="24" a="1"/>
  <c r="I392" i="24" a="1"/>
  <c r="B352" i="24" a="1"/>
  <c r="M1557" i="24" a="1"/>
  <c r="C1690" i="24"/>
  <c r="M1606" i="24" a="1"/>
  <c r="I1276" i="24" a="1"/>
  <c r="I1606" i="24" a="1"/>
  <c r="I1486" i="24" a="1"/>
  <c r="B625" i="24" a="1"/>
  <c r="I1368" i="24" a="1"/>
  <c r="B1663" i="24" a="1"/>
  <c r="D1163" i="24" a="1"/>
  <c r="I232" i="24" a="1"/>
  <c r="D1370" i="24" a="1"/>
  <c r="M670" i="24" a="1"/>
  <c r="H1884" i="24" a="1"/>
  <c r="D300" i="24" a="1"/>
  <c r="H1369" i="24" a="1"/>
  <c r="C75" i="24"/>
  <c r="C1163" i="24"/>
  <c r="H1183" i="24" a="1"/>
  <c r="D942" i="24" a="1"/>
  <c r="B887" i="24" a="1"/>
  <c r="B1612" i="24" a="1"/>
  <c r="B509" i="24" a="1"/>
  <c r="H1147" i="24" a="1"/>
  <c r="C675" i="24"/>
  <c r="M330" i="24" a="1"/>
  <c r="B1091" i="24" a="1"/>
  <c r="C985" i="24"/>
  <c r="D1342" i="24" a="1"/>
  <c r="B1450" i="24" a="1"/>
  <c r="I1740" i="24" a="1"/>
  <c r="H482" i="24" a="1"/>
  <c r="M897" i="24" a="1"/>
  <c r="D479" i="24" a="1"/>
  <c r="D767" i="24" a="1"/>
  <c r="C1154" i="24"/>
  <c r="I963" i="24" a="1"/>
  <c r="C1566" i="24"/>
  <c r="D996" i="24" a="1"/>
  <c r="H1900" i="24" a="1"/>
  <c r="B1884" i="24" a="1"/>
  <c r="C421" i="24"/>
  <c r="B1246" i="24" a="1"/>
  <c r="B1305" i="24" a="1"/>
  <c r="M1102" i="24" a="1"/>
  <c r="C310" i="24"/>
  <c r="C1603" i="24"/>
  <c r="D1518" i="24" a="1"/>
  <c r="I1010" i="24" a="1"/>
  <c r="D1654" i="24" a="1"/>
  <c r="M934" i="24" a="1"/>
  <c r="I1587" i="24" a="1"/>
  <c r="D1718" i="24" a="1"/>
  <c r="D1823" i="24" a="1"/>
  <c r="I1802" i="24" a="1"/>
  <c r="D1640" i="24" a="1"/>
  <c r="M142" i="24" a="1"/>
  <c r="C183" i="24"/>
  <c r="M471" i="24" a="1"/>
  <c r="D376" i="24" a="1"/>
  <c r="B1222" i="24" a="1"/>
  <c r="D1737" i="24" a="1"/>
  <c r="I709" i="24" a="1"/>
  <c r="M1429" i="24" a="1"/>
  <c r="M1594" i="24" a="1"/>
  <c r="I351" i="24" a="1"/>
  <c r="M954" i="24" a="1"/>
  <c r="C435" i="24"/>
  <c r="I647" i="24" a="1"/>
  <c r="C502" i="24"/>
  <c r="M357" i="24" a="1"/>
  <c r="I1770" i="24" a="1"/>
  <c r="C1659" i="24"/>
  <c r="C234" i="24"/>
  <c r="D661" i="24" a="1"/>
  <c r="B1509" i="24" a="1"/>
  <c r="I684" i="24" a="1"/>
  <c r="B1116" i="24" a="1"/>
  <c r="C1394" i="24"/>
  <c r="M516" i="24" a="1"/>
  <c r="I123" i="24" a="1"/>
  <c r="M1287" i="24" a="1"/>
  <c r="M253" i="24" a="1"/>
  <c r="I1882" i="24" a="1"/>
  <c r="H1455" i="24" a="1"/>
  <c r="I589" i="24" a="1"/>
  <c r="I1013" i="24" a="1"/>
  <c r="H569" i="24" a="1"/>
  <c r="I1884" i="24" a="1"/>
  <c r="H1370" i="24" a="1"/>
  <c r="D1895" i="24" a="1"/>
  <c r="H1647" i="24" a="1"/>
  <c r="C1617" i="24"/>
  <c r="B220" i="24" a="1"/>
  <c r="B578" i="24" a="1"/>
  <c r="I1513" i="24" a="1"/>
  <c r="D1420" i="24" a="1"/>
  <c r="D424" i="24" a="1"/>
  <c r="M996" i="24" a="1"/>
  <c r="D211" i="24" a="1"/>
  <c r="C1743" i="24"/>
  <c r="B335" i="24" a="1"/>
  <c r="H1671" i="24" a="1"/>
  <c r="I112" i="24" a="1"/>
  <c r="M1458" i="24" a="1"/>
  <c r="B1857" i="24" a="1"/>
  <c r="I1597" i="24" a="1"/>
  <c r="I562" i="24" a="1"/>
  <c r="I881" i="24" a="1"/>
  <c r="I1480" i="24" a="1"/>
  <c r="C374" i="24"/>
  <c r="M791" i="24" a="1"/>
  <c r="M527" i="24" a="1"/>
  <c r="M1900" i="24" a="1"/>
  <c r="C164" i="24"/>
  <c r="D112" i="24" a="1"/>
  <c r="I1433" i="24" a="1"/>
  <c r="I26" i="24" a="1"/>
  <c r="I991" i="24" a="1"/>
  <c r="B470" i="24" a="1"/>
  <c r="B938" i="24" a="1"/>
  <c r="C1718" i="24"/>
  <c r="I1767" i="24" a="1"/>
  <c r="D757" i="24" a="1"/>
  <c r="C500" i="24"/>
  <c r="B247" i="24" a="1"/>
  <c r="H19" i="24" a="1"/>
  <c r="I629" i="24" a="1"/>
  <c r="M62" i="24" a="1"/>
  <c r="M1316" i="24" a="1"/>
  <c r="C1678" i="24"/>
  <c r="M610" i="24" a="1"/>
  <c r="D692" i="24" a="1"/>
  <c r="C1003" i="24"/>
  <c r="B1022" i="24" a="1"/>
  <c r="H1070" i="24" a="1"/>
  <c r="H1744" i="24" a="1"/>
  <c r="M893" i="24" a="1"/>
  <c r="H1532" i="24" a="1"/>
  <c r="C1622" i="24"/>
  <c r="H1639" i="24" a="1"/>
  <c r="C1691" i="24"/>
  <c r="M1906" i="24" a="1"/>
  <c r="B244" i="24" a="1"/>
  <c r="I1274" i="24" a="1"/>
  <c r="D892" i="24" a="1"/>
  <c r="H154" i="24" a="1"/>
  <c r="H1355" i="24" a="1"/>
  <c r="M1636" i="24" a="1"/>
  <c r="I1034" i="24" a="1"/>
  <c r="M1321" i="24" a="1"/>
  <c r="C188" i="24"/>
  <c r="D466" i="24" a="1"/>
  <c r="D1477" i="24" a="1"/>
  <c r="M5" i="24" a="1"/>
  <c r="D66" i="24" a="1"/>
  <c r="M143" i="24" a="1"/>
  <c r="B1863" i="24" a="1"/>
  <c r="H1517" i="24" a="1"/>
  <c r="I308" i="24" a="1"/>
  <c r="I1191" i="24" a="1"/>
  <c r="D1183" i="24" a="1"/>
  <c r="H122" i="24" a="1"/>
  <c r="C373" i="24"/>
  <c r="M244" i="24" a="1"/>
  <c r="M256" i="24" a="1"/>
  <c r="I323" i="24" a="1"/>
  <c r="M202" i="24" a="1"/>
  <c r="I1053" i="24" a="1"/>
  <c r="D1821" i="24" a="1"/>
  <c r="C575" i="24"/>
  <c r="M402" i="24" a="1"/>
  <c r="I664" i="24" a="1"/>
  <c r="I520" i="24" a="1"/>
  <c r="B921" i="24" a="1"/>
  <c r="M654" i="24" a="1"/>
  <c r="C1849" i="24"/>
  <c r="I541" i="24" a="1"/>
  <c r="H722" i="24" a="1"/>
  <c r="M432" i="24" a="1"/>
  <c r="D1413" i="24" a="1"/>
  <c r="H821" i="24" a="1"/>
  <c r="M686" i="24" a="1"/>
  <c r="H1416" i="24" a="1"/>
  <c r="B1130" i="24" a="1"/>
  <c r="M1262" i="24" a="1"/>
  <c r="H473" i="24" a="1"/>
  <c r="I447" i="24" a="1"/>
  <c r="M758" i="24" a="1"/>
  <c r="D1592" i="24" a="1"/>
  <c r="B205" i="24" a="1"/>
  <c r="M494" i="24" a="1"/>
  <c r="M804" i="24" a="1"/>
  <c r="M362" i="24" a="1"/>
  <c r="M39" i="24" a="1"/>
  <c r="M199" i="24" a="1"/>
  <c r="M705" i="24" a="1"/>
  <c r="B1110" i="24" a="1"/>
  <c r="I626" i="24" a="1"/>
  <c r="I1417" i="24" a="1"/>
  <c r="C239" i="24"/>
  <c r="H1200" i="24" a="1"/>
  <c r="D1877" i="24" a="1"/>
  <c r="C1778" i="24"/>
  <c r="B1351" i="24" a="1"/>
  <c r="I1219" i="24" a="1"/>
  <c r="I381" i="24" a="1"/>
  <c r="B1189" i="24" a="1"/>
  <c r="C1869" i="24"/>
  <c r="I1665" i="24" a="1"/>
  <c r="C237" i="24"/>
  <c r="I941" i="24" a="1"/>
  <c r="B825" i="24" a="1"/>
  <c r="C1411" i="24"/>
  <c r="H1403" i="24" a="1"/>
  <c r="B1184" i="24" a="1"/>
  <c r="B71" i="24" a="1"/>
  <c r="B149" i="24" a="1"/>
  <c r="B416" i="24" a="1"/>
  <c r="C1231" i="24"/>
  <c r="C824" i="24"/>
  <c r="H691" i="24" a="1"/>
  <c r="M125" i="24" a="1"/>
  <c r="H764" i="24" a="1"/>
  <c r="D413" i="24" a="1"/>
  <c r="B731" i="24" a="1"/>
  <c r="C1511" i="24"/>
  <c r="I1707" i="24" a="1"/>
  <c r="M1310" i="24" a="1"/>
  <c r="C1267" i="24"/>
  <c r="M625" i="24" a="1"/>
  <c r="M1197" i="24" a="1"/>
  <c r="B963" i="24" a="1"/>
  <c r="D126" i="24" a="1"/>
  <c r="H1682" i="24" a="1"/>
  <c r="D270" i="24" a="1"/>
  <c r="M1648" i="24" a="1"/>
  <c r="H159" i="24" a="1"/>
  <c r="M1410" i="24" a="1"/>
  <c r="D1453" i="24" a="1"/>
  <c r="D1130" i="24" a="1"/>
  <c r="I848" i="24" a="1"/>
  <c r="M1150" i="24" a="1"/>
  <c r="D794" i="24" a="1"/>
  <c r="B664" i="24" a="1"/>
  <c r="I1838" i="24" a="1"/>
  <c r="I1565" i="24" a="1"/>
  <c r="M1654" i="24" a="1"/>
  <c r="D383" i="24" a="1"/>
  <c r="M1249" i="24" a="1"/>
  <c r="D705" i="24" a="1"/>
  <c r="B767" i="24" a="1"/>
  <c r="C253" i="24"/>
  <c r="D922" i="24" a="1"/>
  <c r="D151" i="24" a="1"/>
  <c r="B543" i="24" a="1"/>
  <c r="C699" i="24"/>
  <c r="C1651" i="24"/>
  <c r="I173" i="24" a="1"/>
  <c r="D1314" i="24" a="1"/>
  <c r="I666" i="24" a="1"/>
  <c r="M1178" i="24" a="1"/>
  <c r="C1106" i="24"/>
  <c r="H948" i="24" a="1"/>
  <c r="I241" i="24" a="1"/>
  <c r="M708" i="24" a="1"/>
  <c r="H1837" i="24" a="1"/>
  <c r="H1843" i="24" a="1"/>
  <c r="B217" i="24" a="1"/>
  <c r="B25" i="24" a="1"/>
  <c r="C1165" i="24"/>
  <c r="H1695" i="24" a="1"/>
  <c r="M45" i="24" a="1"/>
  <c r="M542" i="24" a="1"/>
  <c r="M704" i="24" a="1"/>
  <c r="M1498" i="24" a="1"/>
  <c r="M703" i="24" a="1"/>
  <c r="B1871" i="24" a="1"/>
  <c r="I672" i="24" a="1"/>
  <c r="M524" i="24" a="1"/>
  <c r="D1157" i="24" a="1"/>
  <c r="D88" i="24" a="1"/>
  <c r="H481" i="24" a="1"/>
  <c r="C976" i="24"/>
  <c r="D836" i="24" a="1"/>
  <c r="M988" i="24" a="1"/>
  <c r="H1151" i="24" a="1"/>
  <c r="M841" i="24" a="1"/>
  <c r="M926" i="24" a="1"/>
  <c r="B1137" i="24" a="1"/>
  <c r="M751" i="24" a="1"/>
  <c r="C544" i="24"/>
  <c r="B1098" i="24" a="1"/>
  <c r="H814" i="24" a="1"/>
  <c r="B198" i="24" a="1"/>
  <c r="M1246" i="24" a="1"/>
  <c r="B1520" i="24" a="1"/>
  <c r="D1817" i="24" a="1"/>
  <c r="B591" i="24" a="1"/>
  <c r="H1091" i="24" a="1"/>
  <c r="H761" i="24" a="1"/>
  <c r="I59" i="24" a="1"/>
  <c r="D1866" i="24" a="1"/>
  <c r="M1342" i="24" a="1"/>
  <c r="D811" i="24" a="1"/>
  <c r="H1110" i="24" a="1"/>
  <c r="B1323" i="24" a="1"/>
  <c r="I1744" i="24" a="1"/>
  <c r="M465" i="24" a="1"/>
  <c r="H971" i="24" a="1"/>
  <c r="M397" i="24" a="1"/>
  <c r="D1789" i="24" a="1"/>
  <c r="C789" i="24"/>
  <c r="C1728" i="24"/>
  <c r="C1491" i="24"/>
  <c r="M1228" i="24" a="1"/>
  <c r="C793" i="24"/>
  <c r="C351" i="24"/>
  <c r="H791" i="24" a="1"/>
  <c r="M548" i="24" a="1"/>
  <c r="B565" i="24" a="1"/>
  <c r="M1477" i="24" a="1"/>
  <c r="I416" i="24" a="1"/>
  <c r="I240" i="24" a="1"/>
  <c r="D1434" i="24" a="1"/>
  <c r="B1256" i="24" a="1"/>
  <c r="H1492" i="24" a="1"/>
  <c r="I312" i="24" a="1"/>
  <c r="H1036" i="24" a="1"/>
  <c r="D1068" i="24" a="1"/>
  <c r="I294" i="24" a="1"/>
  <c r="M1326" i="24" a="1"/>
  <c r="H75" i="24" a="1"/>
  <c r="M1081" i="24" a="1"/>
  <c r="H897" i="24" a="1"/>
  <c r="M393" i="24" a="1"/>
  <c r="B42" i="24" a="1"/>
  <c r="M896" i="24" a="1"/>
  <c r="D1359" i="24" a="1"/>
  <c r="M30" i="24" a="1"/>
  <c r="M1447" i="24" a="1"/>
  <c r="M322" i="24" a="1"/>
  <c r="C341" i="24"/>
  <c r="D182" i="24" a="1"/>
  <c r="I1808" i="24" a="1"/>
  <c r="M1653" i="24" a="1"/>
  <c r="I581" i="24" a="1"/>
  <c r="D1652" i="24" a="1"/>
  <c r="M423" i="24" a="1"/>
  <c r="H42" i="24" a="1"/>
  <c r="I425" i="24" a="1"/>
  <c r="H1152" i="24" a="1"/>
  <c r="M87" i="24" a="1"/>
  <c r="C419" i="24"/>
  <c r="D1329" i="24" a="1"/>
  <c r="B1395" i="24" a="1"/>
  <c r="C1061" i="24"/>
  <c r="D96" i="24" a="1"/>
  <c r="I452" i="24" a="1"/>
  <c r="M1568" i="24" a="1"/>
  <c r="C433" i="24"/>
  <c r="C1107" i="24"/>
  <c r="H1055" i="24" a="1"/>
  <c r="H1163" i="24" a="1"/>
  <c r="I259" i="24" a="1"/>
  <c r="I1443" i="24" a="1"/>
  <c r="H1472" i="24" a="1"/>
  <c r="M326" i="24" a="1"/>
  <c r="H1401" i="24" a="1"/>
  <c r="C1816" i="24"/>
  <c r="C643" i="24"/>
  <c r="D1614" i="24" a="1"/>
  <c r="M730" i="24" a="1"/>
  <c r="B1589" i="24" a="1"/>
  <c r="D628" i="24" a="1"/>
  <c r="C1723" i="24"/>
  <c r="D710" i="24" a="1"/>
  <c r="C954" i="24"/>
  <c r="C801" i="24"/>
  <c r="D1627" i="24" a="1"/>
  <c r="M1099" i="24" a="1"/>
  <c r="I1552" i="24" a="1"/>
  <c r="B745" i="24" a="1"/>
  <c r="B649" i="24" a="1"/>
  <c r="I228" i="24" a="1"/>
  <c r="D625" i="24" a="1"/>
  <c r="M153" i="24" a="1"/>
  <c r="C1518" i="24"/>
  <c r="H1522" i="24" a="1"/>
  <c r="C1595" i="24"/>
  <c r="M1857" i="24" a="1"/>
  <c r="H1480" i="24" a="1"/>
  <c r="C1418" i="24"/>
  <c r="D1383" i="24" a="1"/>
  <c r="B31" i="24" a="1"/>
  <c r="M1235" i="24" a="1"/>
  <c r="D1551" i="24" a="1"/>
  <c r="H555" i="24" a="1"/>
  <c r="M1183" i="24" a="1"/>
  <c r="D295" i="24" a="1"/>
  <c r="D1862" i="24" a="1"/>
  <c r="B1735" i="24" a="1"/>
  <c r="I779" i="24" a="1"/>
  <c r="H926" i="24" a="1"/>
  <c r="B1455" i="24" a="1"/>
  <c r="D1611" i="24" a="1"/>
  <c r="D1207" i="24" a="1"/>
  <c r="B140" i="24" a="1"/>
  <c r="C923" i="24"/>
  <c r="C648" i="24"/>
  <c r="H1303" i="24" a="1"/>
  <c r="C1620" i="24"/>
  <c r="D870" i="24" a="1"/>
  <c r="M850" i="24" a="1"/>
  <c r="H1852" i="24" a="1"/>
  <c r="B807" i="24" a="1"/>
  <c r="I575" i="24" a="1"/>
  <c r="B1299" i="24" a="1"/>
  <c r="C1005" i="24"/>
  <c r="M889" i="24" a="1"/>
  <c r="I536" i="24" a="1"/>
  <c r="C1401" i="24"/>
  <c r="D9" i="24" a="1"/>
  <c r="B713" i="24" a="1"/>
  <c r="M410" i="24" a="1"/>
  <c r="M803" i="24" a="1"/>
  <c r="D814" i="24" a="1"/>
  <c r="M1544" i="24" a="1"/>
  <c r="C667" i="24"/>
  <c r="M297" i="24" a="1"/>
  <c r="D1431" i="24" a="1"/>
  <c r="I736" i="24" a="1"/>
  <c r="C484" i="24"/>
  <c r="I1615" i="24" a="1"/>
  <c r="B1036" i="24" a="1"/>
  <c r="D824" i="24" a="1"/>
  <c r="B1048" i="24" a="1"/>
  <c r="I272" i="24" a="1"/>
  <c r="C1095" i="24"/>
  <c r="D990" i="24" a="1"/>
  <c r="D1845" i="24" a="1"/>
  <c r="B532" i="24" a="1"/>
  <c r="M1148" i="24" a="1"/>
  <c r="M1890" i="24" a="1"/>
  <c r="B191" i="24" a="1"/>
  <c r="B967" i="24" a="1"/>
  <c r="M674" i="24" a="1"/>
  <c r="M772" i="24" a="1"/>
  <c r="C1825" i="24"/>
  <c r="H545" i="24" a="1"/>
  <c r="H1219" i="24" a="1"/>
  <c r="H1710" i="24" a="1"/>
  <c r="B153" i="24" a="1"/>
  <c r="C61" i="24"/>
  <c r="H446" i="24" a="1"/>
  <c r="I1817" i="24" a="1"/>
  <c r="I120" i="24" a="1"/>
  <c r="C1462" i="24"/>
  <c r="H1373" i="24" a="1"/>
  <c r="H719" i="24" a="1"/>
  <c r="I1830" i="24" a="1"/>
  <c r="I698" i="24" a="1"/>
  <c r="B60" i="24" a="1"/>
  <c r="C641" i="24"/>
  <c r="I620" i="24" a="1"/>
  <c r="B1896" i="24" a="1"/>
  <c r="D317" i="24" a="1"/>
  <c r="C472" i="24"/>
  <c r="D1456" i="24" a="1"/>
  <c r="D1093" i="24" a="1"/>
  <c r="C1734" i="24"/>
  <c r="B182" i="24" a="1"/>
  <c r="I284" i="24" a="1"/>
  <c r="H1770" i="24" a="1"/>
  <c r="C854" i="24"/>
  <c r="D1395" i="24" a="1"/>
  <c r="D1234" i="24" a="1"/>
  <c r="B291" i="24" a="1"/>
  <c r="D981" i="24" a="1"/>
  <c r="H1676" i="24" a="1"/>
  <c r="D596" i="24" a="1"/>
  <c r="I875" i="24" a="1"/>
  <c r="I52" i="24" a="1"/>
  <c r="M15" i="24" a="1"/>
  <c r="D1715" i="24" a="1"/>
  <c r="M898" i="24" a="1"/>
  <c r="C1324" i="24"/>
  <c r="D1552" i="24" a="1"/>
  <c r="H1829" i="24" a="1"/>
  <c r="M838" i="24" a="1"/>
  <c r="B968" i="24" a="1"/>
  <c r="H1423" i="24" a="1"/>
  <c r="D600" i="24" a="1"/>
  <c r="B1307" i="24" a="1"/>
  <c r="M1115" i="24" a="1"/>
  <c r="B772" i="24" a="1"/>
  <c r="H1059" i="24" a="1"/>
  <c r="M178" i="24" a="1"/>
  <c r="I1258" i="24" a="1"/>
  <c r="D603" i="24" a="1"/>
  <c r="B1627" i="24" a="1"/>
  <c r="C1607" i="24"/>
  <c r="H1882" i="24" a="1"/>
  <c r="H1386" i="24" a="1"/>
  <c r="I164" i="24" a="1"/>
  <c r="I220" i="24" a="1"/>
  <c r="I482" i="24" a="1"/>
  <c r="C1628" i="24"/>
  <c r="H71" i="24" a="1"/>
  <c r="B1618" i="24" a="1"/>
  <c r="H762" i="24" a="1"/>
  <c r="H103" i="24" a="1"/>
  <c r="B766" i="24" a="1"/>
  <c r="I1731" i="24" a="1"/>
  <c r="I309" i="24" a="1"/>
  <c r="I1840" i="24" a="1"/>
  <c r="B1664" i="24" a="1"/>
  <c r="H1760" i="24" a="1"/>
  <c r="C1357" i="24"/>
  <c r="M493" i="24" a="1"/>
  <c r="M901" i="24" a="1"/>
  <c r="C1805" i="24"/>
  <c r="D720" i="24" a="1"/>
  <c r="D791" i="24" a="1"/>
  <c r="D1668" i="24" a="1"/>
  <c r="H858" i="24" a="1"/>
  <c r="M109" i="24" a="1"/>
  <c r="M1240" i="24" a="1"/>
  <c r="M18" i="24" a="1"/>
  <c r="C335" i="24"/>
  <c r="C1771" i="24"/>
  <c r="C727" i="24"/>
  <c r="C233" i="24"/>
  <c r="C381" i="24"/>
  <c r="H1253" i="24" a="1"/>
  <c r="I1641" i="24" a="1"/>
  <c r="B1673" i="24" a="1"/>
  <c r="M1428" i="24" a="1"/>
  <c r="D1231" i="24" a="1"/>
  <c r="I1028" i="24" a="1"/>
  <c r="C1264" i="24"/>
  <c r="C80" i="24"/>
  <c r="H1095" i="24" a="1"/>
  <c r="H270" i="24" a="1"/>
  <c r="B832" i="24" a="1"/>
  <c r="M555" i="24" a="1"/>
  <c r="H1704" i="24" a="1"/>
  <c r="B1479" i="24" a="1"/>
  <c r="B356" i="24" a="1"/>
  <c r="I210" i="24" a="1"/>
  <c r="D1441" i="24" a="1"/>
  <c r="C1366" i="24"/>
  <c r="D501" i="24" a="1"/>
  <c r="M1638" i="24" a="1"/>
  <c r="M116" i="24" a="1"/>
  <c r="H389" i="24" a="1"/>
  <c r="D1377" i="24" a="1"/>
  <c r="B309" i="24" a="1"/>
  <c r="B1215" i="24" a="1"/>
  <c r="M92" i="24" a="1"/>
  <c r="I545" i="24" a="1"/>
  <c r="M1353" i="24" a="1"/>
  <c r="M1097" i="24" a="1"/>
  <c r="M468" i="24" a="1"/>
  <c r="M1610" i="24" a="1"/>
  <c r="D192" i="24" a="1"/>
  <c r="M558" i="24" a="1"/>
  <c r="B454" i="24" a="1"/>
  <c r="I185" i="24" a="1"/>
  <c r="M93" i="24" a="1"/>
  <c r="B202" i="24" a="1"/>
  <c r="D1762" i="24" a="1"/>
  <c r="M77" i="24" a="1"/>
  <c r="I691" i="24" a="1"/>
  <c r="I602" i="24" a="1"/>
  <c r="D1669" i="24" a="1"/>
  <c r="I1642" i="24" a="1"/>
  <c r="M999" i="24" a="1"/>
  <c r="C139" i="24"/>
  <c r="H1269" i="24" a="1"/>
  <c r="C1274" i="24"/>
  <c r="B1060" i="24" a="1"/>
  <c r="D243" i="24" a="1"/>
  <c r="M966" i="24" a="1"/>
  <c r="H1173" i="24" a="1"/>
  <c r="D1448" i="24" a="1"/>
  <c r="D396" i="24" a="1"/>
  <c r="M86" i="24" a="1"/>
  <c r="H296" i="24" a="1"/>
  <c r="I1822" i="24" a="1"/>
  <c r="B1408" i="24" a="1"/>
  <c r="M1386" i="24" a="1"/>
  <c r="M571" i="24" a="1"/>
  <c r="I839" i="24" a="1"/>
  <c r="C52" i="24"/>
  <c r="H275" i="24" a="1"/>
  <c r="M1223" i="24" a="1"/>
  <c r="B1546" i="24" a="1"/>
  <c r="D828" i="24" a="1"/>
  <c r="I1741" i="24" a="1"/>
  <c r="D1074" i="24" a="1"/>
  <c r="H1256" i="24" a="1"/>
  <c r="M246" i="24" a="1"/>
  <c r="M965" i="24" a="1"/>
  <c r="B627" i="24" a="1"/>
  <c r="H1839" i="24" a="1"/>
  <c r="C1666" i="24"/>
  <c r="D284" i="24" a="1"/>
  <c r="D1901" i="24" a="1"/>
  <c r="B428" i="24" a="1"/>
  <c r="M334" i="24" a="1"/>
  <c r="I762" i="24" a="1"/>
  <c r="M1023" i="24" a="1"/>
  <c r="M756" i="24" a="1"/>
  <c r="H698" i="24" a="1"/>
  <c r="B579" i="24" a="1"/>
  <c r="C1578" i="24"/>
  <c r="B1760" i="24" a="1"/>
  <c r="H1185" i="24" a="1"/>
  <c r="C674" i="24"/>
  <c r="C676" i="24"/>
  <c r="H1771" i="24" a="1"/>
  <c r="B1168" i="24" a="1"/>
  <c r="H1681" i="24" a="1"/>
  <c r="M1285" i="24" a="1"/>
  <c r="I1162" i="24" a="1"/>
  <c r="B1466" i="24" a="1"/>
  <c r="B1195" i="24" a="1"/>
  <c r="H629" i="24" a="1"/>
  <c r="H1412" i="24" a="1"/>
  <c r="I539" i="24" a="1"/>
  <c r="B1245" i="24" a="1"/>
  <c r="M1467" i="24" a="1"/>
  <c r="M861" i="24" a="1"/>
  <c r="D1481" i="24" a="1"/>
  <c r="B1532" i="24" a="1"/>
  <c r="H365" i="24" a="1"/>
  <c r="B914" i="24" a="1"/>
  <c r="D1813" i="24" a="1"/>
  <c r="I1277" i="24" a="1"/>
  <c r="I538" i="24" a="1"/>
  <c r="B414" i="24" a="1"/>
  <c r="M1869" i="24" a="1"/>
  <c r="C533" i="24"/>
  <c r="M1175" i="24" a="1"/>
  <c r="B274" i="24" a="1"/>
  <c r="C1259" i="24"/>
  <c r="C862" i="24"/>
  <c r="H204" i="24" a="1"/>
  <c r="D910" i="24" a="1"/>
  <c r="I1354" i="24" a="1"/>
  <c r="D1452" i="24" a="1"/>
  <c r="C832" i="24"/>
  <c r="B1122" i="24" a="1"/>
  <c r="I1264" i="24" a="1"/>
  <c r="M1311" i="24" a="1"/>
  <c r="H674" i="24" a="1"/>
  <c r="H200" i="24" a="1"/>
  <c r="I681" i="24" a="1"/>
  <c r="B137" i="24" a="1"/>
  <c r="C1732" i="24"/>
  <c r="H1161" i="24" a="1"/>
  <c r="H20" i="24" a="1"/>
  <c r="I1558" i="24" a="1"/>
  <c r="D1168" i="24" a="1"/>
  <c r="C1846" i="24"/>
  <c r="H933" i="24" a="1"/>
  <c r="B1280" i="24" a="1"/>
  <c r="M1324" i="24" a="1"/>
  <c r="H1022" i="24" a="1"/>
  <c r="D368" i="24" a="1"/>
  <c r="C1085" i="24"/>
  <c r="H1433" i="24" a="1"/>
  <c r="D420" i="24" a="1"/>
  <c r="I546" i="24" a="1"/>
  <c r="D1616" i="24" a="1"/>
  <c r="M533" i="24" a="1"/>
  <c r="B1105" i="24" a="1"/>
  <c r="M1634" i="24" a="1"/>
  <c r="H955" i="24" a="1"/>
  <c r="I1452" i="24" a="1"/>
  <c r="H313" i="24" a="1"/>
  <c r="D1800" i="24" a="1"/>
  <c r="I378" i="24" a="1"/>
  <c r="M283" i="24" a="1"/>
  <c r="D225" i="24" a="1"/>
  <c r="H1511" i="24" a="1"/>
  <c r="B1393" i="24" a="1"/>
  <c r="B932" i="24" a="1"/>
  <c r="M358" i="24" a="1"/>
  <c r="I980" i="24" a="1"/>
  <c r="D274" i="24" a="1"/>
  <c r="D903" i="24" a="1"/>
  <c r="I1897" i="24" a="1"/>
  <c r="I542" i="24" a="1"/>
  <c r="D36" i="24" a="1"/>
  <c r="C330" i="24"/>
  <c r="D605" i="24" a="1"/>
  <c r="C984" i="24"/>
  <c r="C853" i="24"/>
  <c r="M1379" i="24" a="1"/>
  <c r="B1220" i="24" a="1"/>
  <c r="H1508" i="24" a="1"/>
  <c r="D1595" i="24" a="1"/>
  <c r="C1187" i="24"/>
  <c r="D1100" i="24" a="1"/>
  <c r="B784" i="24" a="1"/>
  <c r="I570" i="24" a="1"/>
  <c r="H1867" i="24" a="1"/>
  <c r="C1435" i="24"/>
  <c r="I667" i="24" a="1"/>
  <c r="M181" i="24" a="1"/>
  <c r="B225" i="24" a="1"/>
  <c r="H716" i="24" a="1"/>
  <c r="C856" i="24"/>
  <c r="I212" i="24" a="1"/>
  <c r="I1629" i="24" a="1"/>
  <c r="I1698" i="24" a="1"/>
  <c r="I860" i="24" a="1"/>
  <c r="D821" i="24" a="1"/>
  <c r="B750" i="24" a="1"/>
  <c r="B444" i="24" a="1"/>
  <c r="D1549" i="24" a="1"/>
  <c r="I1696" i="24" a="1"/>
  <c r="C1240" i="24"/>
  <c r="I1848" i="24" a="1"/>
  <c r="C105" i="24"/>
  <c r="D1847" i="24" a="1"/>
  <c r="B1630" i="24" a="1"/>
  <c r="H1282" i="24" a="1"/>
  <c r="H359" i="24" a="1"/>
  <c r="M1339" i="24" a="1"/>
  <c r="M1536" i="24" a="1"/>
  <c r="B854" i="24" a="1"/>
  <c r="C1658" i="24"/>
  <c r="C742" i="24"/>
  <c r="C7" i="24"/>
  <c r="C248" i="24"/>
  <c r="C414" i="24"/>
  <c r="C296" i="24"/>
  <c r="C1829" i="24"/>
  <c r="D1405" i="24" a="1"/>
  <c r="B1066" i="24" a="1"/>
  <c r="M843" i="24" a="1"/>
  <c r="M642" i="24" a="1"/>
  <c r="C1820" i="24"/>
  <c r="B842" i="24" a="1"/>
  <c r="D1090" i="24" a="1"/>
  <c r="D624" i="24" a="1"/>
  <c r="B1818" i="24" a="1"/>
  <c r="M680" i="24" a="1"/>
  <c r="C1052" i="24"/>
  <c r="D1754" i="24" a="1"/>
  <c r="M1640" i="24" a="1"/>
  <c r="C1680" i="24"/>
  <c r="I1810" i="24" a="1"/>
  <c r="M957" i="24" a="1"/>
  <c r="H1438" i="24" a="1"/>
  <c r="B982" i="24" a="1"/>
  <c r="H540" i="24" a="1"/>
  <c r="I143" i="24" a="1"/>
  <c r="I1855" i="24" a="1"/>
  <c r="H21" i="24" a="1"/>
  <c r="C1004" i="24"/>
  <c r="I165" i="24" a="1"/>
  <c r="H644" i="24" a="1"/>
  <c r="C10" i="24"/>
  <c r="C322" i="24"/>
  <c r="C1128" i="24"/>
  <c r="C221" i="24"/>
  <c r="I437" i="24" a="1"/>
  <c r="D188" i="24" a="1"/>
  <c r="I1753" i="24" a="1"/>
  <c r="H423" i="24" a="1"/>
  <c r="M1209" i="24" a="1"/>
  <c r="H1654" i="24" a="1"/>
  <c r="B1057" i="24" a="1"/>
  <c r="H62" i="24" a="1"/>
  <c r="B1361" i="24" a="1"/>
  <c r="I615" i="24" a="1"/>
  <c r="D733" i="24" a="1"/>
  <c r="B547" i="24" a="1"/>
  <c r="I1672" i="24" a="1"/>
  <c r="C96" i="24"/>
  <c r="I42" i="24" a="1"/>
  <c r="I292" i="24" a="1"/>
  <c r="B216" i="24" a="1"/>
  <c r="M682" i="24" a="1"/>
  <c r="C1675" i="24"/>
  <c r="D1260" i="24" a="1"/>
  <c r="B1495" i="24" a="1"/>
  <c r="H1246" i="24" a="1"/>
  <c r="I1337" i="24" a="1"/>
  <c r="M1506" i="24" a="1"/>
  <c r="M1462" i="24" a="1"/>
  <c r="B738" i="24" a="1"/>
  <c r="M660" i="24" a="1"/>
  <c r="C372" i="24"/>
  <c r="D535" i="24" a="1"/>
  <c r="I223" i="24" a="1"/>
  <c r="B704" i="24" a="1"/>
  <c r="H1524" i="24" a="1"/>
  <c r="I788" i="24" a="1"/>
  <c r="H1706" i="24" a="1"/>
  <c r="I404" i="24" a="1"/>
  <c r="H1655" i="24" a="1"/>
  <c r="D699" i="24" a="1"/>
  <c r="M1155" i="24" a="1"/>
  <c r="I1798" i="24" a="1"/>
  <c r="M1035" i="24" a="1"/>
  <c r="M1269" i="24" a="1"/>
  <c r="D1408" i="24" a="1"/>
  <c r="C1746" i="24"/>
  <c r="M905" i="24" a="1"/>
  <c r="D820" i="24" a="1"/>
  <c r="D53" i="24" a="1"/>
  <c r="D52" i="24" a="1"/>
  <c r="C879" i="24"/>
  <c r="D1852" i="24" a="1"/>
  <c r="C177" i="24"/>
  <c r="B1163" i="24" a="1"/>
  <c r="M418" i="24" a="1"/>
  <c r="I785" i="24" a="1"/>
  <c r="D1869" i="24" a="1"/>
  <c r="I1437" i="24" a="1"/>
  <c r="B1696" i="24" a="1"/>
  <c r="I444" i="24" a="1"/>
  <c r="B1203" i="24" a="1"/>
  <c r="M1261" i="24" a="1"/>
  <c r="I1866" i="24" a="1"/>
  <c r="C1606" i="24"/>
  <c r="M1587" i="24" a="1"/>
  <c r="I1674" i="24" a="1"/>
  <c r="C1761" i="24"/>
  <c r="B232" i="24" a="1"/>
  <c r="I157" i="24" a="1"/>
  <c r="M709" i="24" a="1"/>
  <c r="C1795" i="24"/>
  <c r="D67" i="24" a="1"/>
  <c r="I325" i="24" a="1"/>
  <c r="D381" i="24" a="1"/>
  <c r="H675" i="24" a="1"/>
  <c r="C327" i="24"/>
  <c r="D1621" i="24" a="1"/>
  <c r="H637" i="24" a="1"/>
  <c r="I621" i="24" a="1"/>
  <c r="C1499" i="24"/>
  <c r="M1530" i="24" a="1"/>
  <c r="I1167" i="24" a="1"/>
  <c r="C1345" i="24"/>
  <c r="C964" i="24"/>
  <c r="D972" i="24" a="1"/>
  <c r="H457" i="24" a="1"/>
  <c r="D846" i="24" a="1"/>
  <c r="C582" i="24"/>
  <c r="H871" i="24" a="1"/>
  <c r="B1842" i="24" a="1"/>
  <c r="H1216" i="24" a="1"/>
  <c r="H466" i="24" a="1"/>
  <c r="C1586" i="24"/>
  <c r="B1327" i="24" a="1"/>
  <c r="B1789" i="24" a="1"/>
  <c r="C287" i="24"/>
  <c r="B1174" i="24" a="1"/>
  <c r="H1619" i="24" a="1"/>
  <c r="B916" i="24" a="1"/>
  <c r="B934" i="24" a="1"/>
  <c r="C520" i="24"/>
  <c r="B273" i="24" a="1"/>
  <c r="D443" i="24" a="1"/>
  <c r="B1281" i="24" a="1"/>
  <c r="D644" i="24" a="1"/>
  <c r="C577" i="24"/>
  <c r="C600" i="24"/>
  <c r="I1453" i="24" a="1"/>
  <c r="H744" i="24" a="1"/>
  <c r="C810" i="24"/>
  <c r="C1687" i="24"/>
  <c r="I676" i="24" a="1"/>
  <c r="C1787" i="24"/>
  <c r="D293" i="24" a="1"/>
  <c r="M1528" i="24" a="1"/>
  <c r="M585" i="24" a="1"/>
  <c r="H41" i="24" a="1"/>
  <c r="D1320" i="24" a="1"/>
  <c r="M885" i="24" a="1"/>
  <c r="C1342" i="24"/>
  <c r="M1398" i="24" a="1"/>
  <c r="H1083" i="24" a="1"/>
  <c r="I504" i="24" a="1"/>
  <c r="D39" i="24" a="1"/>
  <c r="H1484" i="24" a="1"/>
  <c r="I421" i="24" a="1"/>
  <c r="C1536" i="24"/>
  <c r="D1319" i="24" a="1"/>
  <c r="H799" i="24" a="1"/>
  <c r="B544" i="24" a="1"/>
  <c r="D1294" i="24" a="1"/>
  <c r="B1723" i="24" a="1"/>
  <c r="C51" i="24"/>
  <c r="M932" i="24" a="1"/>
  <c r="D49" i="24" a="1"/>
  <c r="B1413" i="24" a="1"/>
  <c r="C93" i="24"/>
  <c r="M1552" i="24" a="1"/>
  <c r="C457" i="24"/>
  <c r="C324" i="24"/>
  <c r="I1332" i="24" a="1"/>
  <c r="B1322" i="24" a="1"/>
  <c r="H334" i="24" a="1"/>
  <c r="C722" i="24"/>
  <c r="B283" i="24" a="1"/>
  <c r="I397" i="24" a="1"/>
  <c r="B1109" i="24" a="1"/>
  <c r="M541" i="24" a="1"/>
  <c r="C137" i="24"/>
  <c r="H112" i="24" a="1"/>
  <c r="I286" i="24" a="1"/>
  <c r="H592" i="24" a="1"/>
  <c r="D1091" i="24" a="1"/>
  <c r="I1610" i="24" a="1"/>
  <c r="M866" i="24" a="1"/>
  <c r="I1254" i="24" a="1"/>
  <c r="C1204" i="24"/>
  <c r="C1027" i="24"/>
  <c r="B411" i="24" a="1"/>
  <c r="D1489" i="24" a="1"/>
  <c r="C377" i="24"/>
  <c r="C1081" i="24"/>
  <c r="M844" i="24" a="1"/>
  <c r="M267" i="24" a="1"/>
  <c r="M651" i="24" a="1"/>
  <c r="C78" i="24"/>
  <c r="M1130" i="24" a="1"/>
  <c r="C536" i="24"/>
  <c r="C973" i="24"/>
  <c r="D1363" i="24" a="1"/>
  <c r="M812" i="24" a="1"/>
  <c r="H1376" i="24" a="1"/>
  <c r="I1871" i="24" a="1"/>
  <c r="M1019" i="24" a="1"/>
  <c r="C29" i="24"/>
  <c r="D1864" i="24" a="1"/>
  <c r="D1749" i="24" a="1"/>
  <c r="I731" i="24" a="1"/>
  <c r="H1823" i="24" a="1"/>
  <c r="M156" i="24" a="1"/>
  <c r="I1659" i="24" a="1"/>
  <c r="B1691" i="24" a="1"/>
  <c r="I1245" i="24" a="1"/>
  <c r="M701" i="24" a="1"/>
  <c r="H158" i="24" a="1"/>
  <c r="H184" i="24" a="1"/>
  <c r="D348" i="24" a="1"/>
  <c r="M1358" i="24" a="1"/>
  <c r="M369" i="24" a="1"/>
  <c r="H1231" i="24" a="1"/>
  <c r="H1775" i="24" a="1"/>
  <c r="I1815" i="24" a="1"/>
  <c r="I867" i="24" a="1"/>
  <c r="D1606" i="24" a="1"/>
  <c r="B722" i="24" a="1"/>
  <c r="D1012" i="24" a="1"/>
  <c r="D241" i="24" a="1"/>
  <c r="I1503" i="24" a="1"/>
  <c r="H921" i="24" a="1"/>
  <c r="M479" i="24" a="1"/>
  <c r="B590" i="24" a="1"/>
  <c r="D1648" i="24" a="1"/>
  <c r="I50" i="24" a="1"/>
  <c r="I1297" i="24" a="1"/>
  <c r="I708" i="24" a="1"/>
  <c r="B1032" i="24" a="1"/>
  <c r="M426" i="24" a="1"/>
  <c r="C1824" i="24"/>
  <c r="C428" i="24"/>
  <c r="D1868" i="24" a="1"/>
  <c r="I1841" i="24" a="1"/>
  <c r="M835" i="24" a="1"/>
  <c r="M1903" i="24" a="1"/>
  <c r="B588" i="24" a="1"/>
  <c r="B1815" i="24" a="1"/>
  <c r="I1738" i="24" a="1"/>
  <c r="B959" i="24" a="1"/>
  <c r="B1904" i="24" a="1"/>
  <c r="B1335" i="24" a="1"/>
  <c r="I1427" i="24" a="1"/>
  <c r="D264" i="24" a="1"/>
  <c r="I919" i="24" a="1"/>
  <c r="M1635" i="24" a="1"/>
  <c r="D102" i="24" a="1"/>
  <c r="M1461" i="24" a="1"/>
  <c r="B1881" i="24" a="1"/>
  <c r="H428" i="24" a="1"/>
  <c r="M875" i="24" a="1"/>
  <c r="I877" i="24" a="1"/>
  <c r="C1065" i="24"/>
  <c r="H793" i="24" a="1"/>
  <c r="D522" i="24" a="1"/>
  <c r="H1259" i="24" a="1"/>
  <c r="D262" i="24" a="1"/>
  <c r="I1249" i="24" a="1"/>
  <c r="D1726" i="24" a="1"/>
  <c r="M496" i="24" a="1"/>
  <c r="I1099" i="24" a="1"/>
  <c r="D593" i="24" a="1"/>
  <c r="C1123" i="24"/>
  <c r="H584" i="24" a="1"/>
  <c r="I326" i="24" a="1"/>
  <c r="I208" i="24" a="1"/>
  <c r="I379" i="24" a="1"/>
  <c r="C1448" i="24"/>
  <c r="H509" i="24" a="1"/>
  <c r="D73" i="24" a="1"/>
  <c r="B1538" i="24" a="1"/>
  <c r="B848" i="24" a="1"/>
  <c r="B1316" i="24" a="1"/>
  <c r="H804" i="24" a="1"/>
  <c r="B1610" i="24" a="1"/>
  <c r="H843" i="24" a="1"/>
  <c r="B1016" i="24" a="1"/>
  <c r="I1474" i="24" a="1"/>
  <c r="B1056" i="24" a="1"/>
  <c r="B1518" i="24" a="1"/>
  <c r="H1009" i="24" a="1"/>
  <c r="I337" i="24" a="1"/>
  <c r="M23" i="24" a="1"/>
  <c r="C1703" i="24"/>
  <c r="M1127" i="24" a="1"/>
  <c r="D631" i="24" a="1"/>
  <c r="B1889" i="24" a="1"/>
  <c r="H1549" i="24" a="1"/>
  <c r="C357" i="24"/>
  <c r="H615" i="24" a="1"/>
  <c r="I884" i="24" a="1"/>
  <c r="B1688" i="24" a="1"/>
  <c r="M1538" i="24" a="1"/>
  <c r="C1053" i="24"/>
  <c r="I189" i="24" a="1"/>
  <c r="M631" i="24" a="1"/>
  <c r="H298" i="24" a="1"/>
  <c r="C1715" i="24"/>
  <c r="M1381" i="24" a="1"/>
  <c r="H1624" i="24" a="1"/>
  <c r="H1390" i="24" a="1"/>
  <c r="H1572" i="24" a="1"/>
  <c r="B215" i="24" a="1"/>
  <c r="H1145" i="24" a="1"/>
  <c r="H52" i="24" a="1"/>
  <c r="H728" i="24" a="1"/>
  <c r="H571" i="24" a="1"/>
  <c r="H224" i="24" a="1"/>
  <c r="M1322" i="24" a="1"/>
  <c r="C1580" i="24"/>
  <c r="C1736" i="24"/>
  <c r="I367" i="24" a="1"/>
  <c r="M706" i="24" a="1"/>
  <c r="B1827" i="24" a="1"/>
  <c r="C665" i="24"/>
  <c r="H1287" i="24" a="1"/>
  <c r="B20" i="24" a="1"/>
  <c r="I1178" i="24" a="1"/>
  <c r="M1495" i="24" a="1"/>
  <c r="M170" i="24" a="1"/>
  <c r="C274" i="24"/>
  <c r="I1544" i="24" a="1"/>
  <c r="M1619" i="24" a="1"/>
  <c r="I1588" i="24" a="1"/>
  <c r="D1512" i="24" a="1"/>
  <c r="H40" i="24" a="1"/>
  <c r="B1085" i="24" a="1"/>
  <c r="M452" i="24" a="1"/>
  <c r="I1398" i="24" a="1"/>
  <c r="C380" i="24"/>
  <c r="M788" i="24" a="1"/>
  <c r="I652" i="24" a="1"/>
  <c r="M515" i="24" a="1"/>
  <c r="D63" i="24" a="1"/>
  <c r="H97" i="24" a="1"/>
  <c r="B1150" i="24" a="1"/>
  <c r="B56" i="24" a="1"/>
  <c r="C891" i="24"/>
  <c r="M1512" i="24" a="1"/>
  <c r="B45" i="24" a="1"/>
  <c r="H1773" i="24" a="1"/>
  <c r="B819" i="24" a="1"/>
  <c r="D1656" i="24" a="1"/>
  <c r="D1330" i="24" a="1"/>
  <c r="C1133" i="24"/>
  <c r="D1066" i="24" a="1"/>
  <c r="H1530" i="24" a="1"/>
  <c r="D1284" i="24" a="1"/>
  <c r="B1308" i="24" a="1"/>
  <c r="B1073" i="24" a="1"/>
  <c r="M1085" i="24" a="1"/>
  <c r="H59" i="24" a="1"/>
  <c r="I1227" i="24" a="1"/>
  <c r="C1180" i="24"/>
  <c r="I1677" i="24" a="1"/>
  <c r="M1522" i="24" a="1"/>
  <c r="H1552" i="24" a="1"/>
  <c r="D510" i="24" a="1"/>
  <c r="H1133" i="24" a="1"/>
  <c r="D1455" i="24" a="1"/>
  <c r="D116" i="24" a="1"/>
  <c r="C1415" i="24"/>
  <c r="C461" i="24"/>
  <c r="C593" i="24"/>
  <c r="M258" i="24" a="1"/>
  <c r="B1711" i="24" a="1"/>
  <c r="D302" i="24" a="1"/>
  <c r="C946" i="24"/>
  <c r="I1148" i="24" a="1"/>
  <c r="M1234" i="24" a="1"/>
  <c r="M1077" i="24" a="1"/>
  <c r="M1088" i="24" a="1"/>
  <c r="B449" i="24" a="1"/>
  <c r="C1632" i="24"/>
  <c r="B369" i="24" a="1"/>
  <c r="D1598" i="24" a="1"/>
  <c r="I1421" i="24" a="1"/>
  <c r="B1901" i="24" a="1"/>
  <c r="H631" i="24" a="1"/>
  <c r="M890" i="24" a="1"/>
  <c r="B1791" i="24" a="1"/>
  <c r="C1223" i="24"/>
  <c r="I135" i="24" a="1"/>
  <c r="B1227" i="24" a="1"/>
  <c r="D683" i="24" a="1"/>
  <c r="H441" i="24" a="1"/>
  <c r="B505" i="24" a="1"/>
  <c r="I56" i="24" a="1"/>
  <c r="B1165" i="24" a="1"/>
  <c r="H867" i="24" a="1"/>
  <c r="H1561" i="24" a="1"/>
  <c r="D550" i="24" a="1"/>
  <c r="I1828" i="24" a="1"/>
  <c r="B1877" i="24" a="1"/>
  <c r="I659" i="24" a="1"/>
  <c r="I464" i="24" a="1"/>
  <c r="M427" i="24" a="1"/>
  <c r="C386" i="24"/>
  <c r="H1313" i="24" a="1"/>
  <c r="M1388" i="24" a="1"/>
  <c r="D1187" i="24" a="1"/>
  <c r="M1466" i="24" a="1"/>
  <c r="C107" i="24"/>
  <c r="D370" i="24" a="1"/>
  <c r="B229" i="24" a="1"/>
  <c r="I527" i="24" a="1"/>
  <c r="I181" i="24" a="1"/>
  <c r="M103" i="24" a="1"/>
  <c r="B695" i="24" a="1"/>
  <c r="C1862" i="24"/>
  <c r="B679" i="24" a="1"/>
  <c r="M637" i="24" a="1"/>
  <c r="H30" i="24" a="1"/>
  <c r="H1487" i="24" a="1"/>
  <c r="I1518" i="24" a="1"/>
  <c r="D982" i="24" a="1"/>
  <c r="H529" i="24" a="1"/>
  <c r="I160" i="24" a="1"/>
  <c r="I845" i="24" a="1"/>
  <c r="H987" i="24" a="1"/>
  <c r="D854" i="24" a="1"/>
  <c r="I230" i="24" a="1"/>
  <c r="H1821" i="24" a="1"/>
  <c r="H51" i="24" a="1"/>
  <c r="I281" i="24" a="1"/>
  <c r="H1595" i="24" a="1"/>
  <c r="D1120" i="24" a="1"/>
  <c r="H533" i="24" a="1"/>
  <c r="D1135" i="24" a="1"/>
  <c r="H504" i="24" a="1"/>
  <c r="C1329" i="24"/>
  <c r="I363" i="24" a="1"/>
  <c r="C302" i="24"/>
  <c r="H826" i="24" a="1"/>
  <c r="C560" i="24"/>
  <c r="I855" i="24" a="1"/>
  <c r="D1618" i="24" a="1"/>
  <c r="I462" i="24" a="1"/>
  <c r="I1657" i="24" a="1"/>
  <c r="M159" i="24" a="1"/>
  <c r="C503" i="24"/>
  <c r="M1286" i="24" a="1"/>
  <c r="I1057" i="24" a="1"/>
  <c r="B1748" i="24" a="1"/>
  <c r="H293" i="24" a="1"/>
  <c r="B1406" i="24" a="1"/>
  <c r="H542" i="24" a="1"/>
  <c r="M1434" i="24" a="1"/>
  <c r="C1463" i="24"/>
  <c r="C1372" i="24"/>
  <c r="M282" i="24" a="1"/>
  <c r="I628" i="24" a="1"/>
  <c r="M458" i="24" a="1"/>
  <c r="B1357" i="24" a="1"/>
  <c r="I579" i="24" a="1"/>
  <c r="D1620" i="24" a="1"/>
  <c r="B1463" i="24" a="1"/>
  <c r="M955" i="24" a="1"/>
  <c r="D619" i="24" a="1"/>
  <c r="I221" i="24" a="1"/>
  <c r="I1504" i="24" a="1"/>
  <c r="H336" i="24" a="1"/>
  <c r="D1424" i="24" a="1"/>
  <c r="I547" i="24" a="1"/>
  <c r="B1159" i="24" a="1"/>
  <c r="C731" i="24"/>
  <c r="B451" i="24" a="1"/>
  <c r="H157" i="24" a="1"/>
  <c r="C73" i="24"/>
  <c r="H1171" i="24" a="1"/>
  <c r="I852" i="24" a="1"/>
  <c r="D183" i="24" a="1"/>
  <c r="H468" i="24" a="1"/>
  <c r="C1244" i="24"/>
  <c r="M1218" i="24" a="1"/>
  <c r="C339" i="24"/>
  <c r="I177" i="24" a="1"/>
  <c r="B878" i="24" a="1"/>
  <c r="D1535" i="24" a="1"/>
  <c r="B1214" i="24" a="1"/>
  <c r="B292" i="24" a="1"/>
  <c r="H301" i="24" a="1"/>
  <c r="H469" i="24" a="1"/>
  <c r="H1831" i="24" a="1"/>
  <c r="C193" i="24"/>
  <c r="I1347" i="24" a="1"/>
  <c r="M68" i="24" a="1"/>
  <c r="I324" i="24" a="1"/>
  <c r="B1010" i="24" a="1"/>
  <c r="M1259" i="24" a="1"/>
  <c r="C556" i="24"/>
  <c r="B134" i="24" a="1"/>
  <c r="D1409" i="24" a="1"/>
  <c r="H29" i="24" a="1"/>
  <c r="C926" i="24"/>
  <c r="B857" i="24" a="1"/>
  <c r="D1655" i="24" a="1"/>
  <c r="D1564" i="24" a="1"/>
  <c r="H5" i="24" a="1"/>
  <c r="H1859" i="24" a="1"/>
  <c r="B33" i="24" a="1"/>
  <c r="H13" i="24" a="1"/>
  <c r="B1418" i="24" a="1"/>
  <c r="H1620" i="24" a="1"/>
  <c r="M499" i="24" a="1"/>
  <c r="C1750" i="24"/>
  <c r="D1288" i="24" a="1"/>
  <c r="M899" i="24" a="1"/>
  <c r="C71" i="24"/>
  <c r="M1414" i="24" a="1"/>
  <c r="C1636" i="24"/>
  <c r="H90" i="24" a="1"/>
  <c r="D1775" i="24" a="1"/>
  <c r="I158" i="24" a="1"/>
  <c r="I1350" i="24" a="1"/>
  <c r="I313" i="24" a="1"/>
  <c r="C136" i="24"/>
  <c r="B1114" i="24" a="1"/>
  <c r="M753" i="24" a="1"/>
  <c r="D330" i="24" a="1"/>
  <c r="C489" i="24"/>
  <c r="I1715" i="24" a="1"/>
  <c r="I572" i="24" a="1"/>
  <c r="C1897" i="24"/>
  <c r="I275" i="24" a="1"/>
  <c r="D1085" i="24" a="1"/>
  <c r="D1449" i="24" a="1"/>
  <c r="M702" i="24" a="1"/>
  <c r="M219" i="24" a="1"/>
  <c r="M611" i="24" a="1"/>
  <c r="B1008" i="24" a="1"/>
  <c r="B1162" i="24" a="1"/>
  <c r="M776" i="24" a="1"/>
  <c r="D463" i="24" a="1"/>
  <c r="B132" i="24" a="1"/>
  <c r="B346" i="24" a="1"/>
  <c r="D1857" i="24" a="1"/>
  <c r="M990" i="24" a="1"/>
  <c r="H1336" i="24" a="1"/>
  <c r="D457" i="24" a="1"/>
  <c r="I1038" i="24" a="1"/>
  <c r="M412" i="24" a="1"/>
  <c r="I1789" i="24" a="1"/>
  <c r="B947" i="24" a="1"/>
  <c r="I648" i="24" a="1"/>
  <c r="H99" i="24" a="1"/>
  <c r="B1404" i="24" a="1"/>
  <c r="C709" i="24"/>
  <c r="M917" i="24" a="1"/>
  <c r="M347" i="24" a="1"/>
  <c r="D123" i="24" a="1"/>
  <c r="D551" i="24" a="1"/>
  <c r="B1597" i="24" a="1"/>
  <c r="D1683" i="24" a="1"/>
  <c r="C1542" i="24"/>
  <c r="I68" i="24" a="1"/>
  <c r="H886" i="24" a="1"/>
  <c r="C1420" i="24"/>
  <c r="D768" i="24" a="1"/>
  <c r="H1168" i="24" a="1"/>
  <c r="I618" i="24" a="1"/>
  <c r="H1031" i="24" a="1"/>
  <c r="D957" i="24" a="1"/>
  <c r="M1314" i="24" a="1"/>
  <c r="C1087" i="24"/>
  <c r="C200" i="24"/>
  <c r="M796" i="24" a="1"/>
  <c r="I1169" i="24" a="1"/>
  <c r="H1432" i="24" a="1"/>
  <c r="H845" i="24" a="1"/>
  <c r="H1844" i="24" a="1"/>
  <c r="I1195" i="24" a="1"/>
  <c r="I1356" i="24" a="1"/>
  <c r="D1499" i="24" a="1"/>
  <c r="C1745" i="24"/>
  <c r="H212" i="24" a="1"/>
  <c r="D959" i="24" a="1"/>
  <c r="D1009" i="24" a="1"/>
  <c r="I1608" i="24" a="1"/>
  <c r="H1179" i="24" a="1"/>
  <c r="M1874" i="24" a="1"/>
  <c r="B359" i="24" a="1"/>
  <c r="M421" i="24" a="1"/>
  <c r="I1825" i="24" a="1"/>
  <c r="H517" i="24" a="1"/>
  <c r="B1552" i="24" a="1"/>
  <c r="B620" i="24" a="1"/>
  <c r="D1237" i="24" a="1"/>
  <c r="H1027" i="24" a="1"/>
  <c r="I843" i="24" a="1"/>
  <c r="C1557" i="24"/>
  <c r="B279" i="24" a="1"/>
  <c r="C1296" i="24"/>
  <c r="I745" i="24" a="1"/>
  <c r="H248" i="24" a="1"/>
  <c r="M1170" i="24" a="1"/>
  <c r="B762" i="24" a="1"/>
  <c r="H1905" i="24" a="1"/>
  <c r="H818" i="24" a="1"/>
  <c r="M1471" i="24" a="1"/>
  <c r="H1051" i="24" a="1"/>
  <c r="I1708" i="24" a="1"/>
  <c r="C1583" i="24"/>
  <c r="D532" i="24" a="1"/>
  <c r="D1613" i="24" a="1"/>
  <c r="B315" i="24" a="1"/>
  <c r="D173" i="24" a="1"/>
  <c r="D1282" i="24" a="1"/>
  <c r="M112" i="24" a="1"/>
  <c r="I1253" i="24" a="1"/>
  <c r="B962" i="24" a="1"/>
  <c r="C204" i="24"/>
  <c r="D1341" i="24" a="1"/>
  <c r="D1394" i="24" a="1"/>
  <c r="H1141" i="24" a="1"/>
  <c r="D186" i="24" a="1"/>
  <c r="I1673" i="24" a="1"/>
  <c r="I117" i="24" a="1"/>
  <c r="B350" i="24" a="1"/>
  <c r="I893" i="24" a="1"/>
  <c r="D1423" i="24" a="1"/>
  <c r="D754" i="24" a="1"/>
  <c r="B1100" i="24" a="1"/>
  <c r="B1836" i="24" a="1"/>
  <c r="D1570" i="24" a="1"/>
  <c r="B1848" i="24" a="1"/>
  <c r="B1816" i="24" a="1"/>
  <c r="C1148" i="24"/>
  <c r="H356" i="24" a="1"/>
  <c r="I131" i="24" a="1"/>
  <c r="I1179" i="24" a="1"/>
  <c r="I1214" i="24" a="1"/>
  <c r="B760" i="24" a="1"/>
  <c r="B1656" i="24" a="1"/>
  <c r="D714" i="24" a="1"/>
  <c r="I368" i="24" a="1"/>
  <c r="M435" i="24" a="1"/>
  <c r="M969" i="24" a="1"/>
  <c r="M1896" i="24" a="1"/>
  <c r="I1557" i="24" a="1"/>
  <c r="M865" i="24" a="1"/>
  <c r="B102" i="24" a="1"/>
  <c r="I1528" i="24" a="1"/>
  <c r="D561" i="24" a="1"/>
  <c r="C660" i="24"/>
  <c r="C1048" i="24"/>
  <c r="I1371" i="24" a="1"/>
  <c r="M1537" i="24" a="1"/>
  <c r="D176" i="24" a="1"/>
  <c r="M268" i="24" a="1"/>
  <c r="H1544" i="24" a="1"/>
  <c r="I202" i="24" a="1"/>
  <c r="C950" i="24"/>
  <c r="B1689" i="24" a="1"/>
  <c r="M644" i="24" a="1"/>
  <c r="I1555" i="24" a="1"/>
  <c r="D416" i="24" a="1"/>
  <c r="I1287" i="24" a="1"/>
  <c r="H1187" i="24" a="1"/>
  <c r="D921" i="24" a="1"/>
  <c r="D1450" i="24" a="1"/>
  <c r="B1491" i="24" a="1"/>
  <c r="M832" i="24" a="1"/>
  <c r="I1318" i="24" a="1"/>
  <c r="B1444" i="24" a="1"/>
  <c r="B816" i="24" a="1"/>
  <c r="B1506" i="24" a="1"/>
  <c r="H1493" i="24" a="1"/>
  <c r="H388" i="24" a="1"/>
  <c r="C679" i="24"/>
  <c r="B1188" i="24" a="1"/>
  <c r="I1143" i="24" a="1"/>
  <c r="H376" i="24" a="1"/>
  <c r="B619" i="24" a="1"/>
  <c r="D1177" i="24" a="1"/>
  <c r="C35" i="24"/>
  <c r="D544" i="24" a="1"/>
  <c r="M1073" i="24" a="1"/>
  <c r="B144" i="24" a="1"/>
  <c r="D1422" i="24" a="1"/>
  <c r="I85" i="24" a="1"/>
  <c r="C1167" i="24"/>
  <c r="C905" i="24"/>
  <c r="M482" i="24" a="1"/>
  <c r="I153" i="24" a="1"/>
  <c r="M1309" i="24" a="1"/>
  <c r="M614" i="24" a="1"/>
  <c r="C693" i="24"/>
  <c r="I417" i="24" a="1"/>
  <c r="M1122" i="24" a="1"/>
  <c r="I1396" i="24" a="1"/>
  <c r="D769" i="24" a="1"/>
  <c r="B297" i="24" a="1"/>
  <c r="C748" i="24"/>
  <c r="C616" i="24"/>
  <c r="B803" i="24" a="1"/>
  <c r="M398" i="24" a="1"/>
  <c r="M785" i="24" a="1"/>
  <c r="C992" i="24"/>
  <c r="H595" i="24" a="1"/>
  <c r="M685" i="24" a="1"/>
  <c r="H1385" i="24" a="1"/>
  <c r="M1870" i="24" a="1"/>
  <c r="C1626" i="24"/>
  <c r="D42" i="24" a="1"/>
  <c r="M734" i="24" a="1"/>
  <c r="D1221" i="24" a="1"/>
  <c r="B1348" i="24" a="1"/>
  <c r="C1472" i="24"/>
  <c r="M1201" i="24" a="1"/>
  <c r="M1057" i="24" a="1"/>
  <c r="D399" i="24" a="1"/>
  <c r="M819" i="24" a="1"/>
  <c r="M79" i="24" a="1"/>
  <c r="C518" i="24"/>
  <c r="D1304" i="24" a="1"/>
  <c r="C1290" i="24"/>
  <c r="I226" i="24" a="1"/>
  <c r="B236" i="24" a="1"/>
  <c r="M976" i="24" a="1"/>
  <c r="H920" i="24" a="1"/>
  <c r="B593" i="24" a="1"/>
  <c r="I591" i="24" a="1"/>
  <c r="B139" i="24" a="1"/>
  <c r="C246" i="24"/>
  <c r="M269" i="24" a="1"/>
  <c r="B1040" i="24" a="1"/>
  <c r="C818" i="24"/>
  <c r="C1396" i="24"/>
  <c r="D247" i="24" a="1"/>
  <c r="I1865" i="24" a="1"/>
  <c r="M550" i="24" a="1"/>
  <c r="I513" i="24" a="1"/>
  <c r="I886" i="24" a="1"/>
  <c r="C910" i="24"/>
  <c r="H1112" i="24" a="1"/>
  <c r="B1498" i="24" a="1"/>
  <c r="C367" i="24"/>
  <c r="I899" i="24" a="1"/>
  <c r="C1648" i="24"/>
  <c r="H1404" i="24" a="1"/>
  <c r="B898" i="24" a="1"/>
  <c r="B1858" i="24" a="1"/>
  <c r="M1624" i="24" a="1"/>
  <c r="B633" i="24" a="1"/>
  <c r="D947" i="24" a="1"/>
  <c r="B828" i="24" a="1"/>
  <c r="B1103" i="24" a="1"/>
  <c r="C1776" i="24"/>
  <c r="D333" i="24" a="1"/>
  <c r="D986" i="24" a="1"/>
  <c r="M737" i="24" a="1"/>
  <c r="I163" i="24" a="1"/>
  <c r="C1696" i="24"/>
  <c r="C965" i="24"/>
  <c r="M513" i="24" a="1"/>
  <c r="B662" i="24" a="1"/>
  <c r="M1212" i="24" a="1"/>
  <c r="H120" i="24" a="1"/>
  <c r="D761" i="24" a="1"/>
  <c r="C1246" i="24"/>
  <c r="B83" i="24" a="1"/>
  <c r="M1548" i="24" a="1"/>
  <c r="B1411" i="24" a="1"/>
  <c r="I116" i="24" a="1"/>
  <c r="C1026" i="24"/>
  <c r="H1030" i="24" a="1"/>
  <c r="M169" i="24" a="1"/>
  <c r="D734" i="24" a="1"/>
  <c r="C148" i="24"/>
  <c r="H1500" i="24" a="1"/>
  <c r="H999" i="24" a="1"/>
  <c r="H1838" i="24" a="1"/>
  <c r="M563" i="24" a="1"/>
  <c r="H1082" i="24" a="1"/>
  <c r="D1766" i="24" a="1"/>
  <c r="B128" i="24" a="1"/>
  <c r="H1606" i="24" a="1"/>
  <c r="B597" i="24" a="1"/>
  <c r="D1111" i="24" a="1"/>
  <c r="M1084" i="24" a="1"/>
  <c r="I1216" i="24" a="1"/>
  <c r="I924" i="24" a="1"/>
  <c r="D904" i="24" a="1"/>
  <c r="D886" i="24" a="1"/>
  <c r="C290" i="24"/>
  <c r="C1057" i="24"/>
  <c r="C9" i="24"/>
  <c r="M343" i="24" a="1"/>
  <c r="D1701" i="24" a="1"/>
  <c r="H432" i="24" a="1"/>
  <c r="I1759" i="24" a="1"/>
  <c r="M437" i="24" a="1"/>
  <c r="D483" i="24" a="1"/>
  <c r="M936" i="24" a="1"/>
  <c r="C1892" i="24"/>
  <c r="M190" i="24" a="1"/>
  <c r="C1376" i="24"/>
  <c r="M1469" i="24" a="1"/>
  <c r="C31" i="24"/>
  <c r="M130" i="24" a="1"/>
  <c r="D1047" i="24" a="1"/>
  <c r="H124" i="24" a="1"/>
  <c r="M111" i="24" a="1"/>
  <c r="H683" i="24" a="1"/>
  <c r="C14" i="24"/>
  <c r="M971" i="24" a="1"/>
  <c r="C1708" i="24"/>
  <c r="C1822" i="24"/>
  <c r="C329" i="24"/>
  <c r="M128" i="24" a="1"/>
  <c r="M1453" i="24" a="1"/>
  <c r="I597" i="24" a="1"/>
  <c r="I847" i="24" a="1"/>
  <c r="C1584" i="24"/>
  <c r="D762" i="24" a="1"/>
  <c r="M1532" i="24" a="1"/>
  <c r="C1884" i="24"/>
  <c r="H1204" i="24" a="1"/>
  <c r="M724" i="24" a="1"/>
  <c r="I864" i="24" a="1"/>
  <c r="C1035" i="24"/>
  <c r="M822" i="24" a="1"/>
  <c r="D1222" i="24" a="1"/>
  <c r="I1363" i="24" a="1"/>
  <c r="M846" i="24" a="1"/>
  <c r="H505" i="24" a="1"/>
  <c r="H1421" i="24" a="1"/>
  <c r="H288" i="24" a="1"/>
  <c r="M1074" i="24" a="1"/>
  <c r="C465" i="24"/>
  <c r="C1519" i="24"/>
  <c r="M1147" i="24" a="1"/>
  <c r="C821" i="24"/>
  <c r="H502" i="24" a="1"/>
  <c r="C1747" i="24"/>
  <c r="C1135" i="24"/>
  <c r="B1813" i="24" a="1"/>
  <c r="D1809" i="24" a="1"/>
  <c r="C605" i="24"/>
  <c r="D477" i="24" a="1"/>
  <c r="C1752" i="24"/>
  <c r="D1571" i="24" a="1"/>
  <c r="C1440" i="24"/>
  <c r="C1705" i="24"/>
  <c r="B769" i="24" a="1"/>
  <c r="I246" i="24" a="1"/>
  <c r="C106" i="24"/>
  <c r="C1763" i="24"/>
  <c r="M1371" i="24" a="1"/>
  <c r="C429" i="24"/>
  <c r="I1867" i="24" a="1"/>
  <c r="H1364" i="24" a="1"/>
  <c r="B720" i="24" a="1"/>
  <c r="I524" i="24" a="1"/>
  <c r="D415" i="24" a="1"/>
  <c r="D1438" i="24" a="1"/>
  <c r="C834" i="24"/>
  <c r="D1853" i="24" a="1"/>
  <c r="I453" i="24" a="1"/>
  <c r="M1583" i="24" a="1"/>
  <c r="D1119" i="24" a="1"/>
  <c r="C270" i="24"/>
  <c r="H1785" i="24" a="1"/>
  <c r="H596" i="24" a="1"/>
  <c r="M298" i="24" a="1"/>
  <c r="B1397" i="24" a="1"/>
  <c r="B538" i="24" a="1"/>
  <c r="C1437" i="24"/>
  <c r="C97" i="24"/>
  <c r="C1380" i="24"/>
  <c r="I233" i="24" a="1"/>
  <c r="H1614" i="24" a="1"/>
  <c r="D584" i="24" a="1"/>
  <c r="C281" i="24"/>
  <c r="M864" i="24" a="1"/>
  <c r="C1544" i="24"/>
  <c r="C190" i="24"/>
  <c r="H741" i="24" a="1"/>
  <c r="M140" i="24" a="1"/>
  <c r="I988" i="24" a="1"/>
  <c r="B1317" i="24" a="1"/>
  <c r="M1608" i="24" a="1"/>
  <c r="I940" i="24" a="1"/>
  <c r="B1787" i="24" a="1"/>
  <c r="D1034" i="24" a="1"/>
  <c r="D1865" i="24" a="1"/>
  <c r="M218" i="24" a="1"/>
  <c r="M1334" i="24" a="1"/>
  <c r="D1022" i="24" a="1"/>
  <c r="M289" i="24" a="1"/>
  <c r="M1045" i="24" a="1"/>
  <c r="H1029" i="24" a="1"/>
  <c r="M1655" i="24" a="1"/>
  <c r="B1812" i="24" a="1"/>
  <c r="H416" i="24" a="1"/>
  <c r="C49" i="24"/>
  <c r="C796" i="24"/>
  <c r="B246" i="24" a="1"/>
  <c r="D816" i="24" a="1"/>
  <c r="C303" i="24"/>
  <c r="M1623" i="24" a="1"/>
  <c r="D1230" i="24" a="1"/>
  <c r="I671" i="24" a="1"/>
  <c r="D1741" i="24" a="1"/>
  <c r="B533" i="24" a="1"/>
  <c r="B248" i="24" a="1"/>
  <c r="H1192" i="24" a="1"/>
  <c r="C661" i="24"/>
  <c r="C1522" i="24"/>
  <c r="M248" i="24" a="1"/>
  <c r="D1081" i="24" a="1"/>
  <c r="B961" i="24" a="1"/>
  <c r="I61" i="24" a="1"/>
  <c r="C1343" i="24"/>
  <c r="I1112" i="24" a="1"/>
  <c r="I714" i="24" a="1"/>
  <c r="B6" i="24" a="1"/>
  <c r="M1276" i="24" a="1"/>
  <c r="D743" i="24" a="1"/>
  <c r="M490" i="24" a="1"/>
  <c r="D928" i="24" a="1"/>
  <c r="M1613" i="24" a="1"/>
  <c r="H855" i="24" a="1"/>
  <c r="C1867" i="24"/>
  <c r="M1614" i="24" a="1"/>
  <c r="H786" i="24" a="1"/>
  <c r="D478" i="24" a="1"/>
  <c r="D1769" i="24" a="1"/>
  <c r="C651" i="24"/>
  <c r="M673" i="24" a="1"/>
  <c r="H308" i="24" a="1"/>
  <c r="D26" i="24" a="1"/>
  <c r="C378" i="24"/>
  <c r="M1572" i="24" a="1"/>
  <c r="B933" i="24" a="1"/>
  <c r="H152" i="24" a="1"/>
  <c r="C63" i="24"/>
  <c r="C1722" i="24"/>
  <c r="D1114" i="24" a="1"/>
  <c r="C1611" i="24"/>
  <c r="B1785" i="24" a="1"/>
  <c r="H912" i="24" a="1"/>
  <c r="C192" i="24"/>
  <c r="H690" i="24" a="1"/>
  <c r="B1311" i="24" a="1"/>
  <c r="M583" i="24" a="1"/>
  <c r="I136" i="24" a="1"/>
  <c r="D999" i="24" a="1"/>
  <c r="D1576" i="24" a="1"/>
  <c r="B1530" i="24" a="1"/>
  <c r="M288" i="24" a="1"/>
  <c r="B1805" i="24" a="1"/>
  <c r="D675" i="24" a="1"/>
  <c r="H397" i="24" a="1"/>
  <c r="B924" i="24" a="1"/>
  <c r="I1705" i="24" a="1"/>
  <c r="H175" i="24" a="1"/>
  <c r="H1053" i="24" a="1"/>
  <c r="B955" i="24" a="1"/>
  <c r="I974" i="24" a="1"/>
  <c r="H179" i="24" a="1"/>
  <c r="H1307" i="24" a="1"/>
  <c r="H1759" i="24" a="1"/>
  <c r="I1646" i="24" a="1"/>
  <c r="C1371" i="24"/>
  <c r="B1373" i="24" a="1"/>
  <c r="I678" i="24" a="1"/>
  <c r="C708" i="24"/>
  <c r="M1431" i="24" a="1"/>
  <c r="D170" i="24" a="1"/>
  <c r="H262" i="24" a="1"/>
  <c r="I1645" i="24" a="1"/>
  <c r="M73" i="24" a="1"/>
  <c r="H554" i="24" a="1"/>
  <c r="H947" i="24" a="1"/>
  <c r="B1054" i="24" a="1"/>
  <c r="C94" i="24"/>
  <c r="I277" i="24" a="1"/>
  <c r="B980" i="24" a="1"/>
  <c r="B1038" i="24" a="1"/>
  <c r="I811" i="24" a="1"/>
  <c r="C1686" i="24"/>
  <c r="B1264" i="24" a="1"/>
  <c r="I613" i="24" a="1"/>
  <c r="B458" i="24" a="1"/>
  <c r="I1077" i="24" a="1"/>
  <c r="D786" i="24" a="1"/>
  <c r="B1333" i="24" a="1"/>
  <c r="M1330" i="24" a="1"/>
  <c r="C245" i="24"/>
  <c r="D1031" i="24" a="1"/>
  <c r="M430" i="24" a="1"/>
  <c r="H507" i="24" a="1"/>
  <c r="C266" i="24"/>
  <c r="D1188" i="24" a="1"/>
  <c r="D513" i="24" a="1"/>
  <c r="C915" i="24"/>
  <c r="I1365" i="24" a="1"/>
  <c r="M1406" i="24" a="1"/>
  <c r="C1730" i="24"/>
  <c r="M800" i="24" a="1"/>
  <c r="B1501" i="24" a="1"/>
  <c r="C1258" i="24"/>
  <c r="C1055" i="24"/>
  <c r="D1131" i="24" a="1"/>
  <c r="M1426" i="24" a="1"/>
  <c r="B1029" i="24" a="1"/>
  <c r="B1330" i="24" a="1"/>
  <c r="B54" i="24" a="1"/>
  <c r="D428" i="24" a="1"/>
  <c r="H671" i="24" a="1"/>
  <c r="H1799" i="24" a="1"/>
  <c r="I264" i="24" a="1"/>
  <c r="B1550" i="24" a="1"/>
  <c r="B552" i="24" a="1"/>
  <c r="H817" i="24" a="1"/>
  <c r="H1683" i="24" a="1"/>
  <c r="B415" i="24" a="1"/>
  <c r="B756" i="24" a="1"/>
  <c r="M862" i="24" a="1"/>
  <c r="C1442" i="24"/>
  <c r="H1857" i="24" a="1"/>
  <c r="C1505" i="24"/>
  <c r="M1886" i="24" a="1"/>
  <c r="B448" i="24" a="1"/>
  <c r="I780" i="24" a="1"/>
  <c r="B1653" i="24" a="1"/>
  <c r="D445" i="24" a="1"/>
  <c r="H240" i="24" a="1"/>
  <c r="M1312" i="24" a="1"/>
  <c r="H1649" i="24" a="1"/>
  <c r="I1145" i="24" a="1"/>
  <c r="I1288" i="24" a="1"/>
  <c r="M1871" i="24" a="1"/>
  <c r="D441" i="24" a="1"/>
  <c r="H430" i="24" a="1"/>
  <c r="B1368" i="24" a="1"/>
  <c r="B1030" i="24" a="1"/>
  <c r="B1177" i="24" a="1"/>
  <c r="H1819" i="24" a="1"/>
  <c r="H330" i="24" a="1"/>
  <c r="I917" i="24" a="1"/>
  <c r="D44" i="24" a="1"/>
  <c r="I1446" i="24" a="1"/>
  <c r="B644" i="24" a="1"/>
  <c r="C929" i="24"/>
  <c r="H1697" i="24" a="1"/>
  <c r="C1579" i="24"/>
  <c r="I144" i="24" a="1"/>
  <c r="M48" i="24" a="1"/>
  <c r="C430" i="24"/>
  <c r="B944" i="24" a="1"/>
  <c r="I44" i="24" a="1"/>
  <c r="I448" i="24" a="1"/>
  <c r="C933" i="24"/>
  <c r="M1650" i="24" a="1"/>
  <c r="M928" i="24" a="1"/>
  <c r="H1725" i="24" a="1"/>
  <c r="M719" i="24" a="1"/>
  <c r="D856" i="24" a="1"/>
  <c r="M413" i="24" a="1"/>
  <c r="C1121" i="24"/>
  <c r="H842" i="24" a="1"/>
  <c r="B1763" i="24" a="1"/>
  <c r="M1370" i="24" a="1"/>
  <c r="D1254" i="24" a="1"/>
  <c r="B1274" i="24" a="1"/>
  <c r="D701" i="24" a="1"/>
  <c r="I1340" i="24" a="1"/>
  <c r="H560" i="24" a="1"/>
  <c r="C971" i="24"/>
  <c r="I141" i="24" a="1"/>
  <c r="B580" i="24" a="1"/>
  <c r="C1370" i="24"/>
  <c r="D1487" i="24" a="1"/>
  <c r="D1670" i="24" a="1"/>
  <c r="M546" i="24" a="1"/>
  <c r="D13" i="24" a="1"/>
  <c r="D132" i="24" a="1"/>
  <c r="I1201" i="24" a="1"/>
  <c r="C707" i="24"/>
  <c r="H72" i="24" a="1"/>
  <c r="C841" i="24"/>
  <c r="C1142" i="24"/>
  <c r="D1428" i="24" a="1"/>
  <c r="C1330" i="24"/>
  <c r="I1814" i="24" a="1"/>
  <c r="I950" i="24" a="1"/>
  <c r="H110" i="24" a="1"/>
  <c r="H1040" i="24" a="1"/>
  <c r="C790" i="24"/>
  <c r="B690" i="24" a="1"/>
  <c r="B1144" i="24" a="1"/>
  <c r="H1800" i="24" a="1"/>
  <c r="I365" i="24" a="1"/>
  <c r="H255" i="24" a="1"/>
  <c r="B753" i="24" a="1"/>
  <c r="H585" i="24" a="1"/>
  <c r="C16" i="24"/>
  <c r="D1443" i="24" a="1"/>
  <c r="B1804" i="24" a="1"/>
  <c r="B534" i="24" a="1"/>
  <c r="I1643" i="24" a="1"/>
  <c r="D1186" i="24" a="1"/>
  <c r="B1384" i="24" a="1"/>
  <c r="I487" i="24" a="1"/>
  <c r="B1389" i="24" a="1"/>
  <c r="B1371" i="24" a="1"/>
  <c r="D1205" i="24" a="1"/>
  <c r="H1243" i="24" a="1"/>
  <c r="M365" i="24" a="1"/>
  <c r="M907" i="24" a="1"/>
  <c r="D272" i="24" a="1"/>
  <c r="H775" i="24" a="1"/>
  <c r="I1404" i="24" a="1"/>
  <c r="D1159" i="24" a="1"/>
  <c r="D227" i="24" a="1"/>
  <c r="D1780" i="24" a="1"/>
  <c r="B1485" i="24" a="1"/>
  <c r="B1377" i="24" a="1"/>
  <c r="H706" i="24" a="1"/>
  <c r="D113" i="24" a="1"/>
  <c r="C1023" i="24"/>
  <c r="B1437" i="24" a="1"/>
  <c r="I474" i="24" a="1"/>
  <c r="C1386" i="24"/>
  <c r="B1703" i="24" a="1"/>
  <c r="C1351" i="24"/>
  <c r="D1401" i="24" a="1"/>
  <c r="B1647" i="24" a="1"/>
  <c r="H659" i="24" a="1"/>
  <c r="H118" i="24" a="1"/>
  <c r="H345" i="24" a="1"/>
  <c r="H1071" i="24" a="1"/>
  <c r="H1186" i="24" a="1"/>
  <c r="H273" i="24" a="1"/>
  <c r="M290" i="24" a="1"/>
  <c r="C599" i="24"/>
  <c r="B1794" i="24" a="1"/>
  <c r="H1449" i="24" a="1"/>
  <c r="H1104" i="24" a="1"/>
  <c r="D1060" i="24" a="1"/>
  <c r="I639" i="24" a="1"/>
  <c r="C174" i="24"/>
  <c r="I100" i="24" a="1"/>
  <c r="B1806" i="24" a="1"/>
  <c r="I1388" i="24" a="1"/>
  <c r="B1874" i="24" a="1"/>
  <c r="B1422" i="24" a="1"/>
  <c r="I475" i="24" a="1"/>
  <c r="H478" i="24" a="1"/>
  <c r="D1671" i="24" a="1"/>
  <c r="B1637" i="24" a="1"/>
  <c r="H829" i="24" a="1"/>
  <c r="D1147" i="24" a="1"/>
  <c r="B1370" i="24" a="1"/>
  <c r="D842" i="24" a="1"/>
  <c r="B38" i="24" a="1"/>
  <c r="C1126" i="24"/>
  <c r="M692" i="24" a="1"/>
  <c r="I327" i="24" a="1"/>
  <c r="B1297" i="24" a="1"/>
  <c r="I1374" i="24" a="1"/>
  <c r="I978" i="24" a="1"/>
  <c r="C1604" i="24"/>
  <c r="H789" i="24" a="1"/>
  <c r="D356" i="24" a="1"/>
  <c r="B1625" i="24" a="1"/>
  <c r="M1883" i="24" a="1"/>
  <c r="C1455" i="24"/>
  <c r="B452" i="24" a="1"/>
  <c r="B131" i="24" a="1"/>
  <c r="H1393" i="24" a="1"/>
  <c r="D1687" i="24" a="1"/>
  <c r="B1898" i="24" a="1"/>
  <c r="I145" i="24" a="1"/>
  <c r="B1180" i="24" a="1"/>
  <c r="M1385" i="24" a="1"/>
  <c r="C1127" i="24"/>
  <c r="D588" i="24" a="1"/>
  <c r="B990" i="24" a="1"/>
  <c r="B1172" i="24" a="1"/>
  <c r="I699" i="24" a="1"/>
  <c r="M34" i="24" a="1"/>
  <c r="D1828" i="24" a="1"/>
  <c r="I149" i="24" a="1"/>
  <c r="H1129" i="24" a="1"/>
  <c r="C1417" i="24"/>
  <c r="I23" i="24" a="1"/>
  <c r="C1092" i="24"/>
  <c r="D423" i="24" a="1"/>
  <c r="D250" i="24" a="1"/>
  <c r="D1777" i="24" a="1"/>
  <c r="B1410" i="24" a="1"/>
  <c r="M830" i="24" a="1"/>
  <c r="H1384" i="24" a="1"/>
  <c r="H774" i="24" a="1"/>
  <c r="D1894" i="24" a="1"/>
  <c r="I696" i="24" a="1"/>
  <c r="H479" i="24" a="1"/>
  <c r="C33" i="24"/>
  <c r="M443" i="24" a="1"/>
  <c r="I1568" i="24" a="1"/>
  <c r="H421" i="24" a="1"/>
  <c r="B1205" i="24" a="1"/>
  <c r="C143" i="24"/>
  <c r="D946" i="24" a="1"/>
  <c r="I215" i="24" a="1"/>
  <c r="I1598" i="24" a="1"/>
  <c r="H1731" i="24" a="1"/>
  <c r="B1838" i="24" a="1"/>
  <c r="B339" i="24" a="1"/>
  <c r="C1486" i="24"/>
  <c r="I1537" i="24" a="1"/>
  <c r="M101" i="24" a="1"/>
  <c r="H135" i="24" a="1"/>
  <c r="H704" i="24" a="1"/>
  <c r="H318" i="24" a="1"/>
  <c r="B1580" i="24" a="1"/>
  <c r="C512" i="24"/>
  <c r="M834" i="24" a="1"/>
  <c r="H1779" i="24" a="1"/>
  <c r="H609" i="24" a="1"/>
  <c r="H1827" i="24" a="1"/>
  <c r="H1835" i="24" a="1"/>
  <c r="H14" i="24" a="1"/>
  <c r="I349" i="24" a="1"/>
  <c r="D556" i="24" a="1"/>
  <c r="M382" i="24" a="1"/>
  <c r="B203" i="24" a="1"/>
  <c r="D1472" i="24" a="1"/>
  <c r="D678" i="24" a="1"/>
  <c r="D1661" i="24" a="1"/>
  <c r="B17" i="24" a="1"/>
  <c r="I630" i="24" a="1"/>
  <c r="D617" i="24" a="1"/>
  <c r="M1424" i="24" a="1"/>
  <c r="C1129" i="24"/>
  <c r="C236" i="24"/>
  <c r="M43" i="24" a="1"/>
  <c r="C1097" i="24"/>
  <c r="D1591" i="24" a="1"/>
  <c r="D573" i="24" a="1"/>
  <c r="M1615" i="24" a="1"/>
  <c r="H223" i="24" a="1"/>
  <c r="I457" i="24" a="1"/>
  <c r="I643" i="24" a="1"/>
  <c r="I4" i="24" a="1"/>
  <c r="B548" i="24" a="1"/>
  <c r="I332" i="24" a="1"/>
  <c r="B826" i="24" a="1"/>
  <c r="C1340" i="24"/>
  <c r="B647" i="24" a="1"/>
  <c r="M553" i="24" a="1"/>
  <c r="B1734" i="24" a="1"/>
  <c r="B1741" i="24" a="1"/>
  <c r="I654" i="24" a="1"/>
  <c r="D1760" i="24" a="1"/>
  <c r="C663" i="24"/>
  <c r="C282" i="24"/>
  <c r="C1257" i="24"/>
  <c r="I1257" i="24" a="1"/>
  <c r="D1285" i="24" a="1"/>
  <c r="D1826" i="24" a="1"/>
  <c r="H1868" i="24" a="1"/>
  <c r="H484" i="24" a="1"/>
  <c r="H23" i="24" a="1"/>
  <c r="B1559" i="24" a="1"/>
  <c r="B118" i="24" a="1"/>
  <c r="H753" i="24" a="1"/>
  <c r="D157" i="24" a="1"/>
  <c r="H67" i="24" a="1"/>
  <c r="I1054" i="24" a="1"/>
  <c r="B1510" i="24" a="1"/>
  <c r="C292" i="24"/>
  <c r="D1694" i="24" a="1"/>
  <c r="B1375" i="24" a="1"/>
  <c r="C279" i="24"/>
  <c r="B521" i="24" a="1"/>
  <c r="D632" i="24" a="1"/>
  <c r="C1856" i="24"/>
  <c r="H361" i="24" a="1"/>
  <c r="C1304" i="24"/>
  <c r="B687" i="24" a="1"/>
  <c r="I254" i="24" a="1"/>
  <c r="B1855" i="24" a="1"/>
  <c r="I412" i="24" a="1"/>
  <c r="I101" i="24" a="1"/>
  <c r="H1316" i="24" a="1"/>
  <c r="D10" i="24" a="1"/>
  <c r="H1601" i="24" a="1"/>
  <c r="H55" i="24" a="1"/>
  <c r="B1764" i="24" a="1"/>
  <c r="H1120" i="24" a="1"/>
  <c r="B200" i="24" a="1"/>
  <c r="I680" i="24" a="1"/>
  <c r="H324" i="24" a="1"/>
  <c r="M797" i="24" a="1"/>
  <c r="H823" i="24" a="1"/>
  <c r="I543" i="24" a="1"/>
  <c r="B1434" i="24" a="1"/>
  <c r="H1315" i="24" a="1"/>
  <c r="D322" i="24" a="1"/>
  <c r="H1065" i="24" a="1"/>
  <c r="B1061" i="24" a="1"/>
  <c r="C268" i="24"/>
  <c r="M1022" i="24" a="1"/>
  <c r="D674" i="24" a="1"/>
  <c r="C1047" i="24"/>
  <c r="I1325" i="24" a="1"/>
  <c r="C1189" i="24"/>
  <c r="C1560" i="24"/>
  <c r="C249" i="24"/>
  <c r="D208" i="24" a="1"/>
  <c r="D139" i="24" a="1"/>
  <c r="I62" i="24" a="1"/>
  <c r="D890" i="24" a="1"/>
  <c r="H1220" i="24" a="1"/>
  <c r="B1276" i="24" a="1"/>
  <c r="H1111" i="24" a="1"/>
  <c r="M1038" i="24" a="1"/>
  <c r="C677" i="24"/>
  <c r="D1425" i="24" a="1"/>
  <c r="M339" i="24" a="1"/>
  <c r="D159" i="24" a="1"/>
  <c r="H1546" i="24" a="1"/>
  <c r="B376" i="24" a="1"/>
  <c r="B250" i="24" a="1"/>
  <c r="M1062" i="24" a="1"/>
  <c r="M22" i="24" a="1"/>
  <c r="D1112" i="24" a="1"/>
  <c r="H709" i="24" a="1"/>
  <c r="B336" i="24" a="1"/>
  <c r="D1253" i="24" a="1"/>
  <c r="B1193" i="24" a="1"/>
  <c r="M1384" i="24" a="1"/>
  <c r="B563" i="24" a="1"/>
  <c r="D499" i="24" a="1"/>
  <c r="M1448" i="24" a="1"/>
  <c r="C523" i="24"/>
  <c r="C251" i="24"/>
  <c r="C989" i="24"/>
  <c r="I296" i="24" a="1"/>
  <c r="I1078" i="24" a="1"/>
  <c r="I1012" i="24" a="1"/>
  <c r="M1168" i="24" a="1"/>
  <c r="C1725" i="24"/>
  <c r="D1089" i="24" a="1"/>
  <c r="M473" i="24" a="1"/>
  <c r="B1026" i="24" a="1"/>
  <c r="I1700" i="24" a="1"/>
  <c r="H203" i="24" a="1"/>
  <c r="H640" i="24" a="1"/>
  <c r="H1121" i="24" a="1"/>
  <c r="H890" i="24" a="1"/>
  <c r="H353" i="24" a="1"/>
  <c r="B864" i="24" a="1"/>
  <c r="D1494" i="24" a="1"/>
  <c r="D379" i="24" a="1"/>
  <c r="C110" i="24"/>
  <c r="B1182" i="24" a="1"/>
  <c r="B486" i="24" a="1"/>
  <c r="D1870" i="24" a="1"/>
  <c r="I53" i="24" a="1"/>
  <c r="D397" i="24" a="1"/>
  <c r="C454" i="24"/>
  <c r="C562" i="24"/>
  <c r="I260" i="24" a="1"/>
  <c r="M1407" i="24" a="1"/>
  <c r="C1194" i="24"/>
  <c r="I1514" i="24" a="1"/>
  <c r="H582" i="24" a="1"/>
  <c r="B707" i="24" a="1"/>
  <c r="M1401" i="24" a="1"/>
  <c r="D672" i="24" a="1"/>
  <c r="B1164" i="24" a="1"/>
  <c r="I634" i="24" a="1"/>
  <c r="H1102" i="24" a="1"/>
  <c r="C1720" i="24"/>
  <c r="M17" i="24" a="1"/>
  <c r="D1433" i="24" a="1"/>
  <c r="M881" i="24" a="1"/>
  <c r="I377" i="24" a="1"/>
  <c r="M1096" i="24" a="1"/>
  <c r="I1863" i="24" a="1"/>
  <c r="B711" i="24" a="1"/>
  <c r="H574" i="24" a="1"/>
  <c r="C828" i="24"/>
  <c r="I1217" i="24" a="1"/>
  <c r="C1416" i="24"/>
  <c r="H1702" i="24" a="1"/>
  <c r="M684" i="24" a="1"/>
  <c r="D676" i="24" a="1"/>
  <c r="D1328" i="24" a="1"/>
  <c r="I880" i="24" a="1"/>
  <c r="M1612" i="24" a="1"/>
  <c r="H1239" i="24" a="1"/>
  <c r="I383" i="24" a="1"/>
  <c r="M1660" i="24" a="1"/>
  <c r="B1206" i="24" a="1"/>
  <c r="H1034" i="24" a="1"/>
  <c r="C773" i="24"/>
  <c r="H65" i="24" a="1"/>
  <c r="H1190" i="24" a="1"/>
  <c r="B480" i="24" a="1"/>
  <c r="M314" i="24" a="1"/>
  <c r="B422" i="24" a="1"/>
  <c r="M291" i="24" a="1"/>
  <c r="I994" i="24" a="1"/>
  <c r="C1868" i="24"/>
  <c r="H297" i="24" a="1"/>
  <c r="D358" i="24" a="1"/>
  <c r="D1128" i="24" a="1"/>
  <c r="M307" i="24" a="1"/>
  <c r="D1529" i="24" a="1"/>
  <c r="B1834" i="24" a="1"/>
  <c r="M1599" i="24" a="1"/>
  <c r="C1741" i="24"/>
  <c r="B491" i="24" a="1"/>
  <c r="D1000" i="24" a="1"/>
  <c r="H227" i="24" a="1"/>
  <c r="D354" i="24" a="1"/>
  <c r="D781" i="24" a="1"/>
  <c r="D1773" i="24" a="1"/>
  <c r="H909" i="24" a="1"/>
  <c r="B1567" i="24" a="1"/>
  <c r="C356" i="24"/>
  <c r="I1151" i="24" a="1"/>
  <c r="H723" i="24" a="1"/>
  <c r="I1807" i="24" a="1"/>
  <c r="I870" i="24" a="1"/>
  <c r="D516" i="24" a="1"/>
  <c r="H323" i="24" a="1"/>
  <c r="B1148" i="24" a="1"/>
  <c r="H264" i="24" a="1"/>
  <c r="D521" i="24" a="1"/>
  <c r="M1449" i="24" a="1"/>
  <c r="D506" i="24" a="1"/>
  <c r="I13" i="24" a="1"/>
  <c r="B430" i="24" a="1"/>
  <c r="M434" i="24" a="1"/>
  <c r="C1785" i="24"/>
  <c r="M607" i="24" a="1"/>
  <c r="D331" i="24" a="1"/>
  <c r="H1156" i="24" a="1"/>
  <c r="I649" i="24" a="1"/>
  <c r="H284" i="24" a="1"/>
  <c r="B129" i="24" a="1"/>
  <c r="I1895" i="24" a="1"/>
  <c r="H311" i="24" a="1"/>
  <c r="H618" i="24" a="1"/>
  <c r="H1664" i="24" a="1"/>
  <c r="I764" i="24" a="1"/>
  <c r="B185" i="24" a="1"/>
  <c r="M337" i="24" a="1"/>
  <c r="D527" i="24" a="1"/>
  <c r="C323" i="24"/>
  <c r="B317" i="24" a="1"/>
  <c r="M180" i="24" a="1"/>
  <c r="I859" i="24" a="1"/>
  <c r="B1513" i="24" a="1"/>
  <c r="B261" i="24" a="1"/>
  <c r="I263" i="24" a="1"/>
  <c r="D460" i="24" a="1"/>
  <c r="C1074" i="24"/>
  <c r="B299" i="24" a="1"/>
  <c r="C415" i="24"/>
  <c r="D777" i="24" a="1"/>
  <c r="B127" i="24" a="1"/>
  <c r="C1709" i="24"/>
  <c r="H1213" i="24" a="1"/>
  <c r="C1681" i="24"/>
  <c r="I435" i="24" a="1"/>
  <c r="M676" i="24" a="1"/>
  <c r="B607" i="24" a="1"/>
  <c r="B469" i="24" a="1"/>
  <c r="H995" i="24" a="1"/>
  <c r="D4" i="24" a="1"/>
  <c r="D1018" i="24" a="1"/>
  <c r="C1182" i="24"/>
  <c r="I1358" i="24" a="1"/>
  <c r="H553" i="24" a="1"/>
  <c r="H149" i="24" a="1"/>
  <c r="B1516" i="24" a="1"/>
  <c r="D956" i="24" a="1"/>
  <c r="H358" i="24" a="1"/>
  <c r="D320" i="24" a="1"/>
  <c r="D393" i="24" a="1"/>
  <c r="C1099" i="24"/>
  <c r="B765" i="24" a="1"/>
  <c r="B286" i="24" a="1"/>
  <c r="D185" i="24" a="1"/>
  <c r="I1618" i="24" a="1"/>
  <c r="H1069" i="24" a="1"/>
  <c r="B116" i="24" a="1"/>
  <c r="B296" i="24" a="1"/>
  <c r="B264" i="24" a="1"/>
  <c r="D332" i="24" a="1"/>
  <c r="D14" i="24" a="1"/>
  <c r="D843" i="24" a="1"/>
  <c r="H89" i="24" a="1"/>
  <c r="I857" i="24" a="1"/>
  <c r="M1391" i="24" a="1"/>
  <c r="D199" i="24" a="1"/>
  <c r="H261" i="24" a="1"/>
  <c r="I1101" i="24" a="1"/>
  <c r="I485" i="24" a="1"/>
  <c r="M1596" i="24" a="1"/>
  <c r="I1746" i="24" a="1"/>
  <c r="H1249" i="24" a="1"/>
  <c r="C499" i="24"/>
  <c r="C160" i="24"/>
  <c r="M1075" i="24" a="1"/>
  <c r="M690" i="24" a="1"/>
  <c r="I846" i="24" a="1"/>
  <c r="B1875" i="24" a="1"/>
  <c r="I819" i="24" a="1"/>
  <c r="C1537" i="24"/>
  <c r="C95" i="24"/>
  <c r="C997" i="24"/>
  <c r="D1528" i="24" a="1"/>
  <c r="H992" i="24" a="1"/>
  <c r="B686" i="24" a="1"/>
  <c r="C406" i="24"/>
  <c r="C1319" i="24"/>
  <c r="I984" i="24" a="1"/>
  <c r="B382" i="24" a="1"/>
  <c r="H1033" i="24" a="1"/>
  <c r="D1317" i="24" a="1"/>
  <c r="I1205" i="24" a="1"/>
  <c r="H266" i="24" a="1"/>
  <c r="B1800" i="24" a="1"/>
  <c r="B241" i="24" a="1"/>
  <c r="H1007" i="24" a="1"/>
  <c r="C449" i="24"/>
  <c r="B68" i="24" a="1"/>
  <c r="C521" i="24"/>
  <c r="M405" i="24" a="1"/>
  <c r="I1570" i="24" a="1"/>
  <c r="C525" i="24"/>
  <c r="H1709" i="24" a="1"/>
  <c r="B1156" i="24" a="1"/>
  <c r="C479" i="24"/>
  <c r="H340" i="24" a="1"/>
  <c r="I395" i="24" a="1"/>
  <c r="D634" i="24" a="1"/>
  <c r="H1221" i="24" a="1"/>
  <c r="H375" i="24" a="1"/>
  <c r="H1142" i="24" a="1"/>
  <c r="D1001" i="24" a="1"/>
  <c r="M41" i="24" a="1"/>
  <c r="H1024" i="24" a="1"/>
  <c r="D25" i="24" a="1"/>
  <c r="B165" i="24" a="1"/>
  <c r="D547" i="24" a="1"/>
  <c r="H989" i="24" a="1"/>
  <c r="I1189" i="24" a="1"/>
  <c r="B1786" i="24" a="1"/>
  <c r="D246" i="24" a="1"/>
  <c r="D750" i="24" a="1"/>
  <c r="C1391" i="24"/>
  <c r="M884" i="24" a="1"/>
  <c r="I1693" i="24" a="1"/>
  <c r="H37" i="24" a="1"/>
  <c r="I98" i="24" a="1"/>
  <c r="M802" i="24" a="1"/>
  <c r="B169" i="24" a="1"/>
  <c r="C1476" i="24"/>
  <c r="D1172" i="24" a="1"/>
  <c r="D834" i="24" a="1"/>
  <c r="B1146" i="24" a="1"/>
  <c r="D1398" i="24" a="1"/>
  <c r="D1381" i="24" a="1"/>
  <c r="I242" i="24" a="1"/>
  <c r="H928" i="24" a="1"/>
  <c r="C840" i="24"/>
  <c r="I1748" i="24" a="1"/>
  <c r="I1450" i="24" a="1"/>
  <c r="H916" i="24" a="1"/>
  <c r="H684" i="24" a="1"/>
  <c r="H1644" i="24" a="1"/>
  <c r="I754" i="24" a="1"/>
  <c r="M1031" i="24" a="1"/>
  <c r="C882" i="24"/>
  <c r="H904" i="24" a="1"/>
  <c r="H1547" i="24" a="1"/>
  <c r="M236" i="24" a="1"/>
  <c r="C1483" i="24"/>
  <c r="D469" i="24" a="1"/>
  <c r="D402" i="24" a="1"/>
  <c r="B1531" i="24" a="1"/>
  <c r="D866" i="24" a="1"/>
  <c r="D691" i="24" a="1"/>
  <c r="D919" i="24" a="1"/>
  <c r="M938" i="24" a="1"/>
  <c r="B1216" i="24" a="1"/>
  <c r="D638" i="24" a="1"/>
  <c r="H597" i="24" a="1"/>
  <c r="I1530" i="24" a="1"/>
  <c r="B1186" i="24" a="1"/>
  <c r="D1444" i="24" a="1"/>
  <c r="B235" i="24" a="1"/>
  <c r="D1442" i="24" a="1"/>
  <c r="C1701" i="24"/>
  <c r="H1689" i="24" a="1"/>
  <c r="H662" i="24" a="1"/>
  <c r="B313" i="24" a="1"/>
  <c r="D283" i="24" a="1"/>
  <c r="B684" i="24" a="1"/>
  <c r="B1634" i="24" a="1"/>
  <c r="D21" i="24" a="1"/>
  <c r="I645" i="24" a="1"/>
  <c r="B355" i="24" a="1"/>
  <c r="M372" i="24" a="1"/>
  <c r="I995" i="24" a="1"/>
  <c r="D1138" i="24" a="1"/>
  <c r="B254" i="24" a="1"/>
  <c r="M98" i="24" a="1"/>
  <c r="H713" i="24" a="1"/>
  <c r="I343" i="24" a="1"/>
  <c r="B374" i="24" a="1"/>
  <c r="B1208" i="24" a="1"/>
  <c r="I1584" i="24" a="1"/>
  <c r="C788" i="24"/>
  <c r="H460" i="24" a="1"/>
  <c r="B573" i="24" a="1"/>
  <c r="B219" i="24" a="1"/>
  <c r="I828" i="24" a="1"/>
  <c r="B1481" i="24" a="1"/>
  <c r="H1402" i="24" a="1"/>
  <c r="D776" i="24" a="1"/>
  <c r="M1272" i="24" a="1"/>
  <c r="I1426" i="24" a="1"/>
  <c r="B85" i="24" a="1"/>
  <c r="H847" i="24" a="1"/>
  <c r="H755" i="24" a="1"/>
  <c r="H1722" i="24" a="1"/>
  <c r="H648" i="24" a="1"/>
  <c r="M693" i="24" a="1"/>
  <c r="D177" i="24" a="1"/>
  <c r="C807" i="24"/>
  <c r="C569" i="24"/>
  <c r="M392" i="24" a="1"/>
  <c r="D1797" i="24" a="1"/>
  <c r="C1213" i="24"/>
  <c r="H1607" i="24" a="1"/>
  <c r="B867" i="24" a="1"/>
  <c r="H494" i="24" a="1"/>
  <c r="C491" i="24"/>
  <c r="I36" i="24" a="1"/>
  <c r="I964" i="24" a="1"/>
  <c r="H739" i="24" a="1"/>
  <c r="I992" i="24" a="1"/>
  <c r="M798" i="24" a="1"/>
  <c r="C301" i="24"/>
  <c r="M582" i="24" a="1"/>
  <c r="B1247" i="24" a="1"/>
  <c r="B641" i="24" a="1"/>
  <c r="I795" i="24" a="1"/>
  <c r="B568" i="24" a="1"/>
  <c r="H477" i="24" a="1"/>
  <c r="B133" i="24" a="1"/>
  <c r="I467" i="24" a="1"/>
  <c r="I1602" i="24" a="1"/>
  <c r="D226" i="24" a="1"/>
  <c r="C884" i="24"/>
  <c r="H1328" i="24" a="1"/>
  <c r="C881" i="24"/>
  <c r="H1297" i="24" a="1"/>
  <c r="M1567" i="24" a="1"/>
  <c r="B508" i="24" a="1"/>
  <c r="C116" i="24"/>
  <c r="C398" i="24"/>
  <c r="D223" i="24" a="1"/>
  <c r="I1081" i="24" a="1"/>
  <c r="I1586" i="24" a="1"/>
  <c r="D464" i="24" a="1"/>
  <c r="I806" i="24" a="1"/>
  <c r="D1400" i="24" a="1"/>
  <c r="C694" i="24"/>
  <c r="C60" i="24"/>
  <c r="B1724" i="24" a="1"/>
  <c r="D1011" i="24" a="1"/>
  <c r="D263" i="24" a="1"/>
  <c r="C1464" i="24"/>
  <c r="D493" i="24" a="1"/>
  <c r="H1568" i="24" a="1"/>
  <c r="H1332" i="24" a="1"/>
  <c r="H600" i="24" a="1"/>
  <c r="M577" i="24" a="1"/>
  <c r="B666" i="24" a="1"/>
  <c r="C225" i="24"/>
  <c r="B872" i="24" a="1"/>
  <c r="D290" i="24" a="1"/>
  <c r="H241" i="24" a="1"/>
  <c r="B1483" i="24" a="1"/>
  <c r="M535" i="24" a="1"/>
  <c r="M1091" i="24" a="1"/>
  <c r="I1127" i="24" a="1"/>
  <c r="I393" i="24" a="1"/>
  <c r="I38" i="24" a="1"/>
  <c r="C1851" i="24"/>
  <c r="B896" i="24" a="1"/>
  <c r="C1495" i="24"/>
  <c r="M1485" i="24" a="1"/>
  <c r="C162" i="24"/>
  <c r="M449" i="24" a="1"/>
  <c r="B1037" i="24" a="1"/>
  <c r="H338" i="24" a="1"/>
  <c r="H160" i="24" a="1"/>
  <c r="D808" i="24" a="1"/>
  <c r="M821" i="24" a="1"/>
  <c r="B94" i="24" a="1"/>
  <c r="H1854" i="24" a="1"/>
  <c r="M921" i="24" a="1"/>
  <c r="C608" i="24"/>
  <c r="I376" i="24" a="1"/>
  <c r="D779" i="24" a="1"/>
  <c r="M1279" i="24" a="1"/>
  <c r="D298" i="24" a="1"/>
  <c r="B841" i="24" a="1"/>
  <c r="D1049" i="24" a="1"/>
  <c r="D1406" i="24" a="1"/>
  <c r="H1106" i="24" a="1"/>
  <c r="H1377" i="24" a="1"/>
  <c r="D1637" i="24" a="1"/>
  <c r="H1849" i="24" a="1"/>
  <c r="B413" i="24" a="1"/>
  <c r="M517" i="24" a="1"/>
  <c r="D1495" i="24" a="1"/>
  <c r="B167" i="24" a="1"/>
  <c r="D1243" i="24" a="1"/>
  <c r="H1441" i="24" a="1"/>
  <c r="M1543" i="24" a="1"/>
  <c r="C187" i="24"/>
  <c r="H642" i="24" a="1"/>
  <c r="B1543" i="24" a="1"/>
  <c r="H998" i="24" a="1"/>
  <c r="C1086" i="24"/>
  <c r="B1825" i="24" a="1"/>
  <c r="H249" i="24" a="1"/>
  <c r="D140" i="24" a="1"/>
  <c r="D1486" i="24" a="1"/>
  <c r="D1733" i="24" a="1"/>
  <c r="H1590" i="24" a="1"/>
  <c r="M1463" i="24" a="1"/>
  <c r="B1439" i="24" a="1"/>
  <c r="B678" i="24" a="1"/>
  <c r="I16" i="24" a="1"/>
  <c r="H828" i="24" a="1"/>
  <c r="M596" i="24" a="1"/>
  <c r="B1561" i="24" a="1"/>
  <c r="C1288" i="24"/>
  <c r="H214" i="24" a="1"/>
  <c r="M27" i="24" a="1"/>
  <c r="I1247" i="24" a="1"/>
  <c r="M229" i="24" a="1"/>
  <c r="I1123" i="24" a="1"/>
  <c r="I1894" i="24" a="1"/>
  <c r="D294" i="24" a="1"/>
  <c r="C423" i="24"/>
  <c r="H1286" i="24" a="1"/>
  <c r="B1459" i="24" a="1"/>
  <c r="H1122" i="24" a="1"/>
  <c r="C858" i="24"/>
  <c r="D1225" i="24" a="1"/>
  <c r="H563" i="24" a="1"/>
  <c r="H1019" i="24" a="1"/>
  <c r="B1778" i="24" a="1"/>
  <c r="M906" i="24" a="1"/>
  <c r="I728" i="24" a="1"/>
  <c r="C201" i="24"/>
  <c r="H809" i="24" a="1"/>
  <c r="B190" i="24" a="1"/>
  <c r="H1848" i="24" a="1"/>
  <c r="H250" i="24" a="1"/>
  <c r="I429" i="24" a="1"/>
  <c r="C1403" i="24"/>
  <c r="I486" i="24" a="1"/>
  <c r="H1662" i="24" a="1"/>
  <c r="M809" i="24" a="1"/>
  <c r="I1479" i="24" a="1"/>
  <c r="H1263" i="24" a="1"/>
  <c r="B386" i="24" a="1"/>
  <c r="C691" i="24"/>
  <c r="I369" i="24" a="1"/>
  <c r="H666" i="24" a="1"/>
  <c r="B1887" i="24" a="1"/>
  <c r="C1886" i="24"/>
  <c r="I792" i="24" a="1"/>
  <c r="B1000" i="24" a="1"/>
  <c r="M721" i="24" a="1"/>
  <c r="I402" i="24" a="1"/>
  <c r="B675" i="24" a="1"/>
  <c r="B1407" i="24" a="1"/>
  <c r="H1391" i="24" a="1"/>
  <c r="D1203" i="24" a="1"/>
  <c r="C365" i="24"/>
  <c r="D1890" i="24" a="1"/>
  <c r="H1738" i="24" a="1"/>
  <c r="B239" i="24" a="1"/>
  <c r="H1805" i="24" a="1"/>
  <c r="H888" i="24" a="1"/>
  <c r="C901" i="24"/>
  <c r="C546" i="24"/>
  <c r="C1548" i="24"/>
  <c r="B295" i="24" a="1"/>
  <c r="B717" i="24" a="1"/>
  <c r="C1314" i="24"/>
  <c r="C55" i="24"/>
  <c r="B242" i="24" a="1"/>
  <c r="C58" i="24"/>
  <c r="I502" i="24" a="1"/>
  <c r="M760" i="24" a="1"/>
  <c r="H657" i="24" a="1"/>
  <c r="D202" i="24" a="1"/>
  <c r="M1205" i="24" a="1"/>
  <c r="I1626" i="24" a="1"/>
  <c r="B712" i="24" a="1"/>
  <c r="D353" i="24" a="1"/>
  <c r="D967" i="24" a="1"/>
  <c r="C1193" i="24"/>
  <c r="D1784" i="24" a="1"/>
  <c r="C563" i="24"/>
  <c r="I75" i="24" a="1"/>
  <c r="M1336" i="24" a="1"/>
  <c r="I57" i="24" a="1"/>
  <c r="H514" i="24" a="1"/>
  <c r="C1217" i="24"/>
  <c r="B1451" i="24" a="1"/>
  <c r="I1686" i="24" a="1"/>
  <c r="H1021" i="24" a="1"/>
  <c r="B1265" i="24" a="1"/>
  <c r="H354" i="24" a="1"/>
  <c r="M247" i="24" a="1"/>
  <c r="C816" i="24"/>
  <c r="M1013" i="24" a="1"/>
  <c r="M70" i="24" a="1"/>
  <c r="C1241" i="24"/>
  <c r="M1267" i="24" a="1"/>
  <c r="H660" i="24" a="1"/>
  <c r="H36" i="24" a="1"/>
  <c r="B851" i="24" a="1"/>
  <c r="H556" i="24" a="1"/>
  <c r="D1236" i="24" a="1"/>
  <c r="D618" i="24" a="1"/>
  <c r="H919" i="24" a="1"/>
  <c r="C119" i="24"/>
  <c r="H1836" i="24" a="1"/>
  <c r="D297" i="24" a="1"/>
  <c r="D1129" i="24" a="1"/>
  <c r="D1036" i="24" a="1"/>
  <c r="M851" i="24" a="1"/>
  <c r="H425" i="24" a="1"/>
  <c r="B1542" i="24" a="1"/>
  <c r="M1251" i="24" a="1"/>
  <c r="I47" i="24" a="1"/>
  <c r="C791" i="24"/>
  <c r="B1662" i="24" a="1"/>
  <c r="M194" i="24" a="1"/>
  <c r="C1173" i="24"/>
  <c r="D709" i="24" a="1"/>
  <c r="B716" i="24" a="1"/>
  <c r="M1459" i="24" a="1"/>
  <c r="B340" i="24" a="1"/>
  <c r="M306" i="24" a="1"/>
  <c r="M669" i="24" a="1"/>
  <c r="M711" i="24" a="1"/>
  <c r="C1139" i="24"/>
  <c r="D778" i="24" a="1"/>
  <c r="D359" i="24" a="1"/>
  <c r="C1631" i="24"/>
  <c r="B566" i="24" a="1"/>
  <c r="H1067" i="24" a="1"/>
  <c r="D668" i="24" a="1"/>
  <c r="I966" i="24" a="1"/>
  <c r="C1774" i="24"/>
  <c r="D1902" i="24" a="1"/>
  <c r="C1315" i="24"/>
  <c r="B345" i="24" a="1"/>
  <c r="H1317" i="24" a="1"/>
  <c r="D1692" i="24" a="1"/>
  <c r="M1499" i="24" a="1"/>
  <c r="M923" i="24" a="1"/>
  <c r="I555" i="24" a="1"/>
  <c r="I1055" i="24" a="1"/>
  <c r="C25" i="24"/>
  <c r="H1261" i="24" a="1"/>
  <c r="B884" i="24" a="1"/>
  <c r="D933" i="24" a="1"/>
  <c r="D1108" i="24" a="1"/>
  <c r="C1305" i="24"/>
  <c r="D962" i="24" a="1"/>
  <c r="H936" i="24" a="1"/>
  <c r="M1440" i="24" a="1"/>
  <c r="D345" i="24" a="1"/>
  <c r="M1547" i="24" a="1"/>
  <c r="B87" i="24" a="1"/>
  <c r="H309" i="24" a="1"/>
  <c r="H1049" i="24" a="1"/>
  <c r="C241" i="24"/>
  <c r="D1833" i="24" a="1"/>
  <c r="I771" i="24" a="1"/>
  <c r="H369" i="24" a="1"/>
  <c r="H403" i="24" a="1"/>
  <c r="I1469" i="24" a="1"/>
  <c r="M650" i="24" a="1"/>
  <c r="D377" i="24" a="1"/>
  <c r="C144" i="24"/>
  <c r="H1232" i="24" a="1"/>
  <c r="M1510" i="24" a="1"/>
  <c r="B986" i="24" a="1"/>
  <c r="C638" i="24"/>
  <c r="I493" i="24" a="1"/>
  <c r="I1473" i="24" a="1"/>
  <c r="I1844" i="24" a="1"/>
  <c r="H1880" i="24" a="1"/>
  <c r="C1164" i="24"/>
  <c r="D314" i="24" a="1"/>
  <c r="B1209" i="24" a="1"/>
  <c r="H1233" i="24" a="1"/>
  <c r="I1394" i="24" a="1"/>
  <c r="B849" i="24" a="1"/>
  <c r="B1009" i="24" a="1"/>
  <c r="H1323" i="24" a="1"/>
  <c r="I1669" i="24" a="1"/>
  <c r="B1228" i="24" a="1"/>
  <c r="D1271" i="24" a="1"/>
  <c r="D1045" i="24" a="1"/>
  <c r="D755" i="24" a="1"/>
  <c r="M1621" i="24" a="1"/>
  <c r="I619" i="24" a="1"/>
  <c r="D237" i="24" a="1"/>
  <c r="C464" i="24"/>
  <c r="M1527" i="24" a="1"/>
  <c r="D697" i="24" a="1"/>
  <c r="C108" i="24"/>
  <c r="I1704" i="24" a="1"/>
  <c r="I110" i="24" a="1"/>
  <c r="I288" i="24" a="1"/>
  <c r="H1088" i="24" a="1"/>
  <c r="D935" i="24" a="1"/>
  <c r="B985" i="24" a="1"/>
  <c r="I793" i="24" a="1"/>
  <c r="D1751" i="24" a="1"/>
  <c r="D1152" i="24" a="1"/>
  <c r="D196" i="24" a="1"/>
  <c r="B1469" i="24" a="1"/>
  <c r="H1651" i="24" a="1"/>
  <c r="B526" i="24" a="1"/>
  <c r="I90" i="24" a="1"/>
  <c r="B1108" i="24" a="1"/>
  <c r="M981" i="24" a="1"/>
  <c r="M186" i="24" a="1"/>
  <c r="D1263" i="24" a="1"/>
  <c r="M602" i="24" a="1"/>
  <c r="D417" i="24" a="1"/>
  <c r="I1164" i="24" a="1"/>
  <c r="D1831" i="24" a="1"/>
  <c r="I1235" i="24" a="1"/>
  <c r="I1353" i="24" a="1"/>
  <c r="C833" i="24"/>
  <c r="C488" i="24"/>
  <c r="C1827" i="24"/>
  <c r="B1087" i="24" a="1"/>
  <c r="B96" i="24" a="1"/>
  <c r="M171" i="24" a="1"/>
  <c r="B1278" i="24" a="1"/>
  <c r="M816" i="24" a="1"/>
  <c r="H22" i="24" a="1"/>
  <c r="B1524" i="24" a="1"/>
  <c r="D647" i="24" a="1"/>
  <c r="D1065" i="24" a="1"/>
  <c r="I297" i="24" a="1"/>
  <c r="I573" i="24" a="1"/>
  <c r="I722" i="24" a="1"/>
  <c r="C1098" i="24"/>
  <c r="B1897" i="24" a="1"/>
  <c r="D961" i="24" a="1"/>
  <c r="I831" i="24" a="1"/>
  <c r="B1900" i="24" a="1"/>
  <c r="B586" i="24" a="1"/>
  <c r="C1481" i="24"/>
  <c r="B517" i="24" a="1"/>
  <c r="H578" i="24" a="1"/>
  <c r="M1399" i="24" a="1"/>
  <c r="C894" i="24"/>
  <c r="B1157" i="24" a="1"/>
  <c r="M457" i="24" a="1"/>
  <c r="D1771" i="24" a="1"/>
  <c r="B1782" i="24" a="1"/>
  <c r="D1536" i="24" a="1"/>
  <c r="H681" i="24" a="1"/>
  <c r="M749" i="24" a="1"/>
  <c r="C495" i="24"/>
  <c r="D1215" i="24" a="1"/>
  <c r="B861" i="24" a="1"/>
  <c r="D1353" i="24" a="1"/>
  <c r="H1516" i="24" a="1"/>
  <c r="M446" i="24" a="1"/>
  <c r="I1903" i="24" a="1"/>
  <c r="D570" i="24" a="1"/>
  <c r="B145" i="24" a="1"/>
  <c r="M963" i="24" a="1"/>
  <c r="I688" i="24" a="1"/>
  <c r="M1189" i="24" a="1"/>
  <c r="B267" i="24" a="1"/>
  <c r="M1664" i="24" a="1"/>
  <c r="D407" i="24" a="1"/>
  <c r="C1465" i="24"/>
  <c r="H751" i="24" a="1"/>
  <c r="D633" i="24" a="1"/>
  <c r="D167" i="24" a="1"/>
  <c r="M820" i="24" a="1"/>
  <c r="D434" i="24" a="1"/>
  <c r="H1252" i="24" a="1"/>
  <c r="H367" i="24" a="1"/>
  <c r="C346" i="24"/>
  <c r="M20" i="24" a="1"/>
  <c r="B1231" i="24" a="1"/>
  <c r="D1265" i="24" a="1"/>
  <c r="H1193" i="24" a="1"/>
  <c r="B927" i="24" a="1"/>
  <c r="H1495" i="24" a="1"/>
  <c r="B907" i="24" a="1"/>
  <c r="H1223" i="24" a="1"/>
  <c r="B808" i="24" a="1"/>
  <c r="D918" i="24" a="1"/>
  <c r="H1266" i="24" a="1"/>
  <c r="I1520" i="24" a="1"/>
  <c r="H1826" i="24" a="1"/>
  <c r="C173" i="24"/>
  <c r="H863" i="24" a="1"/>
  <c r="D1141" i="24" a="1"/>
  <c r="I812" i="24" a="1"/>
  <c r="B971" i="24" a="1"/>
  <c r="I1381" i="24" a="1"/>
  <c r="B223" i="24" a="1"/>
  <c r="M1227" i="24" a="1"/>
  <c r="C543" i="24"/>
  <c r="C1392" i="24"/>
  <c r="I1734" i="24" a="1"/>
  <c r="B1717" i="24" a="1"/>
  <c r="C747" i="24"/>
  <c r="H922" i="24" a="1"/>
  <c r="H8" i="24" a="1"/>
  <c r="B1176" i="24" a="1"/>
  <c r="B925" i="24" a="1"/>
  <c r="B184" i="24" a="1"/>
  <c r="B507" i="24" a="1"/>
  <c r="I385" i="24" a="1"/>
  <c r="I1104" i="24" a="1"/>
  <c r="I1209" i="24" a="1"/>
  <c r="H314" i="24" a="1"/>
  <c r="C967" i="24"/>
  <c r="C1642" i="24"/>
  <c r="I289" i="24" a="1"/>
  <c r="H193" i="24" a="1"/>
  <c r="C1161" i="24"/>
  <c r="C1073" i="24"/>
  <c r="C877" i="24"/>
  <c r="B148" i="24" a="1"/>
  <c r="M149" i="24" a="1"/>
  <c r="D802" i="24" a="1"/>
  <c r="C1152" i="24"/>
  <c r="D936" i="24" a="1"/>
  <c r="C462" i="24"/>
  <c r="C1034" i="24"/>
  <c r="M547" i="24" a="1"/>
  <c r="M815" i="24" a="1"/>
  <c r="B1902" i="24" a="1"/>
  <c r="B357" i="24" a="1"/>
  <c r="M122" i="24" a="1"/>
  <c r="D156" i="24" a="1"/>
  <c r="I725" i="24" a="1"/>
  <c r="I505" i="24" a="1"/>
  <c r="M727" i="24" a="1"/>
  <c r="H1789" i="24" a="1"/>
  <c r="D94" i="24" a="1"/>
  <c r="H1483" i="24" a="1"/>
  <c r="B321" i="24" a="1"/>
  <c r="H1208" i="24" a="1"/>
  <c r="M1056" i="24" a="1"/>
  <c r="I1196" i="24" a="1"/>
  <c r="B1101" i="24" a="1"/>
  <c r="C1637" i="24"/>
  <c r="C1397" i="24"/>
  <c r="C547" i="24"/>
  <c r="M764" i="24" a="1"/>
  <c r="H531" i="24" a="1"/>
  <c r="M953" i="24" a="1"/>
  <c r="D973" i="24" a="1"/>
  <c r="M1257" i="24" a="1"/>
  <c r="H562" i="24" a="1"/>
  <c r="C769" i="24"/>
  <c r="C1413" i="24"/>
  <c r="C167" i="24"/>
  <c r="B1077" i="24" a="1"/>
  <c r="I1383" i="24" a="1"/>
  <c r="C1245" i="24"/>
  <c r="M713" i="24" a="1"/>
  <c r="B694" i="24" a="1"/>
  <c r="D1134" i="24" a="1"/>
  <c r="M500" i="24" a="1"/>
  <c r="B1824" i="24" a="1"/>
  <c r="I1282" i="24" a="1"/>
  <c r="I588" i="24" a="1"/>
  <c r="H1081" i="24" a="1"/>
  <c r="H196" i="24" a="1"/>
  <c r="H1793" i="24" a="1"/>
  <c r="C1277" i="24"/>
  <c r="I1378" i="24" a="1"/>
  <c r="D985" i="24" a="1"/>
  <c r="C1373" i="24"/>
  <c r="C968" i="24"/>
  <c r="D471" i="24" a="1"/>
  <c r="D977" i="24" a="1"/>
  <c r="H1056" i="24" a="1"/>
  <c r="H1875" i="24" a="1"/>
  <c r="B942" i="24" a="1"/>
  <c r="H1633" i="24" a="1"/>
  <c r="D1063" i="24" a="1"/>
  <c r="C876" i="24"/>
  <c r="M880" i="24" a="1"/>
  <c r="C1080" i="24"/>
  <c r="M200" i="24" a="1"/>
  <c r="I211" i="24" a="1"/>
  <c r="D1228" i="24" a="1"/>
  <c r="H341" i="24" a="1"/>
  <c r="B999" i="24" a="1"/>
  <c r="D1151" i="24" a="1"/>
  <c r="B514" i="24" a="1"/>
  <c r="B1767" i="24" a="1"/>
  <c r="H463" i="24" a="1"/>
  <c r="C483" i="24"/>
  <c r="B1749" i="24" a="1"/>
  <c r="H1139" i="24" a="1"/>
  <c r="C104" i="24"/>
  <c r="C1451" i="24"/>
  <c r="H528" i="24" a="1"/>
  <c r="B567" i="24" a="1"/>
  <c r="M1665" i="24" a="1"/>
  <c r="B298" i="24" a="1"/>
  <c r="C1176" i="24"/>
  <c r="M876" i="24" a="1"/>
  <c r="C1177" i="24"/>
  <c r="H81" i="24" a="1"/>
  <c r="H1347" i="24" a="1"/>
  <c r="B175" i="24" a="1"/>
  <c r="D1007" i="24" a="1"/>
  <c r="D1663" i="24" a="1"/>
  <c r="H1670" i="24" a="1"/>
  <c r="M1866" i="24" a="1"/>
  <c r="B380" i="24" a="1"/>
  <c r="C659" i="24"/>
  <c r="D858" i="24" a="1"/>
  <c r="I1102" i="24" a="1"/>
  <c r="D1507" i="24" a="1"/>
  <c r="C456" i="24"/>
  <c r="H568" i="24" a="1"/>
  <c r="C205" i="24"/>
  <c r="C987" i="24"/>
  <c r="B881" i="24" a="1"/>
  <c r="B1859" i="24" a="1"/>
  <c r="D525" i="24" a="1"/>
  <c r="B1075" i="24" a="1"/>
  <c r="C567" i="24"/>
  <c r="C972" i="24"/>
  <c r="B1595" i="24" a="1"/>
  <c r="I1047" i="24" a="1"/>
  <c r="I1311" i="24" a="1"/>
  <c r="B245" i="24" a="1"/>
  <c r="H1341" i="24" a="1"/>
  <c r="B74" i="24" a="1"/>
  <c r="B294" i="24" a="1"/>
  <c r="B1259" i="24" a="1"/>
  <c r="D1035" i="24" a="1"/>
  <c r="H1476" i="24" a="1"/>
  <c r="B710" i="24" a="1"/>
  <c r="C482" i="24"/>
  <c r="D249" i="24" a="1"/>
  <c r="H956" i="24" a="1"/>
  <c r="I25" i="24" a="1"/>
  <c r="M1519" i="24" a="1"/>
  <c r="I960" i="24" a="1"/>
  <c r="C458" i="24"/>
  <c r="I1699" i="24" a="1"/>
  <c r="D350" i="24" a="1"/>
  <c r="H424" i="24" a="1"/>
  <c r="C1567" i="24"/>
  <c r="C763" i="24"/>
  <c r="D838" i="24" a="1"/>
  <c r="M321" i="24" a="1"/>
  <c r="D24" i="24" a="1"/>
  <c r="B1403" i="24" a="1"/>
  <c r="D987" i="24" a="1"/>
  <c r="B1135" i="24" a="1"/>
  <c r="H1123" i="24" a="1"/>
  <c r="H1296" i="24" a="1"/>
  <c r="H1160" i="24" a="1"/>
  <c r="M280" i="24" a="1"/>
  <c r="B1310" i="24" a="1"/>
  <c r="H1504" i="24" a="1"/>
  <c r="D1610" i="24" a="1"/>
  <c r="B243" i="24" a="1"/>
  <c r="D79" i="24" a="1"/>
  <c r="I627" i="24" a="1"/>
  <c r="I1803" i="24" a="1"/>
  <c r="C1136" i="24"/>
  <c r="B24" i="24" a="1"/>
  <c r="D610" i="24" a="1"/>
  <c r="D1019" i="24" a="1"/>
  <c r="B1883" i="24" a="1"/>
  <c r="H1268" i="24" a="1"/>
  <c r="D1099" i="24" a="1"/>
  <c r="I1233" i="24" a="1"/>
  <c r="M552" i="24" a="1"/>
  <c r="H604" i="24" a="1"/>
  <c r="D1396" i="24" a="1"/>
  <c r="B35" i="24" a="1"/>
  <c r="B101" i="24" a="1"/>
  <c r="I894" i="24" a="1"/>
  <c r="C515" i="24"/>
  <c r="M344" i="24" a="1"/>
  <c r="I1128" i="24" a="1"/>
  <c r="C471" i="24"/>
  <c r="D280" i="24" a="1"/>
  <c r="B1709" i="24" a="1"/>
  <c r="H900" i="24" a="1"/>
  <c r="I103" i="24" a="1"/>
  <c r="C805" i="24"/>
  <c r="I257" i="24" a="1"/>
  <c r="B1053" i="24" a="1"/>
  <c r="H841" i="24" a="1"/>
  <c r="I1097" i="24" a="1"/>
  <c r="C422" i="24"/>
  <c r="M1024" i="24" a="1"/>
  <c r="I1007" i="24" a="1"/>
  <c r="I1878" i="24" a="1"/>
  <c r="I436" i="24" a="1"/>
  <c r="I1377" i="24" a="1"/>
  <c r="B770" i="24" a="1"/>
  <c r="D253" i="24" a="1"/>
  <c r="I858" i="24" a="1"/>
  <c r="H76" i="24" a="1"/>
  <c r="D706" i="24" a="1"/>
  <c r="H1322" i="24" a="1"/>
  <c r="D1067" i="24" a="1"/>
  <c r="H663" i="24" a="1"/>
  <c r="C154" i="24"/>
  <c r="B1873" i="24" a="1"/>
  <c r="B1127" i="24" a="1"/>
  <c r="M54" i="24" a="1"/>
  <c r="B1138" i="24" a="1"/>
  <c r="D115" i="24" a="1"/>
  <c r="B1388" i="24" a="1"/>
  <c r="M507" i="24" a="1"/>
  <c r="B1751" i="24" a="1"/>
  <c r="M46" i="24" a="1"/>
  <c r="H281" i="24" a="1"/>
  <c r="C1614" i="24"/>
  <c r="H237" i="24" a="1"/>
  <c r="I1048" i="24" a="1"/>
  <c r="C1601" i="24"/>
  <c r="I1540" i="24" a="1"/>
  <c r="D1565" i="24" a="1"/>
  <c r="C1898" i="24"/>
  <c r="D1892" i="24" a="1"/>
  <c r="B383" i="24" a="1"/>
  <c r="B1191" i="24" a="1"/>
  <c r="C1393" i="24"/>
  <c r="I760" i="24" a="1"/>
  <c r="D488" i="24" a="1"/>
  <c r="D1092" i="24" a="1"/>
  <c r="I1812" i="24" a="1"/>
  <c r="I1548" i="24" a="1"/>
  <c r="B1440" i="24" a="1"/>
  <c r="B1563" i="24" a="1"/>
  <c r="D1849" i="24" a="1"/>
  <c r="C505" i="24"/>
  <c r="I92" i="24" a="1"/>
  <c r="B1271" i="24" a="1"/>
  <c r="H1858" i="24" a="1"/>
  <c r="B1293" i="24" a="1"/>
  <c r="B122" i="24" a="1"/>
  <c r="D1190" i="24" a="1"/>
  <c r="I1203" i="24" a="1"/>
  <c r="M1101" i="24" a="1"/>
  <c r="M1343" i="24" a="1"/>
  <c r="M903" i="24" a="1"/>
  <c r="D1180" i="24" a="1"/>
  <c r="B718" i="24" a="1"/>
  <c r="D558" i="24" a="1"/>
  <c r="C711" i="24"/>
  <c r="I704" i="24" a="1"/>
  <c r="I598" i="24" a="1"/>
  <c r="I305" i="24" a="1"/>
  <c r="D492" i="24" a="1"/>
  <c r="H191" i="24" a="1"/>
  <c r="B843" i="24" a="1"/>
  <c r="H923" i="24" a="1"/>
  <c r="H1488" i="24" a="1"/>
  <c r="H781" i="24" a="1"/>
  <c r="C1332" i="24"/>
  <c r="B789" i="24" a="1"/>
  <c r="I43" i="24" a="1"/>
  <c r="H471" i="24" a="1"/>
  <c r="H1006" i="24" a="1"/>
  <c r="M123" i="24" a="1"/>
  <c r="H1002" i="24" a="1"/>
  <c r="D764" i="24" a="1"/>
  <c r="I1726" i="24" a="1"/>
  <c r="C1891" i="24"/>
  <c r="H280" i="24" a="1"/>
  <c r="H1563" i="24" a="1"/>
  <c r="C1623" i="24"/>
  <c r="D1325" i="24" a="1"/>
  <c r="H944" i="24" a="1"/>
  <c r="I148" i="24" a="1"/>
  <c r="M707" i="24" a="1"/>
  <c r="C1201" i="24"/>
  <c r="I1031" i="24" a="1"/>
  <c r="I895" i="24" a="1"/>
  <c r="D70" i="24" a="1"/>
  <c r="D1446" i="24" a="1"/>
  <c r="M510" i="24" a="1"/>
  <c r="H848" i="24" a="1"/>
  <c r="B257" i="24" a="1"/>
  <c r="M1394" i="24" a="1"/>
  <c r="B1082" i="24" a="1"/>
  <c r="M97" i="24" a="1"/>
  <c r="M1893" i="24" a="1"/>
  <c r="B1484" i="24" a="1"/>
  <c r="D373" i="24" a="1"/>
  <c r="C202" i="24"/>
  <c r="B40" i="24" a="1"/>
  <c r="C1784" i="24"/>
  <c r="H1723" i="24" a="1"/>
  <c r="D507" i="24" a="1"/>
  <c r="D106" i="24" a="1"/>
  <c r="M107" i="24" a="1"/>
  <c r="B682" i="24" a="1"/>
  <c r="H1714" i="24" a="1"/>
  <c r="H1713" i="24" a="1"/>
  <c r="D343" i="24" a="1"/>
  <c r="B1633" i="24" a="1"/>
  <c r="I730" i="24" a="1"/>
  <c r="D1421" i="24" a="1"/>
  <c r="B1860" i="24" a="1"/>
  <c r="H1159" i="24" a="1"/>
  <c r="M210" i="24" a="1"/>
  <c r="C1482" i="24"/>
  <c r="B541" i="24" a="1"/>
  <c r="B790" i="24" a="1"/>
  <c r="B628" i="24" a="1"/>
  <c r="M506" i="24" a="1"/>
  <c r="I105" i="24" a="1"/>
  <c r="I734" i="24" a="1"/>
  <c r="B48" i="24" a="1"/>
  <c r="D1752" i="24" a="1"/>
  <c r="C885" i="24"/>
  <c r="C355" i="24"/>
  <c r="H1782" i="24" a="1"/>
  <c r="D110" i="24" a="1"/>
  <c r="B2" i="24" a="1"/>
  <c r="C213" i="24"/>
  <c r="C1644" i="24"/>
  <c r="I1339" i="24" a="1"/>
  <c r="B84" i="24" a="1"/>
  <c r="C713" i="24"/>
  <c r="H787" i="24" a="1"/>
  <c r="I352" i="24" a="1"/>
  <c r="I104" i="24" a="1"/>
  <c r="D179" i="24" a="1"/>
  <c r="I151" i="24" a="1"/>
  <c r="H589" i="24" a="1"/>
  <c r="M913" i="24" a="1"/>
  <c r="H802" i="24" a="1"/>
  <c r="C269" i="24"/>
  <c r="H126" i="24" a="1"/>
  <c r="D515" i="24" a="1"/>
  <c r="D257" i="24" a="1"/>
  <c r="I1730" i="24" a="1"/>
  <c r="C123" i="24"/>
  <c r="D1643" i="24" a="1"/>
  <c r="H1557" i="24" a="1"/>
  <c r="B1847" i="24" a="1"/>
  <c r="H1471" i="24" a="1"/>
  <c r="D1587" i="24" a="1"/>
  <c r="D62" i="24" a="1"/>
  <c r="C753" i="24"/>
  <c r="B1620" i="24" a="1"/>
  <c r="M1169" i="24" a="1"/>
  <c r="H682" i="24" a="1"/>
  <c r="C1022" i="24"/>
  <c r="I1432" i="24" a="1"/>
  <c r="M1248" i="24" a="1"/>
  <c r="M1482" i="24" a="1"/>
  <c r="C741" i="24"/>
  <c r="M483" i="24" a="1"/>
  <c r="C1339" i="24"/>
  <c r="M1206" i="24" a="1"/>
  <c r="D210" i="24" a="1"/>
  <c r="B912" i="24" a="1"/>
  <c r="D95" i="24" a="1"/>
  <c r="I1125" i="24" a="1"/>
  <c r="H371" i="24" a="1"/>
  <c r="D56" i="24" a="1"/>
  <c r="B1350" i="24" a="1"/>
  <c r="B1500" i="24" a="1"/>
  <c r="C1609" i="24"/>
  <c r="D1688" i="24" a="1"/>
  <c r="C822" i="24"/>
  <c r="D220" i="24" a="1"/>
  <c r="I856" i="24" a="1"/>
  <c r="M1659" i="24" a="1"/>
  <c r="M891" i="24" a="1"/>
  <c r="M1641" i="24" a="1"/>
  <c r="B1765" i="24" a="1"/>
  <c r="B1558" i="24" a="1"/>
  <c r="B467" i="24" a="1"/>
  <c r="B730" i="24" a="1"/>
  <c r="H880" i="24" a="1"/>
  <c r="M265" i="24" a="1"/>
  <c r="H1830" i="24" a="1"/>
  <c r="H715" i="24" a="1"/>
  <c r="B493" i="24" a="1"/>
  <c r="I1449" i="24" a="1"/>
  <c r="D374" i="24" a="1"/>
  <c r="I1649" i="24" a="1"/>
  <c r="H782" i="24" a="1"/>
  <c r="D888" i="24" a="1"/>
  <c r="D1538" i="24" a="1"/>
  <c r="D923" i="24" a="1"/>
  <c r="H599" i="24" a="1"/>
  <c r="H1716" i="24" a="1"/>
  <c r="H50" i="24" a="1"/>
  <c r="D686" i="24" a="1"/>
  <c r="B728" i="24" a="1"/>
  <c r="B1303" i="24" a="1"/>
  <c r="C199" i="24"/>
  <c r="B394" i="24" a="1"/>
  <c r="D369" i="24" a="1"/>
  <c r="H1703" i="24" a="1"/>
  <c r="H1097" i="24" a="1"/>
  <c r="B412" i="24" a="1"/>
  <c r="I1525" i="24" a="1"/>
  <c r="D129" i="24" a="1"/>
  <c r="D823" i="24" a="1"/>
  <c r="B937" i="24" a="1"/>
  <c r="I1324" i="24" a="1"/>
  <c r="D1838" i="24" a="1"/>
  <c r="D571" i="24" a="1"/>
  <c r="C1153" i="24"/>
  <c r="D1578" i="24" a="1"/>
  <c r="B665" i="24" a="1"/>
  <c r="M88" i="24" a="1"/>
  <c r="B1727" i="24" a="1"/>
  <c r="M378" i="24" a="1"/>
  <c r="H1011" i="24" a="1"/>
  <c r="B108" i="24" a="1"/>
  <c r="C1588" i="24"/>
  <c r="B981" i="24" a="1"/>
  <c r="H1211" i="24" a="1"/>
  <c r="C168" i="24"/>
  <c r="C1323" i="24"/>
  <c r="C396" i="24"/>
  <c r="C880" i="24"/>
  <c r="C431" i="24"/>
  <c r="H1886" i="24" a="1"/>
  <c r="D721" i="24" a="1"/>
  <c r="H693" i="24" a="1"/>
  <c r="C758" i="24"/>
  <c r="D1368" i="24" a="1"/>
  <c r="C1336" i="24"/>
  <c r="D865" i="24" a="1"/>
  <c r="B555" i="24" a="1"/>
  <c r="I865" i="24" a="1"/>
  <c r="C180" i="24"/>
  <c r="C886" i="24"/>
  <c r="H1085" i="24" a="1"/>
  <c r="I1783" i="24" a="1"/>
  <c r="B228" i="24" a="1"/>
  <c r="D480" i="24" a="1"/>
  <c r="B520" i="24" a="1"/>
  <c r="C223" i="24"/>
  <c r="H1119" i="24" a="1"/>
  <c r="I1183" i="24" a="1"/>
  <c r="C1716" i="24"/>
  <c r="C376" i="24"/>
  <c r="B1461" i="24" a="1"/>
  <c r="H1587" i="24" a="1"/>
  <c r="C1104" i="24"/>
  <c r="C898" i="24"/>
  <c r="M1116" i="24" a="1"/>
  <c r="H558" i="24" a="1"/>
  <c r="B1183" i="24" a="1"/>
  <c r="B146" i="24" a="1"/>
  <c r="D1572" i="24" a="1"/>
  <c r="I904" i="24" a="1"/>
  <c r="H144" i="24" a="1"/>
  <c r="D1863" i="24" a="1"/>
  <c r="M450" i="24" a="1"/>
  <c r="I1086" i="24" a="1"/>
  <c r="D554" i="24" a="1"/>
  <c r="I1142" i="24" a="1"/>
  <c r="I1774" i="24" a="1"/>
  <c r="D609" i="24" a="1"/>
  <c r="M987" i="24" a="1"/>
  <c r="I213" i="24" a="1"/>
  <c r="C908" i="24"/>
  <c r="D1218" i="24" a="1"/>
  <c r="M484" i="24" a="1"/>
  <c r="M1318" i="24" a="1"/>
  <c r="I560" i="24" a="1"/>
  <c r="H15" i="24" a="1"/>
  <c r="M1524" i="24" a="1"/>
  <c r="C752" i="24"/>
  <c r="B1166" i="24" a="1"/>
  <c r="D160" i="24" a="1"/>
  <c r="H1560" i="24" a="1"/>
  <c r="H1510" i="24" a="1"/>
  <c r="B1315" i="24" a="1"/>
  <c r="H785" i="24" a="1"/>
  <c r="H278" i="24" a="1"/>
  <c r="D153" i="24" a="1"/>
  <c r="C1540" i="24"/>
  <c r="H1189" i="24" a="1"/>
  <c r="H188" i="24" a="1"/>
  <c r="C185" i="24"/>
  <c r="I362" i="24" a="1"/>
  <c r="D1189" i="24" a="1"/>
  <c r="H1630" i="24" a="1"/>
  <c r="C291" i="24"/>
  <c r="B1139" i="24" a="1"/>
  <c r="I322" i="24" a="1"/>
  <c r="H472" i="24" a="1"/>
  <c r="M655" i="24" a="1"/>
  <c r="M1208" i="24" a="1"/>
  <c r="M715" i="24" a="1"/>
  <c r="I739" i="24" a="1"/>
  <c r="H391" i="24" a="1"/>
  <c r="D1094" i="24" a="1"/>
  <c r="D1252" i="24" a="1"/>
  <c r="M1372" i="24" a="1"/>
  <c r="M1898" i="24" a="1"/>
  <c r="B280" i="24" a="1"/>
  <c r="B1492" i="24" a="1"/>
  <c r="D337" i="24" a="1"/>
  <c r="B1213" i="24" a="1"/>
  <c r="H538" i="24" a="1"/>
  <c r="C157" i="24"/>
  <c r="C721" i="24"/>
  <c r="C952" i="24"/>
  <c r="D589" i="24" a="1"/>
  <c r="B1795" i="24" a="1"/>
  <c r="H567" i="24" a="1"/>
  <c r="H133" i="24" a="1"/>
  <c r="B510" i="24" a="1"/>
  <c r="M1191" i="24" a="1"/>
  <c r="I174" i="24" a="1"/>
  <c r="C963" i="24"/>
  <c r="C288" i="24"/>
  <c r="H616" i="24" a="1"/>
  <c r="C39" i="24"/>
  <c r="C8" i="24"/>
  <c r="H1851" i="24" a="1"/>
  <c r="C309" i="24"/>
  <c r="H398" i="24" a="1"/>
  <c r="I563" i="24" a="1"/>
  <c r="D388" i="24" a="1"/>
  <c r="B1514" i="24" a="1"/>
  <c r="H183" i="24" a="1"/>
  <c r="C1812" i="24"/>
  <c r="H619" i="24" a="1"/>
  <c r="D1498" i="24" a="1"/>
  <c r="I463" i="24" a="1"/>
  <c r="H577" i="24" a="1"/>
  <c r="M1109" i="24" a="1"/>
  <c r="I1042" i="24" a="1"/>
  <c r="D1458" i="24" a="1"/>
  <c r="M886" i="24" a="1"/>
  <c r="B725" i="24" a="1"/>
  <c r="I1719" i="24" a="1"/>
  <c r="B1615" i="24" a="1"/>
  <c r="H1214" i="24" a="1"/>
  <c r="B1290" i="24" a="1"/>
  <c r="D80" i="24" a="1"/>
  <c r="M285" i="24" a="1"/>
  <c r="I1860" i="24" a="1"/>
  <c r="D657" i="24" a="1"/>
  <c r="I1348" i="24" a="1"/>
  <c r="B752" i="24" a="1"/>
  <c r="B214" i="24" a="1"/>
  <c r="B1051" i="24" a="1"/>
  <c r="H1289" i="24" a="1"/>
  <c r="D309" i="24" a="1"/>
  <c r="D752" i="24" a="1"/>
  <c r="C1503" i="24"/>
  <c r="C534" i="24"/>
  <c r="M972" i="24" a="1"/>
  <c r="D1500" i="24" a="1"/>
  <c r="B354" i="24" a="1"/>
  <c r="M1562" i="24" a="1"/>
  <c r="M232" i="24" a="1"/>
  <c r="M33" i="24" a="1"/>
  <c r="B1104" i="24" a="1"/>
  <c r="I1549" i="24" a="1"/>
  <c r="M11" i="24" a="1"/>
  <c r="D847" i="24" a="1"/>
  <c r="B322" i="24" a="1"/>
  <c r="H1350" i="24" a="1"/>
  <c r="C956" i="24"/>
  <c r="M274" i="24" a="1"/>
  <c r="C41" i="24"/>
  <c r="D387" i="24" a="1"/>
  <c r="I706" i="24" a="1"/>
  <c r="I422" i="24" a="1"/>
  <c r="B1801" i="24" a="1"/>
  <c r="I310" i="24" a="1"/>
  <c r="C1032" i="24"/>
  <c r="H387" i="24" a="1"/>
  <c r="H526" i="24" a="1"/>
  <c r="D815" i="24" a="1"/>
  <c r="H953" i="24" a="1"/>
  <c r="B988" i="24" a="1"/>
  <c r="C1145" i="24"/>
  <c r="H565" i="24" a="1"/>
  <c r="M1620" i="24" a="1"/>
  <c r="I1336" i="24" a="1"/>
  <c r="D1097" i="24" a="1"/>
  <c r="D1247" i="24" a="1"/>
  <c r="C1555" i="24"/>
  <c r="H363" i="24" a="1"/>
  <c r="B1419" i="24" a="1"/>
  <c r="I29" i="24" a="1"/>
  <c r="B1586" i="24" a="1"/>
  <c r="M208" i="24" a="1"/>
  <c r="D361" i="24" a="1"/>
  <c r="I1627" i="24" a="1"/>
  <c r="B1649" i="24" a="1"/>
  <c r="B1613" i="24" a="1"/>
  <c r="C1014" i="24"/>
  <c r="B1250" i="24" a="1"/>
  <c r="M99" i="24" a="1"/>
  <c r="I295" i="24" a="1"/>
  <c r="M1846" i="24" a="1"/>
  <c r="H844" i="24" a="1"/>
  <c r="I430" i="24" a="1"/>
  <c r="I1064" i="24" a="1"/>
  <c r="D1344" i="24" a="1"/>
  <c r="H561" i="24" a="1"/>
  <c r="H1660" i="24" a="1"/>
  <c r="D380" i="24" a="1"/>
  <c r="H1740" i="24" a="1"/>
  <c r="I869" i="24" a="1"/>
  <c r="I408" i="24" a="1"/>
  <c r="B1236" i="24" a="1"/>
  <c r="I1508" i="24" a="1"/>
  <c r="H437" i="24" a="1"/>
  <c r="B975" i="24" a="1"/>
  <c r="C588" i="24"/>
  <c r="D731" i="24" a="1"/>
  <c r="D1272" i="24" a="1"/>
  <c r="I456" i="24" a="1"/>
  <c r="C1459" i="24"/>
  <c r="D1340" i="24" a="1"/>
  <c r="H523" i="24" a="1"/>
  <c r="M403" i="24" a="1"/>
  <c r="B171" i="24" a="1"/>
  <c r="C1209" i="24"/>
  <c r="C645" i="24"/>
  <c r="I1769" i="24" a="1"/>
  <c r="B796" i="24" a="1"/>
  <c r="B199" i="24" a="1"/>
  <c r="B1779" i="24" a="1"/>
  <c r="D1024" i="24" a="1"/>
  <c r="M870" i="24" a="1"/>
  <c r="I720" i="24" a="1"/>
  <c r="D876" i="24" a="1"/>
  <c r="I1668" i="24" a="1"/>
  <c r="C597" i="24"/>
  <c r="H784" i="24" a="1"/>
  <c r="B178" i="24" a="1"/>
  <c r="B385" i="24" a="1"/>
  <c r="B494" i="24" a="1"/>
  <c r="H853" i="24" a="1"/>
  <c r="M1363" i="24" a="1"/>
  <c r="M1142" i="24" a="1"/>
  <c r="B1132" i="24" a="1"/>
  <c r="I495" i="24" a="1"/>
  <c r="M1491" i="24" a="1"/>
  <c r="B1272" i="24" a="1"/>
  <c r="B721" i="24" a="1"/>
  <c r="C224" i="24"/>
  <c r="I1384" i="24" a="1"/>
  <c r="M1622" i="24" a="1"/>
  <c r="H1060" i="24" a="1"/>
  <c r="H1017" i="24" a="1"/>
  <c r="C1811" i="24"/>
  <c r="B915" i="24" a="1"/>
  <c r="B1031" i="24" a="1"/>
  <c r="B560" i="24" a="1"/>
  <c r="D279" i="24" a="1"/>
  <c r="I912" i="24" a="1"/>
  <c r="B1758" i="24" a="1"/>
  <c r="I483" i="24" a="1"/>
  <c r="I669" i="24" a="1"/>
  <c r="D375" i="24" a="1"/>
  <c r="C34" i="24"/>
  <c r="H1380" i="24" a="1"/>
  <c r="H816" i="24" a="1"/>
  <c r="M1040" i="24" a="1"/>
  <c r="M1283" i="24" a="1"/>
  <c r="C900" i="24"/>
  <c r="H440" i="24" a="1"/>
  <c r="C1660" i="24"/>
  <c r="B1270" i="24" a="1"/>
  <c r="H190" i="24" a="1"/>
  <c r="B834" i="24" a="1"/>
  <c r="C1350" i="24"/>
  <c r="C1002" i="24"/>
  <c r="H1452" i="24" a="1"/>
  <c r="C1175" i="24"/>
  <c r="B1733" i="24" a="1"/>
  <c r="B1471" i="24" a="1"/>
  <c r="H508" i="24" a="1"/>
  <c r="C277" i="24"/>
  <c r="H1611" i="24" a="1"/>
  <c r="C1751" i="24"/>
  <c r="I1152" i="24" a="1"/>
  <c r="C519" i="24"/>
  <c r="C1712" i="24"/>
  <c r="D288" i="24" a="1"/>
  <c r="D695" i="24" a="1"/>
  <c r="D1006" i="24" a="1"/>
  <c r="I841" i="24" a="1"/>
  <c r="I1109" i="24" a="1"/>
  <c r="I1714" i="24" a="1"/>
  <c r="H1451" i="24" a="1"/>
  <c r="D429" i="24" a="1"/>
  <c r="I844" i="24" a="1"/>
  <c r="M498" i="24" a="1"/>
  <c r="H994" i="24" a="1"/>
  <c r="I1797" i="24" a="1"/>
  <c r="H958" i="24" a="1"/>
  <c r="H1044" i="24" a="1"/>
  <c r="B1826" i="24" a="1"/>
  <c r="H879" i="24" a="1"/>
  <c r="H475" i="24" a="1"/>
  <c r="B1621" i="24" a="1"/>
  <c r="D11" i="24" a="1"/>
  <c r="I1239" i="24" a="1"/>
  <c r="C986" i="24"/>
  <c r="B1018" i="24" a="1"/>
  <c r="D1389" i="24" a="1"/>
  <c r="B1639" i="24" a="1"/>
  <c r="M1001" i="24" a="1"/>
  <c r="D1781" i="24" a="1"/>
  <c r="H501" i="24" a="1"/>
  <c r="I1291" i="24" a="1"/>
  <c r="H1329" i="24" a="1"/>
  <c r="D1680" i="24" a="1"/>
  <c r="D470" i="24" a="1"/>
  <c r="C870" i="24"/>
  <c r="D254" i="24" a="1"/>
  <c r="H991" i="24" a="1"/>
  <c r="H331" i="24" a="1"/>
  <c r="H137" i="24" a="1"/>
  <c r="M1397" i="24" a="1"/>
  <c r="C573" i="24"/>
  <c r="C11" i="24"/>
  <c r="C434" i="24"/>
  <c r="I851" i="24" a="1"/>
  <c r="C1144" i="24"/>
  <c r="D645" i="24" a="1"/>
  <c r="I1760" i="24" a="1"/>
  <c r="H464" i="24" a="1"/>
  <c r="I1342" i="24" a="1"/>
  <c r="H865" i="24" a="1"/>
  <c r="B363" i="24" a="1"/>
  <c r="D1693" i="24" a="1"/>
  <c r="B1572" i="24" a="1"/>
  <c r="D1296" i="24" a="1"/>
  <c r="D451" i="24" a="1"/>
  <c r="B886" i="24" a="1"/>
  <c r="D689" i="24" a="1"/>
  <c r="M1079" i="24" a="1"/>
  <c r="I491" i="24" a="1"/>
  <c r="H1248" i="24" a="1"/>
  <c r="I1716" i="24" a="1"/>
  <c r="C1428" i="24"/>
  <c r="D1145" i="24" a="1"/>
  <c r="B979" i="24" a="1"/>
  <c r="C1013" i="24"/>
  <c r="C970" i="24"/>
  <c r="D1585" i="24" a="1"/>
  <c r="I1455" i="24" a="1"/>
  <c r="I1215" i="24" a="1"/>
  <c r="D927" i="24" a="1"/>
  <c r="I1904" i="24" a="1"/>
  <c r="D1736" i="24" a="1"/>
  <c r="H27" i="24" a="1"/>
  <c r="C584" i="24"/>
  <c r="B1523" i="24" a="1"/>
  <c r="B110" i="24" a="1"/>
  <c r="C714" i="24"/>
  <c r="H7" i="24" a="1"/>
  <c r="D1402" i="24" a="1"/>
  <c r="C1006" i="24"/>
  <c r="D829" i="24" a="1"/>
  <c r="M1508" i="24" a="1"/>
  <c r="B900" i="24" a="1"/>
  <c r="M532" i="24" a="1"/>
  <c r="I871" i="24" a="1"/>
  <c r="I1623" i="24" a="1"/>
  <c r="C1766" i="24"/>
  <c r="H929" i="24" a="1"/>
  <c r="H404" i="24" a="1"/>
  <c r="B587" i="24" a="1"/>
  <c r="H452" i="24" a="1"/>
  <c r="C220" i="24"/>
  <c r="M1598" i="24" a="1"/>
  <c r="H536" i="24" a="1"/>
  <c r="B1854" i="24" a="1"/>
  <c r="B957" i="24" a="1"/>
  <c r="C1809" i="24"/>
  <c r="D980" i="24" a="1"/>
  <c r="C13" i="24"/>
  <c r="I567" i="24" a="1"/>
  <c r="D740" i="24" a="1"/>
  <c r="C732" i="24"/>
  <c r="M4" i="24" a="1"/>
  <c r="H1754" i="24" a="1"/>
  <c r="D487" i="24" a="1"/>
  <c r="H1374" i="24" a="1"/>
  <c r="B32" i="24" a="1"/>
  <c r="H1041" i="24" a="1"/>
  <c r="H824" i="24" a="1"/>
  <c r="D983" i="24" a="1"/>
  <c r="I1136" i="24" a="1"/>
  <c r="D1650" i="24" a="1"/>
  <c r="D717" i="24" a="1"/>
  <c r="H450" i="24" a="1"/>
  <c r="B845" i="24" a="1"/>
  <c r="H495" i="24" a="1"/>
  <c r="D716" i="24" a="1"/>
  <c r="H1378" i="24" a="1"/>
  <c r="B143" i="24" a="1"/>
  <c r="D1893" i="24" a="1"/>
  <c r="D1378" i="24" a="1"/>
  <c r="D950" i="24" a="1"/>
  <c r="M1625" i="24" a="1"/>
  <c r="B499" i="24" a="1"/>
  <c r="I1022" i="24" a="1"/>
  <c r="D1185" i="24" a="1"/>
  <c r="D1070" i="24" a="1"/>
  <c r="M1464" i="24" a="1"/>
  <c r="H344" i="24" a="1"/>
  <c r="D107" i="24" a="1"/>
  <c r="B1034" i="24" a="1"/>
  <c r="H634" i="24" a="1"/>
  <c r="C692" i="24"/>
  <c r="M784" i="24" a="1"/>
  <c r="H620" i="24" a="1"/>
  <c r="D994" i="24" a="1"/>
  <c r="C344" i="24"/>
  <c r="B1890" i="24" a="1"/>
  <c r="D914" i="24" a="1"/>
  <c r="H570" i="24" a="1"/>
  <c r="M275" i="24" a="1"/>
  <c r="B1553" i="24" a="1"/>
  <c r="M1313" i="24" a="1"/>
  <c r="M717" i="24" a="1"/>
  <c r="C1354" i="24"/>
  <c r="I1085" i="24" a="1"/>
  <c r="C514" i="24"/>
  <c r="I1317" i="24" a="1"/>
  <c r="D1376" i="24" a="1"/>
  <c r="I440" i="24" a="1"/>
  <c r="D84" i="24" a="1"/>
  <c r="I1553" i="24" a="1"/>
  <c r="D591" i="24" a="1"/>
  <c r="D1508" i="24" a="1"/>
  <c r="B1133" i="24" a="1"/>
  <c r="B1549" i="24" a="1"/>
  <c r="B152" i="24" a="1"/>
  <c r="M568" i="24" a="1"/>
  <c r="B462" i="24" a="1"/>
  <c r="C1159" i="24"/>
  <c r="D639" i="24" a="1"/>
  <c r="D490" i="24" a="1"/>
  <c r="M909" i="24" a="1"/>
  <c r="M10" i="24" a="1"/>
  <c r="B1405" i="24" a="1"/>
  <c r="C255" i="24"/>
  <c r="C409" i="24"/>
  <c r="C718" i="24"/>
  <c r="B787" i="24" a="1"/>
  <c r="I776" i="24" a="1"/>
  <c r="H1274" i="24" a="1"/>
  <c r="I611" i="24" a="1"/>
  <c r="C800" i="24"/>
  <c r="H899" i="24" a="1"/>
  <c r="I315" i="24" a="1"/>
  <c r="I1885" i="24" a="1"/>
  <c r="B1287" i="24" a="1"/>
  <c r="I1132" i="24" a="1"/>
  <c r="M1603" i="24" a="1"/>
  <c r="D261" i="24" a="1"/>
  <c r="I592" i="24" a="1"/>
  <c r="M1173" i="24" a="1"/>
  <c r="M184" i="24" a="1"/>
  <c r="H790" i="24" a="1"/>
  <c r="C1281" i="24"/>
  <c r="B441" i="24" a="1"/>
  <c r="D909" i="24" a="1"/>
  <c r="I957" i="24" a="1"/>
  <c r="I746" i="24" a="1"/>
  <c r="H357" i="24" a="1"/>
  <c r="B1090" i="24" a="1"/>
  <c r="C1179" i="24"/>
  <c r="C1303" i="24"/>
  <c r="I910" i="24" a="1"/>
  <c r="B502" i="24" a="1"/>
  <c r="H1750" i="24" a="1"/>
  <c r="C1490" i="24"/>
  <c r="B827" i="24" a="1"/>
  <c r="M801" i="24" a="1"/>
  <c r="H434" i="24" a="1"/>
  <c r="D1041" i="24" a="1"/>
  <c r="B683" i="24" a="1"/>
  <c r="D404" i="24" a="1"/>
  <c r="B1329" i="24" a="1"/>
  <c r="D69" i="24" a="1"/>
  <c r="M1132" i="24" a="1"/>
  <c r="D1463" i="24" a="1"/>
  <c r="M1360" i="24" a="1"/>
  <c r="D1599" i="24" a="1"/>
  <c r="M589" i="24" a="1"/>
  <c r="I321" i="24" a="1"/>
  <c r="C1656" i="24"/>
  <c r="B740" i="24" a="1"/>
  <c r="I1380" i="24" a="1"/>
  <c r="D1095" i="24" a="1"/>
  <c r="H364" i="24" a="1"/>
  <c r="I970" i="24" a="1"/>
  <c r="H551" i="24" a="1"/>
  <c r="D1153" i="24" a="1"/>
  <c r="D607" i="24" a="1"/>
  <c r="B946" i="24" a="1"/>
  <c r="C1890" i="24"/>
  <c r="D1216" i="24" a="1"/>
  <c r="B1725" i="24" a="1"/>
  <c r="H474" i="24" a="1"/>
  <c r="D539" i="24" a="1"/>
  <c r="D240" i="24" a="1"/>
  <c r="B1499" i="24" a="1"/>
  <c r="I1306" i="24" a="1"/>
  <c r="I879" i="24" a="1"/>
  <c r="I1193" i="24" a="1"/>
  <c r="B1118" i="24" a="1"/>
  <c r="D693" i="24" a="1"/>
  <c r="B809" i="24" a="1"/>
  <c r="D623" i="24" a="1"/>
  <c r="D258" i="24" a="1"/>
  <c r="C783" i="24"/>
  <c r="C1866" i="24"/>
  <c r="B471" i="24" a="1"/>
  <c r="B691" i="24" a="1"/>
  <c r="C345" i="24"/>
  <c r="C602" i="24"/>
  <c r="C671" i="24"/>
  <c r="D746" i="24" a="1"/>
  <c r="H1181" i="24" a="1"/>
  <c r="D1750" i="24" a="1"/>
  <c r="C159" i="24"/>
  <c r="I522" i="24" a="1"/>
  <c r="H1889" i="24" a="1"/>
  <c r="C874" i="24"/>
  <c r="B1872" i="24" a="1"/>
  <c r="H1598" i="24" a="1"/>
  <c r="C559" i="24"/>
  <c r="I330" i="24" a="1"/>
  <c r="H465" i="24" a="1"/>
  <c r="I717" i="24" a="1"/>
  <c r="B1519" i="24" a="1"/>
  <c r="H733" i="24" a="1"/>
  <c r="D682" i="24" a="1"/>
  <c r="I271" i="24" a="1"/>
  <c r="I1068" i="24" a="1"/>
  <c r="C1608" i="24"/>
  <c r="B1687" i="24" a="1"/>
  <c r="B37" i="24" a="1"/>
  <c r="D658" i="24" a="1"/>
  <c r="I721" i="24" a="1"/>
  <c r="I439" i="24" a="1"/>
  <c r="I641" i="24" a="1"/>
  <c r="C494" i="24"/>
  <c r="M1328" i="24" a="1"/>
  <c r="B1374" i="24" a="1"/>
  <c r="C1404" i="24"/>
  <c r="B447" i="24" a="1"/>
  <c r="I1032" i="24" a="1"/>
  <c r="B401" i="24" a="1"/>
  <c r="I612" i="24" a="1"/>
  <c r="C320" i="24"/>
  <c r="M299" i="24" a="1"/>
  <c r="C1550" i="24"/>
  <c r="C696" i="24"/>
  <c r="B1211" i="24" a="1"/>
  <c r="C863" i="24"/>
  <c r="B1039" i="24" a="1"/>
  <c r="C724" i="24"/>
  <c r="M605" i="24" a="1"/>
  <c r="C878" i="24"/>
  <c r="I1630" i="24" a="1"/>
  <c r="I1531" i="24" a="1"/>
  <c r="M215" i="24" a="1"/>
  <c r="B408" i="24" a="1"/>
  <c r="I703" i="24" a="1"/>
  <c r="H181" i="24" a="1"/>
  <c r="M1456" i="24" a="1"/>
  <c r="B931" i="24" a="1"/>
  <c r="D409" i="24" a="1"/>
  <c r="D239" i="24" a="1"/>
  <c r="H382" i="24" a="1"/>
  <c r="H1361" i="24" a="1"/>
  <c r="I599" i="24" a="1"/>
  <c r="B1903" i="24" a="1"/>
  <c r="C176" i="24"/>
  <c r="H68" i="24" a="1"/>
  <c r="I366" i="24" a="1"/>
  <c r="D859" i="24" a="1"/>
  <c r="D1071" i="24" a="1"/>
  <c r="D533" i="24" a="1"/>
  <c r="C1364" i="24"/>
  <c r="I744" i="24" a="1"/>
  <c r="I594" i="24" a="1"/>
  <c r="C1149" i="24"/>
  <c r="I673" i="24" a="1"/>
  <c r="C918" i="24"/>
  <c r="I854" i="24" a="1"/>
  <c r="B1780" i="24" a="1"/>
  <c r="B1609" i="24" a="1"/>
  <c r="I14" i="24" a="1"/>
  <c r="B1416" i="24" a="1"/>
  <c r="I892" i="24" a="1"/>
  <c r="H1659" i="24" a="1"/>
  <c r="C1299" i="24"/>
  <c r="I889" i="24" a="1"/>
  <c r="I124" i="24" a="1"/>
  <c r="H1887" i="24" a="1"/>
  <c r="H740" i="24" a="1"/>
  <c r="C672" i="24"/>
  <c r="D564" i="24" a="1"/>
  <c r="C76" i="24"/>
  <c r="I1117" i="24" a="1"/>
  <c r="D1799" i="24" a="1"/>
  <c r="C1124" i="24"/>
  <c r="I1248" i="24" a="1"/>
  <c r="D71" i="24" a="1"/>
  <c r="B29" i="24" a="1"/>
  <c r="B1707" i="24" a="1"/>
  <c r="M1446" i="24" a="1"/>
  <c r="C957" i="24"/>
  <c r="H352" i="24" a="1"/>
  <c r="H1169" i="24" a="1"/>
  <c r="D1109" i="24" a="1"/>
  <c r="B1853" i="24" a="1"/>
  <c r="I1577" i="24" a="1"/>
  <c r="D1267" i="24" a="1"/>
  <c r="H1089" i="24" a="1"/>
  <c r="D851" i="24" a="1"/>
  <c r="B949" i="24" a="1"/>
  <c r="D120" i="24" a="1"/>
  <c r="D1563" i="24" a="1"/>
  <c r="M1243" i="24" a="1"/>
  <c r="C746" i="24"/>
  <c r="H73" i="24" a="1"/>
  <c r="C1084" i="24"/>
  <c r="H316" i="24" a="1"/>
  <c r="D944" i="24" a="1"/>
  <c r="B692" i="24" a="1"/>
  <c r="H247" i="24" a="1"/>
  <c r="I1093" i="24" a="1"/>
  <c r="M1865" i="24" a="1"/>
  <c r="D118" i="24" a="1"/>
  <c r="H825" i="24" a="1"/>
  <c r="M1854" i="24" a="1"/>
  <c r="I1901" i="24" a="1"/>
  <c r="D1505" i="24" a="1"/>
  <c r="M207" i="24" a="1"/>
  <c r="C1256" i="24"/>
  <c r="D180" i="24" a="1"/>
  <c r="B1354" i="24" a="1"/>
  <c r="C1553" i="24"/>
  <c r="I782" i="24" a="1"/>
  <c r="M1899" i="24" a="1"/>
  <c r="D344" i="24" a="1"/>
  <c r="D819" i="24" a="1"/>
  <c r="B1021" i="24" a="1"/>
  <c r="H622" i="24" a="1"/>
  <c r="D152" i="24" a="1"/>
  <c r="B468" i="24" a="1"/>
  <c r="M729" i="24" a="1"/>
  <c r="B1239" i="24" a="1"/>
  <c r="D938" i="24" a="1"/>
  <c r="B301" i="24" a="1"/>
  <c r="B1143" i="24" a="1"/>
  <c r="I726" i="24" a="1"/>
  <c r="C838" i="24"/>
  <c r="C1426" i="24"/>
  <c r="D613" i="24" a="1"/>
  <c r="B395" i="24" a="1"/>
  <c r="C1612" i="24"/>
  <c r="H846" i="24" a="1"/>
  <c r="D455" i="24" a="1"/>
  <c r="D421" i="24" a="1"/>
  <c r="D1088" i="24" a="1"/>
  <c r="B551" i="24" a="1"/>
  <c r="I1792" i="24" a="1"/>
  <c r="B73" i="24" a="1"/>
  <c r="I930" i="24" a="1"/>
  <c r="I1039" i="24" a="1"/>
  <c r="C513" i="24"/>
  <c r="D1397" i="24" a="1"/>
  <c r="C82" i="24"/>
  <c r="I375" i="24" a="1"/>
  <c r="B41" i="24" a="1"/>
  <c r="D316" i="24" a="1"/>
  <c r="C138" i="24"/>
  <c r="B602" i="24" a="1"/>
  <c r="B1617" i="24" a="1"/>
  <c r="B1474" i="24" a="1"/>
  <c r="C1438" i="24"/>
  <c r="C1699" i="24"/>
  <c r="D960" i="24" a="1"/>
  <c r="I1140" i="24" a="1"/>
  <c r="D1025" i="24" a="1"/>
  <c r="I1694" i="24" a="1"/>
  <c r="M13" i="24" a="1"/>
  <c r="I1457" i="24" a="1"/>
  <c r="H1125" i="24" a="1"/>
  <c r="D31" i="24" a="1"/>
  <c r="C916" i="24"/>
  <c r="B545" i="24" a="1"/>
  <c r="C1485" i="24"/>
  <c r="M1633" i="24" a="1"/>
  <c r="D1257" i="24" a="1"/>
  <c r="B1363" i="24" a="1"/>
  <c r="D268" i="24" a="1"/>
  <c r="B400" i="24" a="1"/>
  <c r="C1621" i="24"/>
  <c r="H1108" i="24" a="1"/>
  <c r="M1533" i="24" a="1"/>
  <c r="B18" i="24" a="1"/>
  <c r="H1004" i="24" a="1"/>
  <c r="B1190" i="24" a="1"/>
  <c r="C836" i="24"/>
  <c r="C440" i="24"/>
  <c r="H628" i="24" a="1"/>
  <c r="I478" i="24" a="1"/>
  <c r="C413" i="24"/>
  <c r="D1415" i="24" a="1"/>
  <c r="H1540" i="24" a="1"/>
  <c r="M217" i="24" a="1"/>
  <c r="M603" i="24" a="1"/>
  <c r="C1150" i="24"/>
  <c r="D392" i="24" a="1"/>
  <c r="C1530" i="24"/>
  <c r="B330" i="24" a="1"/>
  <c r="M665" i="24" a="1"/>
  <c r="I600" i="24" a="1"/>
  <c r="C260" i="24"/>
  <c r="I809" i="24" a="1"/>
  <c r="M84" i="24" a="1"/>
  <c r="C426" i="24"/>
  <c r="I197" i="24" a="1"/>
  <c r="M940" i="24" a="1"/>
  <c r="M626" i="24" a="1"/>
  <c r="M1252" i="24" a="1"/>
  <c r="M1239" i="24" a="1"/>
  <c r="I1035" i="24" a="1"/>
  <c r="I1154" i="24" a="1"/>
  <c r="H1832" i="24" a="1"/>
  <c r="D1126" i="24" a="1"/>
  <c r="M336" i="24" a="1"/>
  <c r="D1201" i="24" a="1"/>
  <c r="B1260" i="24" a="1"/>
  <c r="D1048" i="24" a="1"/>
  <c r="C1119" i="24"/>
  <c r="D1727" i="24" a="1"/>
  <c r="H3" i="24" a="1"/>
  <c r="M1278" i="24" a="1"/>
  <c r="I32" i="24" a="1"/>
  <c r="I1766" i="24" a="1"/>
  <c r="C995" i="24"/>
  <c r="D1511" i="24" a="1"/>
  <c r="M939" i="24" a="1"/>
  <c r="M251" i="24" a="1"/>
  <c r="H381" i="24" a="1"/>
  <c r="M1107" i="24" a="1"/>
  <c r="D1209" i="24" a="1"/>
  <c r="D1281" i="24" a="1"/>
  <c r="B398" i="24" a="1"/>
  <c r="C1534" i="24"/>
  <c r="C921" i="24"/>
  <c r="D1106" i="24" a="1"/>
  <c r="C1064" i="24"/>
  <c r="H1661" i="24" a="1"/>
  <c r="I1175" i="24" a="1"/>
  <c r="C1789" i="24"/>
  <c r="D321" i="24" a="1"/>
  <c r="B559" i="24" a="1"/>
  <c r="H1853" i="24" a="1"/>
  <c r="I507" i="24" a="1"/>
  <c r="D616" i="24" a="1"/>
  <c r="C1510" i="24"/>
  <c r="B442" i="24" a="1"/>
  <c r="C695" i="24"/>
  <c r="M417" i="24" a="1"/>
  <c r="C1847" i="24"/>
  <c r="M1351" i="24" a="1"/>
  <c r="C903" i="24"/>
  <c r="B1112" i="24" a="1"/>
  <c r="I1478" i="24" a="1"/>
  <c r="C1402" i="24"/>
  <c r="H874" i="24" a="1"/>
  <c r="C453" i="24"/>
  <c r="H1257" i="24" a="1"/>
  <c r="B1421" i="24" a="1"/>
  <c r="D472" i="24" a="1"/>
  <c r="I394" i="24" a="1"/>
  <c r="B1477" i="24" a="1"/>
  <c r="D467" i="24" a="1"/>
  <c r="D438" i="24" a="1"/>
  <c r="H549" i="24" a="1"/>
  <c r="H233" i="24" a="1"/>
  <c r="C121" i="24"/>
  <c r="M1661" i="24" a="1"/>
  <c r="H837" i="24" a="1"/>
  <c r="B1716" i="24" a="1"/>
  <c r="D1707" i="24" a="1"/>
  <c r="I608" i="24" a="1"/>
  <c r="C782" i="24"/>
  <c r="B1004" i="24" a="1"/>
  <c r="C77" i="24"/>
  <c r="C211" i="24"/>
  <c r="D149" i="24" a="1"/>
  <c r="I1087" i="24" a="1"/>
  <c r="M522" i="24" a="1"/>
  <c r="H1023" i="24" a="1"/>
  <c r="C545" i="24"/>
  <c r="D1336" i="24" a="1"/>
  <c r="C1190" i="24"/>
  <c r="D655" i="24" a="1"/>
  <c r="C1184" i="24"/>
  <c r="B835" i="24" a="1"/>
  <c r="M672" i="24" a="1"/>
  <c r="B1423" i="24" a="1"/>
  <c r="D174" i="24" a="1"/>
  <c r="B856" i="24" a="1"/>
  <c r="D1850" i="24" a="1"/>
  <c r="H783" i="24" a="1"/>
  <c r="B677" i="24" a="1"/>
  <c r="B1232" i="24" a="1"/>
  <c r="C1114" i="24"/>
  <c r="D1390" i="24" a="1"/>
  <c r="H221" i="24" a="1"/>
  <c r="B1338" i="24" a="1"/>
  <c r="I1305" i="24" a="1"/>
  <c r="B43" i="24" a="1"/>
  <c r="I1133" i="24" a="1"/>
  <c r="C404" i="24"/>
  <c r="D775" i="24" a="1"/>
  <c r="D1411" i="24" a="1"/>
  <c r="B141" i="24" a="1"/>
  <c r="D50" i="24" a="1"/>
  <c r="M1390" i="24" a="1"/>
  <c r="M1007" i="24" a="1"/>
  <c r="B794" i="24" a="1"/>
  <c r="D1021" i="24" a="1"/>
  <c r="D275" i="24" a="1"/>
  <c r="C511" i="24"/>
  <c r="D286" i="24" a="1"/>
  <c r="D747" i="24" a="1"/>
  <c r="C1353" i="24"/>
  <c r="H213" i="24" a="1"/>
  <c r="M1254" i="24" a="1"/>
  <c r="M1437" i="24" a="1"/>
  <c r="M1273" i="24" a="1"/>
  <c r="H1543" i="24" a="1"/>
  <c r="I338" i="24" a="1"/>
  <c r="D1290" i="24" a="1"/>
  <c r="C1293" i="24"/>
  <c r="C590" i="24"/>
  <c r="I1616" i="24" a="1"/>
  <c r="C1445" i="24"/>
  <c r="B39" i="24" a="1"/>
  <c r="H1470" i="24" a="1"/>
  <c r="C612" i="24"/>
  <c r="I770" i="24" a="1"/>
  <c r="M376" i="24" a="1"/>
  <c r="C1169" i="24"/>
  <c r="I1654" i="24" a="1"/>
  <c r="M110" i="24" a="1"/>
  <c r="M529" i="24" a="1"/>
  <c r="C1859" i="24"/>
  <c r="B1851" i="24" a="1"/>
  <c r="H372" i="24" a="1"/>
  <c r="I607" i="24" a="1"/>
  <c r="H230" i="24" a="1"/>
  <c r="M1853" i="24" a="1"/>
  <c r="D916" i="24" a="1"/>
  <c r="I1497" i="24" a="1"/>
  <c r="H831" i="24" a="1"/>
  <c r="C603" i="24"/>
  <c r="M1445" i="24" a="1"/>
  <c r="M1457" i="24" a="1"/>
  <c r="D1612" i="24" a="1"/>
  <c r="H1798" i="24" a="1"/>
  <c r="H735" i="24" a="1"/>
  <c r="B1041" i="24" a="1"/>
  <c r="B431" i="24" a="1"/>
  <c r="D1854" i="24" a="1"/>
  <c r="I723" i="24" a="1"/>
  <c r="H267" i="24" a="1"/>
  <c r="H990" i="24" a="1"/>
  <c r="C620" i="24"/>
  <c r="D894" i="24" a="1"/>
  <c r="D592" i="24" a="1"/>
  <c r="I76" i="24" a="1"/>
  <c r="B638" i="24" a="1"/>
  <c r="H420" i="24" a="1"/>
  <c r="C140" i="24"/>
  <c r="D1235" i="24" a="1"/>
  <c r="C787" i="24"/>
  <c r="M242" i="24" a="1"/>
  <c r="D1747" i="24" a="1"/>
  <c r="C1025" i="24"/>
  <c r="I1765" i="24" a="1"/>
  <c r="B799" i="24" a="1"/>
  <c r="M300" i="24" a="1"/>
  <c r="C1836" i="24"/>
  <c r="C1019" i="24"/>
  <c r="B1584" i="24" a="1"/>
  <c r="B1458" i="24" a="1"/>
  <c r="B1742" i="24" a="1"/>
  <c r="M445" i="24" a="1"/>
  <c r="M8" i="24" a="1"/>
  <c r="C861" i="24"/>
  <c r="C1855" i="24"/>
  <c r="C1777" i="24"/>
  <c r="B1820" i="24" a="1"/>
  <c r="B966" i="24" a="1"/>
  <c r="C231" i="24"/>
  <c r="C737" i="24"/>
  <c r="H228" i="24" a="1"/>
  <c r="B1840" i="24" a="1"/>
  <c r="C528" i="24"/>
  <c r="D1020" i="24" a="1"/>
  <c r="M1897" i="24" a="1"/>
  <c r="D1830" i="24" a="1"/>
  <c r="H291" i="24" a="1"/>
  <c r="M852" i="24" a="1"/>
  <c r="B838" i="24" a="1"/>
  <c r="D896" i="24" a="1"/>
  <c r="C1170" i="24"/>
  <c r="D1197" i="24" a="1"/>
  <c r="C928" i="24"/>
  <c r="I1519" i="24" a="1"/>
  <c r="B774" i="24" a="1"/>
  <c r="M126" i="24" a="1"/>
  <c r="H927" i="24" a="1"/>
  <c r="D3" i="24" a="1"/>
  <c r="M1901" i="24" a="1"/>
  <c r="C959" i="24"/>
  <c r="B1508" i="24" a="1"/>
  <c r="C614" i="24"/>
  <c r="D1086" i="24" a="1"/>
  <c r="B1680" i="24" a="1"/>
  <c r="H746" i="24" a="1"/>
  <c r="C598" i="24"/>
  <c r="H906" i="24" a="1"/>
  <c r="B1387" i="24" a="1"/>
  <c r="D966" i="24" a="1"/>
  <c r="I632" i="24" a="1"/>
  <c r="M1274" i="24" a="1"/>
  <c r="H373" i="24" a="1"/>
  <c r="B3" i="24" a="1"/>
  <c r="B1346" i="24" a="1"/>
  <c r="D242" i="24" a="1"/>
  <c r="C141" i="24"/>
  <c r="I1436" i="24" a="1"/>
  <c r="C1512" i="24"/>
  <c r="I518" i="24" a="1"/>
  <c r="M1663" i="24" a="1"/>
  <c r="I1084" i="24" a="1"/>
  <c r="D643" i="24" a="1"/>
  <c r="I1547" i="24" a="1"/>
  <c r="B1217" i="24" a="1"/>
  <c r="I663" i="24" a="1"/>
  <c r="D1266" i="24" a="1"/>
  <c r="C1906" i="24"/>
  <c r="H696" i="24" a="1"/>
  <c r="D1240" i="24" a="1"/>
  <c r="D334" i="24" a="1"/>
  <c r="C399" i="24"/>
  <c r="C1799" i="24"/>
  <c r="I996" i="24" a="1"/>
  <c r="B1608" i="24" a="1"/>
  <c r="M942" i="24" a="1"/>
  <c r="M1666" i="24" a="1"/>
  <c r="B1856" i="24" a="1"/>
  <c r="H667" i="24" a="1"/>
  <c r="B523" i="24" a="1"/>
  <c r="I176" i="24" a="1"/>
  <c r="B150" i="24" a="1"/>
  <c r="D1300" i="24" a="1"/>
  <c r="I1168" i="24" a="1"/>
  <c r="C1205" i="24"/>
  <c r="D1148" i="24" a="1"/>
  <c r="I217" i="24" a="1"/>
  <c r="I347" i="24" a="1"/>
  <c r="B372" i="24" a="1"/>
  <c r="C1040" i="24"/>
  <c r="C258" i="24"/>
  <c r="B306" i="24" a="1"/>
  <c r="M877" i="24" a="1"/>
  <c r="H279" i="24" a="1"/>
  <c r="I908" i="24" a="1"/>
  <c r="D1410" i="24" a="1"/>
  <c r="B749" i="24" a="1"/>
  <c r="D1103" i="24" a="1"/>
  <c r="M1873" i="24" a="1"/>
  <c r="B1529" i="24" a="1"/>
  <c r="B1070" i="24" a="1"/>
  <c r="H16" i="24" a="1"/>
  <c r="B1433" i="24" a="1"/>
  <c r="D207" i="24" a="1"/>
  <c r="I931" i="24" a="1"/>
  <c r="H573" i="24" a="1"/>
  <c r="B362" i="24" a="1"/>
  <c r="M1553" i="24" a="1"/>
  <c r="I584" i="24" a="1"/>
  <c r="I1273" i="24" a="1"/>
  <c r="M225" i="24" a="1"/>
  <c r="M1875" i="24" a="1"/>
  <c r="H1166" i="24" a="1"/>
  <c r="C203" i="24"/>
  <c r="H1013" i="24" a="1"/>
  <c r="B779" i="24" a="1"/>
  <c r="H1635" i="24" a="1"/>
  <c r="H1360" i="24" a="1"/>
  <c r="B669" i="24" a="1"/>
  <c r="C657" i="24"/>
  <c r="C1502" i="24"/>
  <c r="B1417" i="24" a="1"/>
  <c r="H47" i="24" a="1"/>
  <c r="M638" i="24" a="1"/>
  <c r="I1023" i="24" a="1"/>
  <c r="C358" i="24"/>
  <c r="C475" i="24"/>
  <c r="D727" i="24" a="1"/>
  <c r="C765" i="24"/>
  <c r="C294" i="24"/>
  <c r="B919" i="24" a="1"/>
  <c r="D40" i="24" a="1"/>
  <c r="D148" i="24" a="1"/>
  <c r="C734" i="24"/>
  <c r="I244" i="24" a="1"/>
  <c r="M1195" i="24" a="1"/>
  <c r="D1880" i="24" a="1"/>
  <c r="I357" i="24" a="1"/>
  <c r="H1035" i="24" a="1"/>
  <c r="I675" i="24" a="1"/>
  <c r="C1568" i="24"/>
  <c r="D1158" i="24" a="1"/>
  <c r="H56" i="24" a="1"/>
  <c r="M127" i="24" a="1"/>
  <c r="D893" i="24" a="1"/>
  <c r="I1105" i="24" a="1"/>
  <c r="D1607" i="24" a="1"/>
  <c r="M1584" i="24" a="1"/>
  <c r="H1446" i="24" a="1"/>
  <c r="I887" i="24" a="1"/>
  <c r="M252" i="24" a="1"/>
  <c r="H902" i="24" a="1"/>
  <c r="I783" i="24" a="1"/>
  <c r="D1756" i="24" a="1"/>
  <c r="I1861" i="24" a="1"/>
  <c r="D1426" i="24" a="1"/>
  <c r="H1180" i="24" a="1"/>
  <c r="M612" i="24" a="1"/>
  <c r="B564" i="24" a="1"/>
  <c r="D1133" i="24" a="1"/>
  <c r="I1194" i="24" a="1"/>
  <c r="D1026" i="24" a="1"/>
  <c r="D1732" i="24" a="1"/>
  <c r="D1791" i="24" a="1"/>
  <c r="B1865" i="24" a="1"/>
  <c r="I1089" i="24" a="1"/>
  <c r="M375" i="24" a="1"/>
  <c r="H406" i="24" a="1"/>
  <c r="D728" i="24" a="1"/>
  <c r="C1556" i="24"/>
  <c r="I1147" i="24" a="1"/>
  <c r="B1452" i="24" a="1"/>
  <c r="B954" i="24" a="1"/>
  <c r="C1018" i="24"/>
  <c r="M71" i="24" a="1"/>
  <c r="I273" i="24" a="1"/>
  <c r="I861" i="24" a="1"/>
  <c r="C28" i="24"/>
  <c r="I492" i="24" a="1"/>
  <c r="B764" i="24" a="1"/>
  <c r="D1124" i="24" a="1"/>
  <c r="H1052" i="24" a="1"/>
  <c r="C1235" i="24"/>
  <c r="B342" i="24" a="1"/>
  <c r="I775" i="24" a="1"/>
  <c r="H156" i="24" a="1"/>
  <c r="I1671" i="24" a="1"/>
  <c r="M1861" i="24" a="1"/>
  <c r="B562" i="24" a="1"/>
  <c r="I328" i="24" a="1"/>
  <c r="I1250" i="24" a="1"/>
  <c r="D1556" i="24" a="1"/>
  <c r="H1073" i="24" a="1"/>
  <c r="D726" i="24" a="1"/>
  <c r="I1200" i="24" a="1"/>
  <c r="D1520" i="24" a="1"/>
  <c r="B1252" i="24" a="1"/>
  <c r="D1460" i="24" a="1"/>
  <c r="H447" i="24" a="1"/>
  <c r="H550" i="24" a="1"/>
  <c r="I973" i="24" a="1"/>
  <c r="I578" i="24" a="1"/>
  <c r="C388" i="24"/>
  <c r="C455" i="24"/>
  <c r="D1697" i="24" a="1"/>
  <c r="B1830" i="24" a="1"/>
  <c r="M1241" i="24" a="1"/>
  <c r="M1526" i="24" a="1"/>
  <c r="M428" i="24" a="1"/>
  <c r="D1123" i="24" a="1"/>
  <c r="B1747" i="24" a="1"/>
  <c r="D347" i="24" a="1"/>
  <c r="C147" i="24"/>
  <c r="H347" i="24" a="1"/>
  <c r="C1103" i="24"/>
  <c r="I466" i="24" a="1"/>
  <c r="C1359" i="24"/>
  <c r="B685" i="24" a="1"/>
  <c r="D949" i="24" a="1"/>
  <c r="B1737" i="24" a="1"/>
  <c r="D1307" i="24" a="1"/>
  <c r="C247" i="24"/>
  <c r="D1742" i="24" a="1"/>
  <c r="I1190" i="24" a="1"/>
  <c r="C1325" i="24"/>
  <c r="B609" i="24" a="1"/>
  <c r="I1370" i="24" a="1"/>
  <c r="B15" i="24" a="1"/>
  <c r="B1698" i="24" a="1"/>
  <c r="H869" i="24" a="1"/>
  <c r="I582" i="24" a="1"/>
  <c r="I17" i="24" a="1"/>
  <c r="D234" i="24" a="1"/>
  <c r="C1083" i="24"/>
  <c r="B1331" i="24" a="1"/>
  <c r="B847" i="24" a="1"/>
  <c r="C37" i="24"/>
  <c r="H1637" i="24" a="1"/>
  <c r="H977" i="24" a="1"/>
  <c r="H946" i="24" a="1"/>
  <c r="I876" i="24" a="1"/>
  <c r="I203" i="24" a="1"/>
  <c r="B1554" i="24" a="1"/>
  <c r="B49" i="24" a="1"/>
  <c r="D1490" i="24" a="1"/>
  <c r="B10" i="24" a="1"/>
  <c r="D1104" i="24" a="1"/>
  <c r="C941" i="24"/>
  <c r="I1262" i="24" a="1"/>
  <c r="H453" i="24" a="1"/>
  <c r="C710" i="24"/>
  <c r="M740" i="24" a="1"/>
  <c r="D204" i="24" a="1"/>
  <c r="D1414" i="24" a="1"/>
  <c r="I472" i="24" a="1"/>
  <c r="B1129" i="24" a="1"/>
  <c r="C1012" i="24"/>
  <c r="H812" i="24" a="1"/>
  <c r="H978" i="24" a="1"/>
  <c r="I119" i="24" a="1"/>
  <c r="H258" i="24" a="1"/>
  <c r="H1205" i="24" a="1"/>
  <c r="H1331" i="24" a="1"/>
  <c r="I355" i="24" a="1"/>
  <c r="D604" i="24" a="1"/>
  <c r="B574" i="24" a="1"/>
  <c r="B989" i="24" a="1"/>
  <c r="H918" i="24" a="1"/>
  <c r="D517" i="24" a="1"/>
  <c r="H524" i="24" a="1"/>
  <c r="D1046" i="24" a="1"/>
  <c r="I1208" i="24" a="1"/>
  <c r="C1318" i="24"/>
  <c r="C981" i="24"/>
  <c r="H700" i="24" a="1"/>
  <c r="M1560" i="24" a="1"/>
  <c r="C1378" i="24"/>
  <c r="M16" i="24" a="1"/>
  <c r="B1282" i="24" a="1"/>
  <c r="I866" i="24" a="1"/>
  <c r="H377" i="24" a="1"/>
  <c r="I441" i="24" a="1"/>
  <c r="D1805" i="24" a="1"/>
  <c r="H476" i="24" a="1"/>
  <c r="H113" i="24" a="1"/>
  <c r="I267" i="24" a="1"/>
  <c r="I701" i="24" a="1"/>
  <c r="D238" i="24" a="1"/>
  <c r="B388" i="24" a="1"/>
  <c r="H11" i="24" a="1"/>
  <c r="B871" i="24" a="1"/>
  <c r="B703" i="24" a="1"/>
  <c r="D555" i="24" a="1"/>
  <c r="M1037" i="24" a="1"/>
  <c r="D307" i="24" a="1"/>
  <c r="C1111" i="24"/>
  <c r="D1728" i="24" a="1"/>
  <c r="B208" i="24" a="1"/>
  <c r="B540" i="24" a="1"/>
  <c r="D965" i="24" a="1"/>
  <c r="I1222" i="24" a="1"/>
  <c r="H114" i="24" a="1"/>
  <c r="M904" i="24" a="1"/>
  <c r="I914" i="24" a="1"/>
  <c r="M1496" i="24" a="1"/>
  <c r="I9" i="24" a="1"/>
  <c r="H1753" i="24" a="1"/>
  <c r="B1219" i="24" a="1"/>
  <c r="D1713" i="24" a="1"/>
  <c r="H106" i="24" a="1"/>
  <c r="D1792" i="24" a="1"/>
  <c r="B1390" i="24" a="1"/>
  <c r="M668" i="24" a="1"/>
  <c r="I1458" i="24" a="1"/>
  <c r="B1781" i="24" a="1"/>
  <c r="H850" i="24" a="1"/>
  <c r="M1207" i="24" a="1"/>
  <c r="H866" i="24" a="1"/>
  <c r="B1607" i="24" a="1"/>
  <c r="M1345" i="24" a="1"/>
  <c r="C1363" i="24"/>
  <c r="C238" i="24"/>
  <c r="C1786" i="24"/>
  <c r="H901" i="24" a="1"/>
  <c r="I1241" i="24" a="1"/>
  <c r="M1303" i="24" a="1"/>
  <c r="B939" i="24" a="1"/>
  <c r="B729" i="24" a="1"/>
  <c r="I1818" i="24" a="1"/>
  <c r="B657" i="24" a="1"/>
  <c r="C444" i="24"/>
  <c r="B1359" i="24" a="1"/>
  <c r="C1214" i="24"/>
  <c r="B674" i="24" a="1"/>
  <c r="C1263" i="24"/>
  <c r="I63" i="24" a="1"/>
  <c r="D103" i="24" a="1"/>
  <c r="B489" i="24" a="1"/>
  <c r="C1706" i="24"/>
  <c r="B1443" i="24" a="1"/>
  <c r="D1291" i="24" a="1"/>
  <c r="C873" i="24"/>
  <c r="C1178" i="24"/>
  <c r="I1857" i="24" a="1"/>
  <c r="I1110" i="24" a="1"/>
  <c r="D1473" i="24" a="1"/>
  <c r="H79" i="24" a="1"/>
  <c r="B1185" i="24" a="1"/>
  <c r="M1852" i="24" a="1"/>
  <c r="I1096" i="24" a="1"/>
  <c r="B605" i="24" a="1"/>
  <c r="B1294" i="24" a="1"/>
  <c r="H1184" i="24" a="1"/>
  <c r="C633" i="24"/>
  <c r="I1292" i="24" a="1"/>
  <c r="C166" i="24"/>
  <c r="C740" i="24"/>
  <c r="B233" i="24" a="1"/>
  <c r="I794" i="24" a="1"/>
  <c r="D1348" i="24" a="1"/>
  <c r="B14" i="24" a="1"/>
  <c r="H557" i="24" a="1"/>
  <c r="B1504" i="24" a="1"/>
  <c r="M814" i="24" a="1"/>
  <c r="B498" i="24" a="1"/>
  <c r="D1211" i="24" a="1"/>
  <c r="D1165" i="24" a="1"/>
  <c r="I509" i="24" a="1"/>
  <c r="D267" i="24" a="1"/>
  <c r="B1067" i="24" a="1"/>
  <c r="B487" i="24" a="1"/>
  <c r="C725" i="24"/>
  <c r="M947" i="24" a="1"/>
  <c r="D150" i="24" a="1"/>
  <c r="I685" i="24" a="1"/>
  <c r="D531" i="24" a="1"/>
  <c r="B1839" i="24" a="1"/>
  <c r="M1292" i="24" a="1"/>
  <c r="C1826" i="24"/>
  <c r="M1404" i="24" a="1"/>
  <c r="D502" i="24" a="1"/>
  <c r="C668" i="24"/>
  <c r="H349" i="24" a="1"/>
  <c r="D1349" i="24" a="1"/>
  <c r="C1753" i="24"/>
  <c r="C730" i="24"/>
  <c r="C1306" i="24"/>
  <c r="C305" i="24"/>
  <c r="H119" i="24" a="1"/>
  <c r="D1873" i="24" a="1"/>
  <c r="H997" i="24" a="1"/>
  <c r="B1864" i="24" a="1"/>
  <c r="M38" i="24" a="1"/>
  <c r="I1050" i="24" a="1"/>
  <c r="H1755" i="24" a="1"/>
  <c r="B1283" i="24" a="1"/>
  <c r="I1386" i="24" a="1"/>
  <c r="H35" i="24" a="1"/>
  <c r="C1574" i="24"/>
  <c r="H1636" i="24" a="1"/>
  <c r="M1368" i="24" a="1"/>
  <c r="B676" i="24" a="1"/>
  <c r="B1728" i="24" a="1"/>
  <c r="C1051" i="24"/>
  <c r="B755" i="24" a="1"/>
  <c r="I361" i="24" a="1"/>
  <c r="B464" i="24" a="1"/>
  <c r="D1113" i="24" a="1"/>
  <c r="D992" i="24" a="1"/>
  <c r="H1357" i="24" a="1"/>
  <c r="I49" i="24" a="1"/>
  <c r="B1511" i="24" a="1"/>
  <c r="B227" i="24" a="1"/>
  <c r="I1566" i="24" a="1"/>
  <c r="C1475" i="24"/>
  <c r="C1698" i="24"/>
  <c r="D1586" i="24" a="1"/>
  <c r="I633" i="24" a="1"/>
  <c r="I249" i="24" a="1"/>
  <c r="C1237" i="24"/>
  <c r="D48" i="24" a="1"/>
  <c r="D130" i="24" a="1"/>
  <c r="M806" i="24" a="1"/>
  <c r="M1629" i="24" a="1"/>
  <c r="H1207" i="24" a="1"/>
  <c r="H1227" i="24" a="1"/>
  <c r="H1182" i="24" a="1"/>
  <c r="C802" i="24"/>
  <c r="M276" i="24" a="1"/>
  <c r="I318" i="24" a="1"/>
  <c r="D915" i="24" a="1"/>
  <c r="C1664" i="24"/>
  <c r="H717" i="24" a="1"/>
  <c r="H714" i="24" a="1"/>
  <c r="H433" i="24" a="1"/>
  <c r="C1077" i="24"/>
  <c r="D450" i="24" a="1"/>
  <c r="M1029" i="24" a="1"/>
  <c r="D536" i="24" a="1"/>
  <c r="I468" i="24" a="1"/>
  <c r="B976" i="24" a="1"/>
  <c r="D612" i="24" a="1"/>
  <c r="D121" i="24" a="1"/>
  <c r="C1452" i="24"/>
  <c r="B158" i="24" a="1"/>
  <c r="C847" i="24"/>
  <c r="C19" i="24"/>
  <c r="C610" i="24"/>
  <c r="I237" i="24" a="1"/>
  <c r="H100" i="24" a="1"/>
  <c r="B1464" i="24" a="1"/>
  <c r="H766" i="24" a="1"/>
  <c r="B393" i="24" a="1"/>
  <c r="I1637" i="24" a="1"/>
  <c r="B1467" i="24" a="1"/>
  <c r="B1336" i="24" a="1"/>
  <c r="D164" i="24" a="1"/>
  <c r="I690" i="24" a="1"/>
  <c r="B1730" i="24" a="1"/>
  <c r="H962" i="24" a="1"/>
  <c r="I1011" i="24" a="1"/>
  <c r="C196" i="24"/>
  <c r="B581" i="24" a="1"/>
  <c r="C937" i="24"/>
  <c r="M29" i="24" a="1"/>
  <c r="B606" i="24" a="1"/>
  <c r="D1605" i="24" a="1"/>
  <c r="B46" i="24" a="1"/>
  <c r="I48" i="24" a="1"/>
  <c r="D626" i="24" a="1"/>
  <c r="D630" i="24" a="1"/>
  <c r="I1843" i="24" a="1"/>
  <c r="H286" i="24" a="1"/>
  <c r="C1174" i="24"/>
  <c r="B1328" i="24" a="1"/>
  <c r="I1593" i="24" a="1"/>
  <c r="D1364" i="24" a="1"/>
  <c r="I69" i="24" a="1"/>
  <c r="I350" i="24" a="1"/>
  <c r="D101" i="24" a="1"/>
  <c r="D581" i="24" a="1"/>
  <c r="I1448" i="24" a="1"/>
  <c r="H1000" i="24" a="1"/>
  <c r="M277" i="24" a="1"/>
  <c r="M1627" i="24" a="1"/>
  <c r="D937" i="24" a="1"/>
  <c r="B570" i="24" a="1"/>
  <c r="C321" i="24"/>
  <c r="B940" i="24" a="1"/>
  <c r="H903" i="24" a="1"/>
  <c r="I528" i="24" a="1"/>
  <c r="B953" i="24" a="1"/>
  <c r="I971" i="24" a="1"/>
  <c r="D1042" i="24" a="1"/>
  <c r="M1579" i="24" a="1"/>
  <c r="B706" i="24" a="1"/>
  <c r="H439" i="24" a="1"/>
  <c r="I1670" i="24" a="1"/>
  <c r="D400" i="24" a="1"/>
  <c r="B166" i="24" a="1"/>
  <c r="I1119" i="24" a="1"/>
  <c r="B1632" i="24" a="1"/>
  <c r="C619" i="24"/>
  <c r="C1239" i="24"/>
  <c r="C680" i="24"/>
  <c r="H1305" i="24" a="1"/>
  <c r="C114" i="24"/>
  <c r="B1579" i="24" a="1"/>
  <c r="B888" i="24" a="1"/>
  <c r="C215" i="24"/>
  <c r="M1185" i="24" a="1"/>
  <c r="H795" i="24" a="1"/>
  <c r="B831" i="24" a="1"/>
  <c r="I159" i="24" a="1"/>
  <c r="I403" i="24" a="1"/>
  <c r="D327" i="24" a="1"/>
  <c r="D1436" i="24" a="1"/>
  <c r="M237" i="24" a="1"/>
  <c r="H105" i="24" a="1"/>
  <c r="D735" i="24" a="1"/>
  <c r="H1903" i="24" a="1"/>
  <c r="D627" i="24" a="1"/>
  <c r="I1410" i="24" a="1"/>
  <c r="C259" i="24"/>
  <c r="B404" i="24" a="1"/>
  <c r="D1493" i="24" a="1"/>
  <c r="C361" i="24"/>
  <c r="D390" i="24" a="1"/>
  <c r="C673" i="24"/>
  <c r="H461" i="24" a="1"/>
  <c r="H304" i="24" a="1"/>
  <c r="I500" i="24" a="1"/>
  <c r="C469" i="24"/>
  <c r="B618" i="24" a="1"/>
  <c r="C848" i="24"/>
  <c r="H419" i="24" a="1"/>
  <c r="H1437" i="24" a="1"/>
  <c r="D660" i="24" a="1"/>
  <c r="C219" i="24"/>
  <c r="D37" i="24" a="1"/>
  <c r="I786" i="24" a="1"/>
  <c r="D807" i="24" a="1"/>
  <c r="B195" i="24" a="1"/>
  <c r="D205" i="24" a="1"/>
  <c r="M521" i="24" a="1"/>
  <c r="I253" i="24" a="1"/>
  <c r="I1690" i="24" a="1"/>
  <c r="H1054" i="24" a="1"/>
  <c r="D1467" i="24" a="1"/>
  <c r="H378" i="24" a="1"/>
  <c r="C564" i="24"/>
  <c r="D1634" i="24" a="1"/>
  <c r="M35" i="24" a="1"/>
  <c r="D793" i="24" a="1"/>
  <c r="H803" i="24" a="1"/>
  <c r="B783" i="24" a="1"/>
  <c r="I391" i="24" a="1"/>
  <c r="M1637" i="24" a="1"/>
  <c r="D543" i="24" a="1"/>
  <c r="H1346" i="24" a="1"/>
  <c r="H66" i="24" a="1"/>
  <c r="C516" i="24"/>
  <c r="I979" i="24" a="1"/>
  <c r="C644" i="24"/>
  <c r="H396" i="24" a="1"/>
  <c r="B1482" i="24" a="1"/>
  <c r="D1030" i="24" a="1"/>
  <c r="B616" i="24" a="1"/>
  <c r="C829" i="24"/>
  <c r="D497" i="24" a="1"/>
  <c r="D574" i="24" a="1"/>
  <c r="I637" i="24" a="1"/>
  <c r="C962" i="24"/>
  <c r="M185" i="24" a="1"/>
  <c r="M301" i="24" a="1"/>
  <c r="D412" i="24" a="1"/>
  <c r="C1101" i="24"/>
  <c r="I1251" i="24" a="1"/>
  <c r="B1120" i="24" a="1"/>
  <c r="H1352" i="24" a="1"/>
  <c r="B771" i="24" a="1"/>
  <c r="I800" i="24" a="1"/>
  <c r="B635" i="24" a="1"/>
  <c r="C298" i="24"/>
  <c r="B1761" i="24" a="1"/>
  <c r="H407" i="24" a="1"/>
  <c r="C527" i="24"/>
  <c r="C978" i="24"/>
  <c r="B26" i="24" a="1"/>
  <c r="H503" i="24" a="1"/>
  <c r="H588" i="24" a="1"/>
  <c r="C1138" i="24"/>
  <c r="D154" i="24" a="1"/>
  <c r="M1576" i="24" a="1"/>
  <c r="H617" i="24" a="1"/>
  <c r="D97" i="24" a="1"/>
  <c r="B1107" i="24" a="1"/>
  <c r="B1606" i="24" a="1"/>
  <c r="C935" i="24"/>
  <c r="B535" i="24" a="1"/>
  <c r="C1757" i="24"/>
  <c r="H520" i="24" a="1"/>
  <c r="D788" i="24" a="1"/>
  <c r="H806" i="24" a="1"/>
  <c r="B855" i="24" a="1"/>
  <c r="H1397" i="24" a="1"/>
  <c r="D679" i="24" a="1"/>
  <c r="C811" i="24"/>
  <c r="D1082" i="24" a="1"/>
  <c r="H85" i="24" a="1"/>
  <c r="I694" i="24" a="1"/>
  <c r="C934" i="24"/>
  <c r="I752" i="24" a="1"/>
  <c r="D948" i="24" a="1"/>
  <c r="B1426" i="24" a="1"/>
  <c r="C781" i="24"/>
  <c r="M1509" i="24" a="1"/>
  <c r="B1378" i="24" a="1"/>
  <c r="B1790" i="24" a="1"/>
  <c r="B443" i="24" a="1"/>
  <c r="C1224" i="24"/>
  <c r="B396" i="24" a="1"/>
  <c r="I380" i="24" a="1"/>
  <c r="B1473" i="24" a="1"/>
  <c r="I1681" i="24" a="1"/>
  <c r="C394" i="24"/>
  <c r="M1095" i="24" a="1"/>
  <c r="H1864" i="24" a="1"/>
  <c r="D1403" i="24" a="1"/>
  <c r="I571" i="24" a="1"/>
  <c r="B492" i="24" a="1"/>
  <c r="M1053" i="24" a="1"/>
  <c r="C1333" i="24"/>
  <c r="M44" i="24" a="1"/>
  <c r="I1308" i="24" a="1"/>
  <c r="C153" i="24"/>
  <c r="I243" i="24" a="1"/>
  <c r="H1304" i="24" a="1"/>
  <c r="C1191" i="24"/>
  <c r="I1706" i="24" a="1"/>
  <c r="I1729" i="24" a="1"/>
  <c r="C438" i="24"/>
  <c r="M1439" i="24" a="1"/>
  <c r="I962" i="24" a="1"/>
  <c r="I285" i="24" a="1"/>
  <c r="M900" i="24" a="1"/>
  <c r="D1286" i="24" a="1"/>
  <c r="I799" i="24" a="1"/>
  <c r="I1045" i="24" a="1"/>
  <c r="B1071" i="24" a="1"/>
  <c r="H1732" i="24" a="1"/>
  <c r="M554" i="24" a="1"/>
  <c r="H333" i="24" a="1"/>
  <c r="B424" i="24" a="1"/>
  <c r="D1309" i="24" a="1"/>
  <c r="I1157" i="24" a="1"/>
  <c r="H677" i="24" a="1"/>
  <c r="C1070" i="24"/>
  <c r="C1108" i="24"/>
  <c r="H1196" i="24" a="1"/>
  <c r="M1511" i="24" a="1"/>
  <c r="D475" i="24" a="1"/>
  <c r="I455" i="24" a="1"/>
  <c r="M1149" i="24" a="1"/>
  <c r="M1153" i="24" a="1"/>
  <c r="M385" i="24" a="1"/>
  <c r="I683" i="24" a="1"/>
  <c r="C625" i="24"/>
  <c r="C728" i="24"/>
  <c r="C736" i="24"/>
  <c r="I1640" i="24" a="1"/>
  <c r="D1523" i="24" a="1"/>
  <c r="B180" i="24" a="1"/>
  <c r="I1172" i="24" a="1"/>
  <c r="H943" i="24" a="1"/>
  <c r="B1262" i="24" a="1"/>
  <c r="C342" i="24"/>
  <c r="M790" i="24" a="1"/>
  <c r="I1580" i="24" a="1"/>
  <c r="B1113" i="24" a="1"/>
  <c r="D723" i="24" a="1"/>
  <c r="H688" i="24" a="1"/>
  <c r="D1270" i="24" a="1"/>
  <c r="B539" i="24" a="1"/>
  <c r="I218" i="24" a="1"/>
  <c r="D1355" i="24" a="1"/>
  <c r="C990" i="24"/>
  <c r="D128" i="24" a="1"/>
  <c r="I512" i="24" a="1"/>
  <c r="I682" i="24" a="1"/>
  <c r="D85" i="24" a="1"/>
  <c r="C851" i="24"/>
  <c r="B72" i="24" a="1"/>
  <c r="B1023" i="24" a="1"/>
  <c r="C914" i="24"/>
  <c r="B1594" i="24" a="1"/>
  <c r="C1577" i="24"/>
  <c r="C1009" i="24"/>
  <c r="C99" i="24"/>
  <c r="D1717" i="24" a="1"/>
  <c r="M172" i="24" a="1"/>
  <c r="B572" i="24" a="1"/>
  <c r="B121" i="24" a="1"/>
  <c r="B1536" i="24" a="1"/>
  <c r="M1012" i="24" a="1"/>
  <c r="H415" i="24" a="1"/>
  <c r="C1273" i="24"/>
  <c r="I256" i="24" a="1"/>
  <c r="D943" i="24" a="1"/>
  <c r="I836" i="24" a="1"/>
  <c r="I1804" i="24" a="1"/>
  <c r="D1786" i="24" a="1"/>
  <c r="H1422" i="24" a="1"/>
  <c r="M1383" i="24" a="1"/>
  <c r="D1079" i="24" a="1"/>
  <c r="B734" i="24" a="1"/>
  <c r="C703" i="24"/>
  <c r="D1603" i="24" a="1"/>
  <c r="B278" i="24" a="1"/>
  <c r="C142" i="24"/>
  <c r="B1683" i="24" a="1"/>
  <c r="D304" i="24" a="1"/>
  <c r="B1094" i="24" a="1"/>
  <c r="H645" i="24" a="1"/>
  <c r="B62" i="24" a="1"/>
  <c r="B349" i="24" a="1"/>
  <c r="B1566" i="24" a="1"/>
  <c r="I333" i="24" a="1"/>
  <c r="C852" i="24"/>
  <c r="D810" i="24" a="1"/>
  <c r="I686" i="24" a="1"/>
  <c r="B1226" i="24" a="1"/>
  <c r="H253" i="24" a="1"/>
  <c r="H718" i="24" a="1"/>
  <c r="I1002" i="24" a="1"/>
  <c r="M1517" i="24" a="1"/>
  <c r="C565" i="24"/>
  <c r="I1424" i="24" a="1"/>
  <c r="D47" i="24" a="1"/>
  <c r="H1724" i="24" a="1"/>
  <c r="M1555" i="24" a="1"/>
  <c r="B1314" i="24" a="1"/>
  <c r="C1054" i="24"/>
  <c r="I1187" i="24" a="1"/>
  <c r="B556" i="24" a="1"/>
  <c r="H749" i="24" a="1"/>
  <c r="C795" i="24"/>
  <c r="H833" i="24" a="1"/>
  <c r="B406" i="24" a="1"/>
  <c r="M512" i="24" a="1"/>
  <c r="I1722" i="24" a="1"/>
  <c r="M666" i="24" a="1"/>
  <c r="D1150" i="24" a="1"/>
  <c r="B780" i="24" a="1"/>
  <c r="B353" i="24" a="1"/>
  <c r="C366" i="24"/>
  <c r="I1018" i="24" a="1"/>
  <c r="I521" i="24" a="1"/>
  <c r="C85" i="24"/>
  <c r="M203" i="24" a="1"/>
  <c r="H1080" i="24" a="1"/>
  <c r="D978" i="24" a="1"/>
  <c r="I778" i="24" a="1"/>
  <c r="D30" i="24" a="1"/>
  <c r="D837" i="24" a="1"/>
  <c r="H1144" i="24" a="1"/>
  <c r="I1710" i="24" a="1"/>
  <c r="I1314" i="24" a="1"/>
  <c r="I1180" i="24" a="1"/>
  <c r="D809" i="24" a="1"/>
  <c r="B125" i="24" a="1"/>
  <c r="C40" i="24"/>
  <c r="B1828" i="24" a="1"/>
  <c r="B1784" i="24" a="1"/>
  <c r="I364" i="24" a="1"/>
  <c r="H532" i="24" a="1"/>
  <c r="D1087" i="24" a="1"/>
  <c r="D1280" i="24" a="1"/>
  <c r="D335" i="24" a="1"/>
  <c r="M341" i="24" a="1"/>
  <c r="B1145" i="24" a="1"/>
  <c r="I77" i="24" a="1"/>
  <c r="M1872" i="24" a="1"/>
  <c r="B1027" i="24" a="1"/>
  <c r="B1339" i="24" a="1"/>
  <c r="H1164" i="24" a="1"/>
  <c r="M1194" i="24" a="1"/>
  <c r="I1082" i="24" a="1"/>
  <c r="B830" i="24" a="1"/>
  <c r="H189" i="24" a="1"/>
  <c r="C128" i="24"/>
  <c r="D1676" i="24" a="1"/>
  <c r="D587" i="24" a="1"/>
  <c r="H60" i="24" a="1"/>
  <c r="M161" i="24" a="1"/>
  <c r="D1239" i="24" a="1"/>
  <c r="D313" i="24" a="1"/>
  <c r="C111" i="24"/>
  <c r="D637" i="24" a="1"/>
  <c r="M1382" i="24" a="1"/>
  <c r="C1255" i="24"/>
  <c r="C539" i="24"/>
  <c r="I928" i="24" a="1"/>
  <c r="I360" i="24" a="1"/>
  <c r="M1230" i="24" a="1"/>
  <c r="D1696" i="24" a="1"/>
  <c r="C524" i="24"/>
  <c r="M511" i="24" a="1"/>
  <c r="B476" i="24" a="1"/>
  <c r="C480" i="24"/>
  <c r="I1569" i="24" a="1"/>
  <c r="M620" i="24" a="1"/>
  <c r="B1557" i="24" a="1"/>
  <c r="C613" i="24"/>
  <c r="I178" i="24" a="1"/>
  <c r="D1839" i="24" a="1"/>
  <c r="B1154" i="24" a="1"/>
  <c r="H1447" i="24" a="1"/>
  <c r="C1326" i="24"/>
  <c r="C815" i="24"/>
  <c r="D566" i="24" a="1"/>
  <c r="H429" i="24" a="1"/>
  <c r="H1072" i="24" a="1"/>
  <c r="I1192" i="24" a="1"/>
  <c r="B1611" i="24" a="1"/>
  <c r="C1243" i="24"/>
  <c r="B417" i="24" a="1"/>
  <c r="C909" i="24"/>
  <c r="M1570" i="24" a="1"/>
  <c r="B1197" i="24" a="1"/>
  <c r="H232" i="24" a="1"/>
  <c r="I1351" i="24" a="1"/>
  <c r="I113" i="24" a="1"/>
  <c r="H220" i="24" a="1"/>
  <c r="B1309" i="24" a="1"/>
  <c r="H651" i="24" a="1"/>
  <c r="B253" i="24" a="1"/>
  <c r="H1318" i="24" a="1"/>
  <c r="I807" i="24" a="1"/>
  <c r="H328" i="24" a="1"/>
  <c r="C87" i="24"/>
  <c r="D974" i="24" a="1"/>
  <c r="C814" i="24"/>
  <c r="I1218" i="24" a="1"/>
  <c r="C624" i="24"/>
  <c r="H1272" i="24" a="1"/>
  <c r="H1657" i="24" a="1"/>
  <c r="B1497" i="24" a="1"/>
  <c r="M671" i="24" a="1"/>
  <c r="D1118" i="24" a="1"/>
  <c r="M1151" i="24" a="1"/>
  <c r="M683" i="24" a="1"/>
  <c r="I33" i="24" a="1"/>
  <c r="B1072" i="24" a="1"/>
  <c r="H94" i="24" a="1"/>
  <c r="B387" i="24" a="1"/>
  <c r="M1408" i="24" a="1"/>
  <c r="C646" i="24"/>
  <c r="C579" i="24"/>
  <c r="H885" i="24" a="1"/>
  <c r="D736" i="24" a="1"/>
  <c r="B262" i="24" a="1"/>
  <c r="I1422" i="24" a="1"/>
  <c r="C650" i="24"/>
  <c r="B82" i="24" a="1"/>
  <c r="D784" i="24" a="1"/>
  <c r="D172" i="24" a="1"/>
  <c r="I420" i="24" a="1"/>
  <c r="H1124" i="24" a="1"/>
  <c r="I336" i="24" a="1"/>
  <c r="I433" i="24" a="1"/>
  <c r="I200" i="24" a="1"/>
  <c r="I1095" i="24" a="1"/>
  <c r="C1302" i="24"/>
  <c r="H48" i="24" a="1"/>
  <c r="I1231" i="24" a="1"/>
  <c r="H194" i="24" a="1"/>
  <c r="D931" i="24" a="1"/>
  <c r="B893" i="24" a="1"/>
  <c r="B474" i="24" a="1"/>
  <c r="H101" i="24" a="1"/>
  <c r="D1596" i="24" a="1"/>
  <c r="D782" i="24" a="1"/>
  <c r="M1003" i="24" a="1"/>
  <c r="B1141" i="24" a="1"/>
  <c r="I1029" i="24" a="1"/>
  <c r="H238" i="24" a="1"/>
  <c r="C842" i="24"/>
  <c r="B1076" i="24" a="1"/>
  <c r="H1514" i="24" a="1"/>
  <c r="M1087" i="24" a="1"/>
  <c r="M1580" i="24" a="1"/>
  <c r="D232" i="24" a="1"/>
  <c r="I319" i="24" a="1"/>
  <c r="I484" i="24" a="1"/>
  <c r="I697" i="24" a="1"/>
  <c r="M183" i="24" a="1"/>
  <c r="B1456" i="24" a="1"/>
  <c r="D161" i="24" a="1"/>
  <c r="D636" i="24" a="1"/>
  <c r="D1301" i="24" a="1"/>
  <c r="B76" i="24" a="1"/>
  <c r="I1463" i="24" a="1"/>
  <c r="M316" i="24" a="1"/>
  <c r="H490" i="24" a="1"/>
  <c r="H519" i="24" a="1"/>
  <c r="D792" i="24" a="1"/>
  <c r="C1881" i="24"/>
  <c r="H896" i="24" a="1"/>
  <c r="H1426" i="24" a="1"/>
  <c r="B160" i="24" a="1"/>
  <c r="D911" i="24" a="1"/>
  <c r="D1005" i="24" a="1"/>
  <c r="H1400" i="24" a="1"/>
  <c r="C637" i="24"/>
  <c r="M722" i="24" a="1"/>
  <c r="B21" i="24" a="1"/>
  <c r="I569" i="24" a="1"/>
  <c r="B204" i="24" a="1"/>
  <c r="C700" i="24"/>
  <c r="B1641" i="24" a="1"/>
  <c r="C333" i="24"/>
  <c r="B529" i="24" a="1"/>
  <c r="H422" i="24" a="1"/>
  <c r="B218" i="24" a="1"/>
  <c r="M226" i="24" a="1"/>
  <c r="M350" i="24" a="1"/>
  <c r="C300" i="24"/>
  <c r="H1195" i="24" a="1"/>
  <c r="D285" i="24" a="1"/>
  <c r="H217" i="24" a="1"/>
  <c r="M1233" i="24" a="1"/>
  <c r="B378" i="24" a="1"/>
  <c r="M1416" i="24" a="1"/>
  <c r="H1116" i="24" a="1"/>
  <c r="H300" i="24" a="1"/>
  <c r="I1265" i="24" a="1"/>
  <c r="M72" i="24" a="1"/>
  <c r="H1254" i="24" a="1"/>
  <c r="I544" i="24" a="1"/>
  <c r="H315" i="24" a="1"/>
  <c r="B917" i="24" a="1"/>
  <c r="H1496" i="24" a="1"/>
  <c r="B1496" i="24" a="1"/>
  <c r="B488" i="24" a="1"/>
  <c r="I1330" i="24" a="1"/>
  <c r="C893" i="24"/>
  <c r="B977" i="24" a="1"/>
  <c r="B1515" i="24" a="1"/>
  <c r="B1569" i="24" a="1"/>
  <c r="C1188" i="24"/>
  <c r="H891" i="24" a="1"/>
  <c r="M1859" i="24" a="1"/>
  <c r="H672" i="24" a="1"/>
  <c r="D751" i="24" a="1"/>
  <c r="B1893" i="24" a="1"/>
  <c r="H1273" i="24" a="1"/>
  <c r="I604" i="24" a="1"/>
  <c r="D206" i="24" a="1"/>
  <c r="C410" i="24"/>
  <c r="D1256" i="24" a="1"/>
  <c r="I409" i="24" a="1"/>
  <c r="C860" i="24"/>
  <c r="C1269" i="24"/>
  <c r="D650" i="24" a="1"/>
  <c r="H1542" i="24" a="1"/>
  <c r="D1204" i="24" a="1"/>
  <c r="H34" i="24" a="1"/>
  <c r="C754" i="24"/>
  <c r="H777" i="24" a="1"/>
  <c r="H832" i="24" a="1"/>
  <c r="D770" i="24" a="1"/>
  <c r="B370" i="24" a="1"/>
  <c r="H931" i="24" a="1"/>
  <c r="D1635" i="24" a="1"/>
  <c r="C371" i="24"/>
  <c r="I951" i="24" a="1"/>
  <c r="I938" i="24" a="1"/>
  <c r="H243" i="24" a="1"/>
  <c r="D6" i="24" a="1"/>
  <c r="D1783" i="24" a="1"/>
  <c r="I1589" i="24" a="1"/>
  <c r="H1099" i="24" a="1"/>
  <c r="H967" i="24" a="1"/>
  <c r="D1721" i="24" a="1"/>
  <c r="M593" i="24" a="1"/>
  <c r="C658" i="24"/>
  <c r="C103" i="24"/>
  <c r="I677" i="24" a="1"/>
  <c r="B1263" i="24" a="1"/>
  <c r="C297" i="24"/>
  <c r="I636" i="24" a="1"/>
  <c r="B307" i="24" a="1"/>
  <c r="D1375" i="24" a="1"/>
  <c r="C697" i="24"/>
  <c r="D1276" i="24" a="1"/>
  <c r="M414" i="24" a="1"/>
  <c r="H1092" i="24" a="1"/>
  <c r="H1293" i="24" a="1"/>
  <c r="B1420" i="24" a="1"/>
  <c r="C1569" i="24"/>
  <c r="I983" i="24" a="1"/>
  <c r="B120" i="24" a="1"/>
  <c r="D756" i="24" a="1"/>
  <c r="D1259" i="24" a="1"/>
  <c r="D1374" i="24" a="1"/>
  <c r="C1289" i="24"/>
  <c r="H32" i="24" a="1"/>
  <c r="M1489" i="24" a="1"/>
  <c r="C1344" i="24"/>
  <c r="C56" i="24"/>
  <c r="I432" i="24" a="1"/>
  <c r="I566" i="24" a="1"/>
  <c r="I715" i="24" a="1"/>
  <c r="D435" i="24" a="1"/>
  <c r="I118" i="24" a="1"/>
  <c r="B437" i="24" a="1"/>
  <c r="D1298" i="24" a="1"/>
  <c r="B1088" i="24" a="1"/>
  <c r="C508" i="24"/>
  <c r="D1313" i="24" a="1"/>
  <c r="M394" i="24" a="1"/>
  <c r="D1904" i="24" a="1"/>
  <c r="M118" i="24" a="1"/>
  <c r="M21" i="24" a="1"/>
  <c r="B1171" i="24" a="1"/>
  <c r="H1615" i="24" a="1"/>
  <c r="D168" i="24" a="1"/>
  <c r="C1427" i="24"/>
  <c r="I1103" i="24" a="1"/>
  <c r="B12" i="24" a="1"/>
  <c r="C352" i="24"/>
  <c r="H12" i="24" a="1"/>
  <c r="B109" i="24" a="1"/>
  <c r="M324" i="24" a="1"/>
  <c r="B1124" i="24" a="1"/>
  <c r="B119" i="24" a="1"/>
  <c r="I1174" i="24" a="1"/>
  <c r="D741" i="24" a="1"/>
  <c r="M14" i="24" a="1"/>
  <c r="C226" i="24"/>
  <c r="H132" i="24" a="1"/>
  <c r="M145" i="24" a="1"/>
  <c r="B1253" i="24" a="1"/>
  <c r="B1573" i="24" a="1"/>
  <c r="C232" i="24"/>
  <c r="I1298" i="24" a="1"/>
  <c r="D1740" i="24" a="1"/>
  <c r="H838" i="24" a="1"/>
  <c r="I1688" i="24" a="1"/>
  <c r="H499" i="24" a="1"/>
  <c r="H521" i="24" a="1"/>
  <c r="D1806" i="24" a="1"/>
  <c r="D1841" i="24" a="1"/>
  <c r="I1271" i="24" a="1"/>
  <c r="I1319" i="24" a="1"/>
  <c r="C1541" i="24"/>
  <c r="D1357" i="24" a="1"/>
  <c r="D1238" i="24" a="1"/>
  <c r="H1177" i="24" a="1"/>
  <c r="H1138" i="24" a="1"/>
  <c r="B1560" i="24" a="1"/>
  <c r="B598" i="24" a="1"/>
  <c r="I1899" i="24" a="1"/>
  <c r="B4" i="24" a="1"/>
  <c r="D1626" i="24" a="1"/>
  <c r="B327" i="24" a="1"/>
  <c r="C1797" i="24"/>
  <c r="I1578" i="24" a="1"/>
  <c r="D669" i="24" a="1"/>
  <c r="B596" i="24" a="1"/>
  <c r="C919" i="24"/>
  <c r="B155" i="24" a="1"/>
  <c r="H1062" i="24" a="1"/>
  <c r="C506" i="24"/>
  <c r="H1209" i="24" a="1"/>
  <c r="H1275" i="24" a="1"/>
  <c r="I781" i="24" a="1"/>
  <c r="B1635" i="24" a="1"/>
  <c r="B1391" i="24" a="1"/>
  <c r="B1568" i="24" a="1"/>
  <c r="C129" i="24"/>
  <c r="I789" i="24" a="1"/>
  <c r="H93" i="24" a="1"/>
  <c r="C704" i="24"/>
  <c r="H1229" i="24" a="1"/>
  <c r="B1325" i="24" a="1"/>
  <c r="I238" i="24" a="1"/>
  <c r="H780" i="24" a="1"/>
  <c r="D1155" i="24" a="1"/>
  <c r="C1146" i="24"/>
  <c r="I872" i="24" a="1"/>
  <c r="I411" i="24" a="1"/>
  <c r="M1362" i="24" a="1"/>
  <c r="D1200" i="24" a="1"/>
  <c r="I1307" i="24" a="1"/>
  <c r="D1474" i="24" a="1"/>
  <c r="D336" i="24" a="1"/>
  <c r="I801" i="24" a="1"/>
  <c r="D398" i="24" a="1"/>
  <c r="H1762" i="24" a="1"/>
  <c r="I885" i="24" a="1"/>
  <c r="D1326" i="24" a="1"/>
  <c r="H1326" i="24" a="1"/>
  <c r="C1291" i="24"/>
  <c r="D1174" i="24" a="1"/>
  <c r="D1195" i="24" a="1"/>
  <c r="H1175" i="24" a="1"/>
  <c r="M120" i="24" a="1"/>
  <c r="H242" i="24" a="1"/>
  <c r="B1702" i="24" a="1"/>
  <c r="D163" i="24" a="1"/>
  <c r="M1369" i="24" a="1"/>
  <c r="B761" i="24" a="1"/>
  <c r="D1039" i="24" a="1"/>
  <c r="C1477" i="24"/>
  <c r="M441" i="24" a="1"/>
  <c r="M1628" i="24" a="1"/>
  <c r="B1442" i="24" a="1"/>
  <c r="B1660" i="24" a="1"/>
  <c r="C1062" i="24"/>
  <c r="I614" i="24" a="1"/>
  <c r="H64" i="24" a="1"/>
  <c r="I1121" i="24" a="1"/>
  <c r="M632" i="24" a="1"/>
  <c r="H1658" i="24" a="1"/>
  <c r="D1246" i="24" a="1"/>
  <c r="M91" i="24" a="1"/>
  <c r="I201" i="24" a="1"/>
  <c r="H449" i="24" a="1"/>
  <c r="H317" i="24" a="1"/>
  <c r="I733" i="24" a="1"/>
  <c r="M514" i="24" a="1"/>
  <c r="B869" i="24" a="1"/>
  <c r="I1323" i="24" a="1"/>
  <c r="M489" i="24" a="1"/>
  <c r="I668" i="24" a="1"/>
  <c r="B22" i="24" a="1"/>
  <c r="I445" i="24" a="1"/>
  <c r="C498" i="24"/>
  <c r="C18" i="24"/>
  <c r="H252" i="24" a="1"/>
  <c r="I823" i="24" a="1"/>
  <c r="B103" i="24" a="1"/>
  <c r="D654" i="24" a="1"/>
  <c r="C530" i="24"/>
  <c r="H1146" i="24" a="1"/>
  <c r="C240" i="24"/>
  <c r="M1905" i="24" a="1"/>
  <c r="I695" i="24" a="1"/>
  <c r="H1149" i="24" a="1"/>
  <c r="C1341" i="24"/>
  <c r="H445" i="24" a="1"/>
  <c r="B798" i="24" a="1"/>
  <c r="C1050" i="24"/>
  <c r="I808" i="24" a="1"/>
  <c r="B1394" i="24" a="1"/>
  <c r="C943" i="24"/>
  <c r="H1520" i="24" a="1"/>
  <c r="I954" i="24" a="1"/>
  <c r="B735" i="24" a="1"/>
  <c r="B758" i="24" a="1"/>
  <c r="D352" i="24" a="1"/>
  <c r="I314" i="24" a="1"/>
  <c r="H435" i="24" a="1"/>
  <c r="M1848" i="24" a="1"/>
  <c r="H438" i="24" a="1"/>
  <c r="C24" i="24"/>
  <c r="D1600" i="24" a="1"/>
  <c r="B513" i="24" a="1"/>
  <c r="D780" i="24" a="1"/>
  <c r="H374" i="24" a="1"/>
  <c r="M1497" i="24" a="1"/>
  <c r="D461" i="24" a="1"/>
  <c r="M1422" i="24" a="1"/>
  <c r="D941" i="24" a="1"/>
  <c r="M266" i="24" a="1"/>
  <c r="H385" i="24" a="1"/>
  <c r="H146" i="24" a="1"/>
  <c r="I1542" i="24" a="1"/>
  <c r="H969" i="24" a="1"/>
  <c r="B1358" i="24" a="1"/>
  <c r="D1058" i="24" a="1"/>
  <c r="C745" i="24"/>
  <c r="I1202" i="24" a="1"/>
  <c r="I609" i="24" a="1"/>
  <c r="B1659" i="24" a="1"/>
  <c r="C589" i="24"/>
  <c r="C1524" i="24"/>
  <c r="D1261" i="24" a="1"/>
  <c r="M1563" i="24" a="1"/>
  <c r="M910" i="24" a="1"/>
  <c r="C669" i="24"/>
  <c r="C1162" i="24"/>
  <c r="C391" i="24"/>
  <c r="B1086" i="24" a="1"/>
  <c r="D311" i="24" a="1"/>
  <c r="D615" i="24" a="1"/>
  <c r="B1160" i="24" a="1"/>
  <c r="C5" i="24"/>
  <c r="B501" i="24" a="1"/>
  <c r="I824" i="24" a="1"/>
  <c r="C867" i="24"/>
  <c r="C91" i="24"/>
  <c r="C770" i="24"/>
  <c r="B1382" i="24" a="1"/>
  <c r="B775" i="24" a="1"/>
  <c r="M1395" i="24" a="1"/>
  <c r="B1334" i="24" a="1"/>
  <c r="D419" i="24" a="1"/>
  <c r="D401" i="24" a="1"/>
  <c r="I1721" i="24" a="1"/>
  <c r="C655" i="24"/>
  <c r="H957" i="24" a="1"/>
  <c r="B705" i="24" a="1"/>
  <c r="H206" i="24" a="1"/>
  <c r="I1500" i="24" a="1"/>
  <c r="C1206" i="24"/>
  <c r="B138" i="24" a="1"/>
  <c r="I1137" i="24" a="1"/>
  <c r="I1609" i="24" a="1"/>
  <c r="B472" i="24" a="1"/>
  <c r="H57" i="24" a="1"/>
  <c r="D1568" i="24" a="1"/>
  <c r="D1279" i="24" a="1"/>
  <c r="H877" i="24" a="1"/>
  <c r="B1142" i="24" a="1"/>
  <c r="M188" i="24" a="1"/>
  <c r="I193" i="24" a="1"/>
  <c r="H1556" i="24" a="1"/>
  <c r="D653" i="24" a="1"/>
  <c r="H1694" i="24" a="1"/>
  <c r="I1795" i="24" a="1"/>
  <c r="D498" i="24" a="1"/>
  <c r="M989" i="24" a="1"/>
  <c r="I707" i="24" a="1"/>
  <c r="B1705" i="24" a="1"/>
  <c r="H756" i="24" a="1"/>
  <c r="B688" i="24" a="1"/>
  <c r="D1534" i="24" a="1"/>
  <c r="M1072" i="24" a="1"/>
  <c r="I74" i="24" a="1"/>
  <c r="H74" i="24" a="1"/>
  <c r="H1127" i="24" a="1"/>
  <c r="B1631" i="24" a="1"/>
  <c r="H813" i="24" a="1"/>
  <c r="D216" i="24" a="1"/>
  <c r="M930" i="24" a="1"/>
  <c r="B453" i="24" a="1"/>
  <c r="B671" i="24" a="1"/>
  <c r="C980" i="24"/>
  <c r="M918" i="24" a="1"/>
  <c r="D648" i="24" a="1"/>
  <c r="C865" i="24"/>
  <c r="H1237" i="24" a="1"/>
  <c r="M129" i="24" a="1"/>
  <c r="H177" i="24" a="1"/>
  <c r="H892" i="24" a="1"/>
  <c r="D269" i="24" a="1"/>
  <c r="H1904" i="24" a="1"/>
  <c r="H942" i="24" a="1"/>
  <c r="I235" i="24" a="1"/>
  <c r="B897" i="24" a="1"/>
  <c r="I911" i="24" a="1"/>
  <c r="M1304" i="24" a="1"/>
  <c r="B615" i="24" a="1"/>
  <c r="I1076" i="24" a="1"/>
  <c r="B613" i="24" a="1"/>
  <c r="M1396" i="24" a="1"/>
  <c r="C1232" i="24"/>
  <c r="D1107" i="24" a="1"/>
  <c r="I820" i="24" a="1"/>
  <c r="H512" i="24" a="1"/>
  <c r="M1595" i="24" a="1"/>
  <c r="I93" i="24" a="1"/>
  <c r="I1591" i="24" a="1"/>
  <c r="H1399" i="24" a="1"/>
  <c r="M1222" i="24" a="1"/>
  <c r="I250" i="24" a="1"/>
  <c r="I515" i="24" a="1"/>
  <c r="B270" i="24" a="1"/>
  <c r="I37" i="24" a="1"/>
  <c r="D1143" i="24" a="1"/>
  <c r="C325" i="24"/>
  <c r="H168" i="24" a="1"/>
  <c r="I1862" i="24" a="1"/>
  <c r="B978" i="24" a="1"/>
  <c r="I1581" i="24" a="1"/>
  <c r="I1156" i="24" a="1"/>
  <c r="I31" i="24" a="1"/>
  <c r="H1409" i="24" a="1"/>
  <c r="M345" i="24" a="1"/>
  <c r="D1105" i="24" a="1"/>
  <c r="I290" i="24" a="1"/>
  <c r="C1157" i="24"/>
  <c r="C1216" i="24"/>
  <c r="I1091" i="24" a="1"/>
  <c r="H487" i="24" a="1"/>
  <c r="D1125" i="24" a="1"/>
  <c r="I646" i="24" a="1"/>
  <c r="H1198" i="24" a="1"/>
  <c r="C47" i="24"/>
  <c r="D1874" i="24" a="1"/>
  <c r="M1578" i="24" a="1"/>
  <c r="C179" i="24"/>
  <c r="C44" i="24"/>
  <c r="B1360" i="24" a="1"/>
  <c r="C1625" i="24"/>
  <c r="D138" i="24" a="1"/>
  <c r="I489" i="24" a="1"/>
  <c r="B1667" i="24" a="1"/>
  <c r="C425" i="24"/>
  <c r="I204" i="24" a="1"/>
  <c r="M1480" i="24" a="1"/>
  <c r="I506" i="24" a="1"/>
  <c r="B1493" i="24" a="1"/>
  <c r="D266" i="24" a="1"/>
  <c r="D1641" i="24" a="1"/>
  <c r="C615" i="24"/>
  <c r="I1131" i="24" a="1"/>
  <c r="M1301" i="24" a="1"/>
  <c r="D1002" i="24" a="1"/>
  <c r="D1299" i="24" a="1"/>
  <c r="D1164" i="24" a="1"/>
  <c r="D1889" i="24" a="1"/>
  <c r="H470" i="24" a="1"/>
  <c r="C1113" i="24"/>
  <c r="C194" i="24"/>
  <c r="D642" i="24" a="1"/>
  <c r="H972" i="24" a="1"/>
  <c r="I461" i="24" a="1"/>
  <c r="B1243" i="24" a="1"/>
  <c r="H945" i="24" a="1"/>
  <c r="B1169" i="24" a="1"/>
  <c r="B1577" i="24" a="1"/>
  <c r="B969" i="24" a="1"/>
  <c r="M617" i="24" a="1"/>
  <c r="H1201" i="24" a="1"/>
  <c r="D504" i="24" a="1"/>
  <c r="D998" i="24" a="1"/>
  <c r="B732" i="24" a="1"/>
  <c r="D485" i="24" a="1"/>
  <c r="C198" i="24"/>
  <c r="D459" i="24" a="1"/>
  <c r="I849" i="24" a="1"/>
  <c r="H884" i="24" a="1"/>
  <c r="M1177" i="24" a="1"/>
  <c r="H745" i="24" a="1"/>
  <c r="I140" i="24" a="1"/>
  <c r="C845" i="24"/>
  <c r="D803" i="24" a="1"/>
  <c r="C504" i="24"/>
  <c r="M576" i="24" a="1"/>
  <c r="I977" i="24" a="1"/>
  <c r="I341" i="24" a="1"/>
  <c r="D599" i="24" a="1"/>
  <c r="I1391" i="24" a="1"/>
  <c r="D1110" i="24" a="1"/>
  <c r="M829" i="24" a="1"/>
  <c r="I651" i="24" a="1"/>
  <c r="B136" i="24" a="1"/>
  <c r="H983" i="24" a="1"/>
  <c r="B390" i="24" a="1"/>
  <c r="C1711" i="24"/>
  <c r="H1804" i="24" a="1"/>
  <c r="C69" i="24"/>
  <c r="B941" i="24" a="1"/>
  <c r="D1705" i="24" a="1"/>
  <c r="B899" i="24" a="1"/>
  <c r="C548" i="24"/>
  <c r="C362" i="24"/>
  <c r="H1638" i="24" a="1"/>
  <c r="B727" i="24" a="1"/>
  <c r="H26" i="24" a="1"/>
  <c r="H710" i="24" a="1"/>
  <c r="I616" i="24" a="1"/>
  <c r="I552" i="24" a="1"/>
  <c r="C977" i="24"/>
  <c r="I1212" i="24" a="1"/>
  <c r="M467" i="24" a="1"/>
  <c r="H1076" i="24" a="1"/>
  <c r="B36" i="24" a="1"/>
  <c r="B1512" i="24" a="1"/>
  <c r="H1128" i="24" a="1"/>
  <c r="B885" i="24" a="1"/>
  <c r="B1007" i="24" a="1"/>
  <c r="C507" i="24"/>
  <c r="D1289" i="24" a="1"/>
  <c r="C1066" i="24"/>
  <c r="I561" i="24" a="1"/>
  <c r="C295" i="24"/>
  <c r="M1877" i="24" a="1"/>
  <c r="C100" i="24"/>
  <c r="D141" i="24" a="1"/>
  <c r="B189" i="24" a="1"/>
  <c r="B1447" i="24" a="1"/>
  <c r="H598" i="24" a="1"/>
  <c r="M1423" i="24" a="1"/>
  <c r="M1297" i="24" a="1"/>
  <c r="I909" i="24" a="1"/>
  <c r="M228" i="24" a="1"/>
  <c r="M1657" i="24" a="1"/>
  <c r="B427" i="24" a="1"/>
  <c r="H31" i="24" a="1"/>
  <c r="I470" i="24" a="1"/>
  <c r="I499" i="24" a="1"/>
  <c r="H612" i="24" a="1"/>
  <c r="H594" i="24" a="1"/>
  <c r="M1573" i="24" a="1"/>
  <c r="B1591" i="24" a="1"/>
  <c r="M1895" i="24" a="1"/>
  <c r="C32" i="24"/>
  <c r="C526" i="24"/>
  <c r="H310" i="24" a="1"/>
  <c r="D1198" i="24" a="1"/>
  <c r="H1064" i="24" a="1"/>
  <c r="I923" i="24" a="1"/>
  <c r="D685" i="24" a="1"/>
  <c r="B1224" i="24" a="1"/>
  <c r="I1535" i="24" a="1"/>
  <c r="M1373" i="24" a="1"/>
  <c r="I868" i="24" a="1"/>
  <c r="I1088" i="24" a="1"/>
  <c r="D889" i="24" a="1"/>
  <c r="H1379" i="24" a="1"/>
  <c r="C682" i="24"/>
  <c r="H729" i="24" a="1"/>
  <c r="D877" i="24" a="1"/>
  <c r="B701" i="24" a="1"/>
  <c r="H342" i="24" a="1"/>
  <c r="H822" i="24" a="1"/>
  <c r="I191" i="24" a="1"/>
  <c r="I1846" i="24" a="1"/>
  <c r="D917" i="24" a="1"/>
  <c r="H1298" i="24" a="1"/>
  <c r="C617" i="24"/>
  <c r="M1881" i="24" a="1"/>
  <c r="H752" i="24" a="1"/>
  <c r="H938" i="24" a="1"/>
  <c r="B935" i="24" a="1"/>
  <c r="I1612" i="24" a="1"/>
  <c r="C117" i="24"/>
  <c r="C656" i="24"/>
  <c r="M895" i="24" a="1"/>
  <c r="H1717" i="24" a="1"/>
  <c r="I1107" i="24" a="1"/>
  <c r="I925" i="24" a="1"/>
  <c r="B795" i="24" a="1"/>
  <c r="D955" i="24" a="1"/>
  <c r="B477" i="24" a="1"/>
  <c r="H544" i="24" a="1"/>
  <c r="B421" i="24" a="1"/>
  <c r="D326" i="24" a="1"/>
  <c r="B829" i="24" a="1"/>
  <c r="C585" i="24"/>
  <c r="M353" i="24" a="1"/>
  <c r="H1388" i="24" a="1"/>
  <c r="I373" i="24" a="1"/>
  <c r="B1402" i="24" a="1"/>
  <c r="M136" i="24" a="1"/>
  <c r="D158" i="24" a="1"/>
  <c r="B723" i="24" a="1"/>
  <c r="H1356" i="24" a="1"/>
  <c r="I1207" i="24" a="1"/>
  <c r="I935" i="24" a="1"/>
  <c r="I1653" i="24" a="1"/>
  <c r="H1247" i="24" a="1"/>
  <c r="B1547" i="24" a="1"/>
  <c r="H1529" i="24" a="1"/>
  <c r="M992" i="24" a="1"/>
  <c r="D1038" i="24" a="1"/>
  <c r="D1573" i="24" a="1"/>
  <c r="I1575" i="24" a="1"/>
  <c r="D473" i="24" a="1"/>
  <c r="H665" i="24" a="1"/>
  <c r="H4" i="24" a="1"/>
  <c r="I266" i="24" a="1"/>
  <c r="C437" i="24"/>
  <c r="B89" i="24" a="1"/>
  <c r="I150" i="24" a="1"/>
  <c r="B1319" i="24" a="1"/>
  <c r="I476" i="24" a="1"/>
  <c r="B1832" i="24" a="1"/>
  <c r="I1785" i="24" a="1"/>
  <c r="H1806" i="24" a="1"/>
  <c r="I1406" i="24" a="1"/>
  <c r="M1008" i="24" a="1"/>
  <c r="H840" i="24" a="1"/>
  <c r="M1202" i="24" a="1"/>
  <c r="M770" i="24" a="1"/>
  <c r="C1800" i="24"/>
  <c r="M1882" i="24" a="1"/>
  <c r="H131" i="24" a="1"/>
  <c r="H1058" i="24" a="1"/>
  <c r="D1175" i="24" a="1"/>
  <c r="H123" i="24" a="1"/>
  <c r="H564" i="24" a="1"/>
  <c r="D649" i="24" a="1"/>
  <c r="C445" i="24"/>
  <c r="I1020" i="24" a="1"/>
  <c r="B1674" i="24" a="1"/>
  <c r="M1059" i="24" a="1"/>
  <c r="B1275" i="24" a="1"/>
  <c r="D971" i="24" a="1"/>
  <c r="B948" i="24" a="1"/>
  <c r="B1194" i="24" a="1"/>
  <c r="I446" i="24" a="1"/>
  <c r="H792" i="24" a="1"/>
  <c r="B1187" i="24" a="1"/>
  <c r="I768" i="24" a="1"/>
  <c r="C186" i="24"/>
  <c r="H754" i="24" a="1"/>
  <c r="H444" i="24" a="1"/>
  <c r="C466" i="24"/>
  <c r="B603" i="24" a="1"/>
  <c r="I438" i="24" a="1"/>
  <c r="D1708" i="24" a="1"/>
  <c r="C315" i="24"/>
  <c r="D526" i="24" a="1"/>
  <c r="C749" i="24"/>
  <c r="B1258" i="24" a="1"/>
  <c r="H1612" i="24" a="1"/>
  <c r="C1551" i="24"/>
  <c r="B964" i="24" a="1"/>
  <c r="B1712" i="24" a="1"/>
  <c r="H1457" i="24" a="1"/>
  <c r="I610" i="24" a="1"/>
  <c r="C587" i="24"/>
  <c r="M1646" i="24" a="1"/>
  <c r="H661" i="24" a="1"/>
  <c r="H1481" i="24" a="1"/>
  <c r="D1139" i="24" a="1"/>
  <c r="I20" i="24" a="1"/>
  <c r="I926" i="24" a="1"/>
  <c r="B126" i="24" a="1"/>
  <c r="I724" i="24" a="1"/>
  <c r="H1224" i="24" a="1"/>
  <c r="M1337" i="24" a="1"/>
  <c r="I102" i="24" a="1"/>
  <c r="D713" i="24" a="1"/>
  <c r="M1609" i="24" a="1"/>
  <c r="H393" i="24" a="1"/>
  <c r="H1176" i="24" a="1"/>
  <c r="B360" i="24" a="1"/>
  <c r="B972" i="24" a="1"/>
  <c r="C122" i="24"/>
  <c r="B928" i="24" a="1"/>
  <c r="H272" i="24" a="1"/>
  <c r="H1550" i="24" a="1"/>
  <c r="H1818" i="24" a="1"/>
  <c r="H1840" i="24" a="1"/>
  <c r="H988" i="24" a="1"/>
  <c r="H368" i="24" a="1"/>
  <c r="B1636" i="24" a="1"/>
  <c r="I106" i="24" a="1"/>
  <c r="B23" i="24" a="1"/>
  <c r="B1324" i="24" a="1"/>
  <c r="I1343" i="24" a="1"/>
  <c r="C451" i="24"/>
  <c r="I774" i="24" a="1"/>
  <c r="H510" i="24" a="1"/>
  <c r="M1288" i="24" a="1"/>
  <c r="H1570" i="24" a="1"/>
  <c r="H1150" i="24" a="1"/>
  <c r="D312" i="24" a="1"/>
  <c r="D303" i="24" a="1"/>
  <c r="H294" i="24" a="1"/>
  <c r="H1158" i="24" a="1"/>
  <c r="B992" i="24" a="1"/>
  <c r="H141" i="24" a="1"/>
  <c r="B1427" i="24" a="1"/>
  <c r="H1010" i="24" a="1"/>
  <c r="I945" i="24" a="1"/>
  <c r="D1504" i="24" a="1"/>
  <c r="C1683" i="24"/>
  <c r="D1137" i="24" a="1"/>
  <c r="I529" i="24" a="1"/>
  <c r="M857" i="24" a="1"/>
  <c r="B104" i="24" a="1"/>
  <c r="B739" i="24" a="1"/>
  <c r="I1255" i="24" a="1"/>
  <c r="H418" i="24" a="1"/>
  <c r="H1291" i="24" a="1"/>
  <c r="I769" i="24" a="1"/>
  <c r="I209" i="24" a="1"/>
  <c r="H150" i="24" a="1"/>
  <c r="H868" i="24" a="1"/>
  <c r="C17" i="24"/>
  <c r="H726" i="24" a="1"/>
  <c r="B1284" i="24" a="1"/>
  <c r="B943" i="24" a="1"/>
  <c r="M1105" i="24" a="1"/>
  <c r="M1904" i="24" a="1"/>
  <c r="D425" i="24" a="1"/>
  <c r="C289" i="24"/>
  <c r="H1114" i="24" a="1"/>
  <c r="I1355" i="24" a="1"/>
  <c r="H950" i="24" a="1"/>
  <c r="H1583" i="24" a="1"/>
  <c r="M363" i="24" a="1"/>
  <c r="D248" i="24" a="1"/>
  <c r="H1267" i="24" a="1"/>
  <c r="I830" i="24" a="1"/>
  <c r="M90" i="24" a="1"/>
  <c r="B226" i="24" a="1"/>
  <c r="M1892" i="24" a="1"/>
  <c r="B984" i="24" a="1"/>
  <c r="C6" i="24"/>
  <c r="B161" i="24" a="1"/>
  <c r="I790" i="24" a="1"/>
  <c r="C1008" i="24"/>
  <c r="B1799" i="24" a="1"/>
  <c r="M150" i="24" a="1"/>
  <c r="D287" i="24" a="1"/>
  <c r="I146" i="24" a="1"/>
  <c r="M1231" i="24" a="1"/>
  <c r="H405" i="24" a="1"/>
  <c r="B1298" i="24" a="1"/>
  <c r="C383" i="24"/>
  <c r="H742" i="24" a="1"/>
  <c r="D462" i="24" a="1"/>
  <c r="B1598" i="24" a="1"/>
  <c r="D598" i="24" a="1"/>
  <c r="H169" i="24" a="1"/>
  <c r="M600" i="24" a="1"/>
  <c r="H530" i="24" a="1"/>
  <c r="B1035" i="24" a="1"/>
  <c r="I622" i="24" a="1"/>
  <c r="D579" i="24" a="1"/>
  <c r="I401" i="24" a="1"/>
  <c r="D12" i="24" a="1"/>
  <c r="B1869" i="24" a="1"/>
  <c r="B438" i="24" a="1"/>
  <c r="H1463" i="24" a="1"/>
  <c r="D1275" i="24" a="1"/>
  <c r="C581" i="24"/>
  <c r="D1548" i="24" a="1"/>
  <c r="H455" i="24" a="1"/>
  <c r="H1578" i="24" a="1"/>
  <c r="M223" i="24" a="1"/>
  <c r="I1065" i="24" a="1"/>
  <c r="I1482" i="24" a="1"/>
  <c r="I987" i="24" a="1"/>
  <c r="I1126" i="24" a="1"/>
  <c r="B911" i="24" a="1"/>
  <c r="H694" i="24" a="1"/>
  <c r="I344" i="24" a="1"/>
  <c r="D318" i="24" a="1"/>
  <c r="D1312" i="24" a="1"/>
  <c r="H195" i="24" a="1"/>
  <c r="C478" i="24"/>
  <c r="H805" i="24" a="1"/>
  <c r="D19" i="24" a="1"/>
  <c r="I1791" i="24" a="1"/>
  <c r="B1223" i="24" a="1"/>
  <c r="B805" i="24" a="1"/>
  <c r="M463" i="24" a="1"/>
  <c r="C446" i="24"/>
  <c r="B293" i="24" a="1"/>
  <c r="I247" i="24" a="1"/>
  <c r="H259" i="24" a="1"/>
  <c r="H632" i="24" a="1"/>
  <c r="C1308" i="24"/>
  <c r="M520" i="24" a="1"/>
  <c r="I813" i="24" a="1"/>
  <c r="D783" i="24" a="1"/>
  <c r="B860" i="24" a="1"/>
  <c r="I423" i="24" a="1"/>
  <c r="D1497" i="24" a="1"/>
  <c r="I976" i="24" a="1"/>
  <c r="I1124" i="24" a="1"/>
  <c r="I1037" i="24" a="1"/>
  <c r="C115" i="24"/>
  <c r="H993" i="24" a="1"/>
  <c r="B1752" i="24" a="1"/>
  <c r="C1118" i="24"/>
  <c r="M755" i="24" a="1"/>
  <c r="C390" i="24"/>
  <c r="C974" i="24"/>
  <c r="D989" i="24" a="1"/>
  <c r="D324" i="24" a="1"/>
  <c r="H797" i="24" a="1"/>
  <c r="C611" i="24"/>
  <c r="D1898" i="24" a="1"/>
  <c r="D512" i="24" a="1"/>
  <c r="D825" i="24" a="1"/>
  <c r="H566" i="24" a="1"/>
  <c r="D108" i="24" a="1"/>
  <c r="H198" i="24" a="1"/>
  <c r="B105" i="24" a="1"/>
  <c r="C1143" i="24"/>
  <c r="I519" i="24" a="1"/>
  <c r="D1323" i="24" a="1"/>
  <c r="H925" i="24" a="1"/>
  <c r="C1021" i="24"/>
  <c r="C626" i="24"/>
  <c r="B1343" i="24" a="1"/>
  <c r="I1487" i="24" a="1"/>
  <c r="D1214" i="24" a="1"/>
  <c r="M1529" i="24" a="1"/>
  <c r="I969" i="24" a="1"/>
  <c r="H1440" i="24" a="1"/>
  <c r="H1312" i="24" a="1"/>
  <c r="H546" i="24" a="1"/>
  <c r="I1120" i="24" a="1"/>
  <c r="B409" i="24" a="1"/>
  <c r="M1377" i="24" a="1"/>
  <c r="M1891" i="24" a="1"/>
  <c r="D585" i="24" a="1"/>
  <c r="C254" i="24"/>
  <c r="D975" i="24" a="1"/>
  <c r="C1857" i="24"/>
  <c r="B1385" i="24" a="1"/>
  <c r="C1236" i="24"/>
  <c r="D296" i="24" a="1"/>
  <c r="D785" i="24" a="1"/>
  <c r="B1489" i="24" a="1"/>
  <c r="M1005" i="24" a="1"/>
  <c r="B1196" i="24" a="1"/>
  <c r="I1069" i="24" a="1"/>
  <c r="C209" i="24"/>
  <c r="B1570" i="24" a="1"/>
  <c r="D1318" i="24" a="1"/>
  <c r="B1136" i="24" a="1"/>
  <c r="B1582" i="24" a="1"/>
  <c r="D29" i="24" a="1"/>
  <c r="B1047" i="24" a="1"/>
  <c r="C476" i="24"/>
  <c r="H1883" i="24" a="1"/>
  <c r="I638" i="24" a="1"/>
  <c r="I532" i="24" a="1"/>
  <c r="C1441" i="24"/>
  <c r="D1712" i="24" a="1"/>
  <c r="D1709" i="24" a="1"/>
  <c r="D863" i="24" a="1"/>
  <c r="C2" i="24"/>
  <c r="I551" i="24" a="1"/>
  <c r="D1210" i="24" a="1"/>
  <c r="C1140" i="24"/>
  <c r="D652" i="24" a="1"/>
  <c r="H638" i="24" a="1"/>
  <c r="C1885" i="24"/>
  <c r="B1302" i="24" a="1"/>
  <c r="D440" i="24" a="1"/>
  <c r="B497" i="24" a="1"/>
  <c r="B302" i="24" a="1"/>
  <c r="H1469" i="24" a="1"/>
  <c r="I1061" i="24" a="1"/>
  <c r="M736" i="24" a="1"/>
  <c r="C477" i="24"/>
  <c r="D813" i="24" a="1"/>
  <c r="H173" i="24" a="1"/>
  <c r="C939" i="24"/>
  <c r="I1221" i="24" a="1"/>
  <c r="H572" i="24" a="1"/>
  <c r="D1337" i="24" a="1"/>
  <c r="I982" i="24" a="1"/>
  <c r="H1816" i="24" a="1"/>
  <c r="B1342" i="24" a="1"/>
  <c r="B1248" i="24" a="1"/>
  <c r="D594" i="24" a="1"/>
  <c r="H283" i="24" a="1"/>
  <c r="M1166" i="24" a="1"/>
  <c r="I342" i="24" a="1"/>
  <c r="H758" i="24" a="1"/>
  <c r="C1242" i="24"/>
  <c r="H305" i="24" a="1"/>
  <c r="D453" i="24" a="1"/>
  <c r="I21" i="24" a="1"/>
  <c r="C868" i="24"/>
  <c r="D391" i="24" a="1"/>
  <c r="C705" i="24"/>
  <c r="B1074" i="24" a="1"/>
  <c r="M1420" i="24" a="1"/>
  <c r="I465" i="24" a="1"/>
  <c r="B503" i="24" a="1"/>
  <c r="H626" i="24" a="1"/>
  <c r="D1387" i="24" a="1"/>
  <c r="H1154" i="24" a="1"/>
  <c r="B1654" i="24" a="1"/>
  <c r="C165" i="24"/>
  <c r="D281" i="24" a="1"/>
  <c r="B194" i="24" a="1"/>
  <c r="C497" i="24"/>
  <c r="H1130" i="24" a="1"/>
  <c r="I418" i="24" a="1"/>
  <c r="M1393" i="24" a="1"/>
  <c r="B1587" i="24" a="1"/>
  <c r="D1073" i="24" a="1"/>
  <c r="D1078" i="24" a="1"/>
  <c r="M1295" i="24" a="1"/>
  <c r="I755" i="24" a="1"/>
  <c r="I577" i="24" a="1"/>
  <c r="C1276" i="24"/>
  <c r="H1675" i="24" a="1"/>
  <c r="C1865" i="24"/>
  <c r="M902" i="24" a="1"/>
  <c r="I1788" i="24" a="1"/>
  <c r="C38" i="24"/>
  <c r="C84" i="24"/>
  <c r="M1135" i="24" a="1"/>
  <c r="D1575" i="24" a="1"/>
  <c r="D857" i="24" a="1"/>
  <c r="H1320" i="24" a="1"/>
  <c r="H641" i="24" a="1"/>
  <c r="M1236" i="24" a="1"/>
  <c r="D143" i="24" a="1"/>
  <c r="C1069" i="24"/>
  <c r="D530" i="24" a="1"/>
  <c r="C1600" i="24"/>
  <c r="C907" i="24"/>
  <c r="C883" i="24"/>
  <c r="I713" i="24" a="1"/>
  <c r="D43" i="24" a="1"/>
  <c r="M1367" i="24" a="1"/>
  <c r="C235" i="24"/>
  <c r="D1199" i="24" a="1"/>
  <c r="H1797" i="24" a="1"/>
  <c r="B115" i="24" a="1"/>
  <c r="I990" i="24" a="1"/>
  <c r="C403" i="24"/>
  <c r="C1016" i="24"/>
  <c r="H770" i="24" a="1"/>
  <c r="C690" i="24"/>
  <c r="B1770" i="24" a="1"/>
  <c r="C338" i="24"/>
  <c r="D1072" i="24" a="1"/>
  <c r="H646" i="24" a="1"/>
  <c r="I1206" i="24" a="1"/>
  <c r="D907" i="24" a="1"/>
  <c r="M980" i="24" a="1"/>
  <c r="M842" i="24" a="1"/>
  <c r="H808" i="24" a="1"/>
  <c r="H1306" i="24" a="1"/>
  <c r="C20" i="24"/>
  <c r="H974" i="24" a="1"/>
  <c r="D414" i="24" a="1"/>
  <c r="B1084" i="24" a="1"/>
  <c r="B11" i="24" a="1"/>
  <c r="M591" i="24" a="1"/>
  <c r="B1300" i="24" a="1"/>
  <c r="C23" i="24"/>
  <c r="I1782" i="24" a="1"/>
  <c r="D1069" i="24" a="1"/>
  <c r="D1053" i="24" a="1"/>
  <c r="B1001" i="24" a="1"/>
  <c r="C1132" i="24"/>
  <c r="B858" i="24" a="1"/>
  <c r="I959" i="24" a="1"/>
  <c r="I1321" i="24" a="1"/>
  <c r="I1141" i="24" a="1"/>
  <c r="H1215" i="24" a="1"/>
  <c r="H893" i="24" a="1"/>
  <c r="C739" i="24"/>
  <c r="D1297" i="24" a="1"/>
  <c r="H965" i="24" a="1"/>
  <c r="M1617" i="24" a="1"/>
  <c r="I410" i="24" a="1"/>
  <c r="I1230" i="24" a="1"/>
  <c r="B1807" i="24" a="1"/>
  <c r="H1314" i="24" a="1"/>
  <c r="C794" i="24"/>
  <c r="C1531" i="24"/>
  <c r="D259" i="24" a="1"/>
  <c r="H1042" i="24" a="1"/>
  <c r="B97" i="24" a="1"/>
  <c r="H95" i="24" a="1"/>
  <c r="D222" i="24" a="1"/>
  <c r="M273" i="24" a="1"/>
  <c r="I35" i="24" a="1"/>
  <c r="M26" i="24" a="1"/>
  <c r="C318" i="24"/>
  <c r="C1010" i="24"/>
  <c r="C1183" i="24"/>
  <c r="I1051" i="24" a="1"/>
  <c r="H1066" i="24" a="1"/>
  <c r="C666" i="24"/>
  <c r="M1858" i="24" a="1"/>
  <c r="C1017" i="24"/>
  <c r="H1096" i="24" a="1"/>
  <c r="D1233" i="24" a="1"/>
  <c r="D224" i="24" a="1"/>
  <c r="H960" i="24" a="1"/>
  <c r="D1127" i="24" a="1"/>
  <c r="I1313" i="24" a="1"/>
  <c r="H670" i="24" a="1"/>
  <c r="D1004" i="24" a="1"/>
  <c r="C606" i="24"/>
  <c r="H1101" i="24" a="1"/>
  <c r="D732" i="24" a="1"/>
  <c r="B1841" i="24" a="1"/>
  <c r="D433" i="24" a="1"/>
  <c r="C214" i="24"/>
  <c r="H246" i="24" a="1"/>
  <c r="I603" i="24" a="1"/>
  <c r="H1222" i="24" a="1"/>
  <c r="I1397" i="24" a="1"/>
  <c r="H701" i="24" a="1"/>
  <c r="D418" i="24" a="1"/>
  <c r="M823" i="24" a="1"/>
  <c r="D690" i="24" a="1"/>
  <c r="B987" i="24" a="1"/>
  <c r="H1525" i="24" a="1"/>
  <c r="D976" i="24" a="1"/>
  <c r="H226" i="24" a="1"/>
  <c r="B256" i="24" a="1"/>
  <c r="H38" i="24" a="1"/>
  <c r="C1615" i="24"/>
  <c r="I1873" i="24" a="1"/>
  <c r="M1143" i="24" a="1"/>
  <c r="B1729" i="24" a="1"/>
  <c r="M272" i="24" a="1"/>
  <c r="H587" i="24" a="1"/>
  <c r="I490" i="24" a="1"/>
  <c r="H653" i="24" a="1"/>
  <c r="I997" i="24" a="1"/>
  <c r="C150" i="24"/>
  <c r="H1668" i="24" a="1"/>
  <c r="D165" i="24" a="1"/>
  <c r="H771" i="24" a="1"/>
  <c r="B1762" i="24" a="1"/>
  <c r="D64" i="24" a="1"/>
  <c r="D880" i="24" a="1"/>
  <c r="I757" i="24" a="1"/>
  <c r="B1147" i="24" a="1"/>
  <c r="B479" i="24" a="1"/>
  <c r="B156" i="24" a="1"/>
  <c r="C348" i="24"/>
  <c r="I1001" i="24" a="1"/>
  <c r="B1835" i="24" a="1"/>
  <c r="I1150" i="24" a="1"/>
  <c r="B883" i="24" a="1"/>
  <c r="I1108" i="24" a="1"/>
  <c r="H182" i="24" a="1"/>
  <c r="I743" i="24" a="1"/>
  <c r="B1731" i="24" a="1"/>
  <c r="I1138" i="24" a="1"/>
  <c r="C265" i="24"/>
  <c r="C988" i="24"/>
  <c r="C92" i="24"/>
  <c r="I374" i="24" a="1"/>
  <c r="D1719" i="24" a="1"/>
  <c r="D1543" i="24" a="1"/>
  <c r="M1427" i="24" a="1"/>
  <c r="B163" i="24" a="1"/>
  <c r="M574" i="24" a="1"/>
  <c r="I1073" i="24" a="1"/>
  <c r="C1046" i="24"/>
  <c r="B418" i="24" a="1"/>
  <c r="I833" i="24" a="1"/>
  <c r="H915" i="24" a="1"/>
  <c r="M454" i="24" a="1"/>
  <c r="H1748" i="24" a="1"/>
  <c r="D491" i="24" a="1"/>
  <c r="B599" i="24" a="1"/>
  <c r="D1871" i="24" a="1"/>
  <c r="D273" i="24" a="1"/>
  <c r="B1628" i="24" a="1"/>
  <c r="I1440" i="24" a="1"/>
  <c r="I1585" i="24" a="1"/>
  <c r="H1084" i="24" a="1"/>
  <c r="M1204" i="24" a="1"/>
  <c r="D219" i="24" a="1"/>
  <c r="I689" i="24" a="1"/>
  <c r="H491" i="24" a="1"/>
  <c r="D1305" i="24" a="1"/>
  <c r="H534" i="24" a="1"/>
  <c r="D1686" i="24" a="1"/>
  <c r="C635" i="24"/>
  <c r="C1196" i="24"/>
  <c r="I1165" i="24" a="1"/>
  <c r="C632" i="24"/>
  <c r="B1526" i="24" a="1"/>
  <c r="B496" i="24" a="1"/>
  <c r="D72" i="24" a="1"/>
  <c r="D883" i="24" a="1"/>
  <c r="B733" i="24" a="1"/>
  <c r="B164" i="24" a="1"/>
  <c r="B1772" i="24" a="1"/>
  <c r="C823" i="24"/>
  <c r="C1594" i="24"/>
  <c r="D1604" i="24" a="1"/>
  <c r="D155" i="24" a="1"/>
  <c r="H1262" i="24" a="1"/>
  <c r="D1542" i="24" a="1"/>
  <c r="D349" i="24" a="1"/>
  <c r="H1294" i="24" a="1"/>
  <c r="I906" i="24" a="1"/>
  <c r="D954" i="24" a="1"/>
  <c r="C872" i="24"/>
  <c r="M1076" i="24" a="1"/>
  <c r="C1792" i="24"/>
  <c r="C636" i="24"/>
  <c r="H1870" i="24" a="1"/>
  <c r="C125" i="24"/>
  <c r="B47" i="24" a="1"/>
  <c r="I334" i="24" a="1"/>
  <c r="C1348" i="24"/>
  <c r="D1331" i="24" a="1"/>
  <c r="M1444" i="24" a="1"/>
  <c r="I1072" i="24" a="1"/>
  <c r="D444" i="24" a="1"/>
  <c r="M401" i="24" a="1"/>
  <c r="M286" i="24" a="1"/>
  <c r="C1297" i="24"/>
  <c r="I523" i="24" a="1"/>
  <c r="B234" i="24" a="1"/>
  <c r="B289" i="24" a="1"/>
  <c r="B130" i="24" a="1"/>
  <c r="B737" i="24" a="1"/>
  <c r="H9" i="24" a="1"/>
  <c r="D1502" i="24" a="1"/>
  <c r="B485" i="24" a="1"/>
  <c r="M1550" i="24" a="1"/>
  <c r="I79" i="24" a="1"/>
  <c r="D1846" i="24" a="1"/>
  <c r="H1288" i="24" a="1"/>
  <c r="H668" i="24" a="1"/>
  <c r="D1255" i="24" a="1"/>
  <c r="H854" i="24" a="1"/>
  <c r="D640" i="24" a="1"/>
  <c r="D1464" i="24" a="1"/>
  <c r="B446" i="24" a="1"/>
  <c r="D602" i="24" a="1"/>
  <c r="H748" i="24" a="1"/>
  <c r="B1229" i="24" a="1"/>
  <c r="C1513" i="24"/>
  <c r="M1504" i="24" a="1"/>
  <c r="I1441" i="24" a="1"/>
  <c r="H176" i="24" a="1"/>
  <c r="H350" i="24" a="1"/>
  <c r="I624" i="24" a="1"/>
  <c r="I1660" i="24" a="1"/>
  <c r="D1179" i="24" a="1"/>
  <c r="I553" i="24" a="1"/>
  <c r="B1415" i="24" a="1"/>
  <c r="I929" i="24" a="1"/>
  <c r="M946" i="24" a="1"/>
  <c r="H1536" i="24" a="1"/>
  <c r="H78" i="24" a="1"/>
  <c r="D583" i="24" a="1"/>
  <c r="C1773" i="24"/>
  <c r="H322" i="24" a="1"/>
  <c r="C717" i="24"/>
  <c r="C1673" i="24"/>
  <c r="I1155" i="24" a="1"/>
  <c r="B445" i="24" a="1"/>
  <c r="D1059" i="24" a="1"/>
  <c r="D1311" i="24" a="1"/>
  <c r="C654" i="24"/>
  <c r="C1721" i="24"/>
  <c r="B402" i="24" a="1"/>
  <c r="B554" i="24" a="1"/>
  <c r="B407" i="24" a="1"/>
  <c r="B28" i="24" a="1"/>
  <c r="H207" i="24" a="1"/>
  <c r="C1365" i="24"/>
  <c r="I1025" i="24" a="1"/>
  <c r="B1732" i="24" a="1"/>
  <c r="C1819" i="24"/>
  <c r="D1292" i="24" a="1"/>
  <c r="I550" i="24" a="1"/>
  <c r="M325" i="24" a="1"/>
  <c r="D197" i="24" a="1"/>
  <c r="B1344" i="24" a="1"/>
  <c r="B1453" i="24" a="1"/>
  <c r="H1425" i="24" a="1"/>
  <c r="D1522" i="24" a="1"/>
  <c r="H1653" i="24" a="1"/>
  <c r="D940" i="24" a="1"/>
  <c r="C922" i="24"/>
  <c r="B699" i="24" a="1"/>
  <c r="I878" i="24" a="1"/>
  <c r="C89" i="24"/>
  <c r="M1521" i="24" a="1"/>
  <c r="H894" i="24" a="1"/>
  <c r="I761" i="24" a="1"/>
  <c r="D1373" i="24" a="1"/>
  <c r="D1418" i="24" a="1"/>
  <c r="I1135" i="24" a="1"/>
  <c r="D1052" i="24" a="1"/>
  <c r="H1526" i="24" a="1"/>
  <c r="D1503" i="24" a="1"/>
  <c r="H1834" i="24" a="1"/>
  <c r="I670" i="24" a="1"/>
  <c r="C798" i="24"/>
  <c r="C538" i="24"/>
  <c r="B1062" i="24" a="1"/>
  <c r="B1837" i="24" a="1"/>
  <c r="I1579" i="24" a="1"/>
  <c r="B516" i="24" a="1"/>
  <c r="B1886" i="24" a="1"/>
  <c r="H1143" i="24" a="1"/>
  <c r="C541" i="24"/>
  <c r="M254" i="24" a="1"/>
  <c r="I863" i="24" a="1"/>
  <c r="C969" i="24"/>
  <c r="B994" i="24" a="1"/>
  <c r="I738" i="24" a="1"/>
  <c r="I1511" i="24" a="1"/>
  <c r="I587" i="24" a="1"/>
  <c r="H45" i="24" a="1"/>
  <c r="D1468" i="24" a="1"/>
  <c r="D887" i="24" a="1"/>
  <c r="M1307" i="24" a="1"/>
  <c r="C1875" i="24"/>
  <c r="C1227" i="24"/>
  <c r="B432" i="24" a="1"/>
  <c r="D1181" i="24" a="1"/>
  <c r="I773" i="24" a="1"/>
  <c r="D1028" i="24" a="1"/>
  <c r="H601" i="24" a="1"/>
  <c r="C328" i="24"/>
  <c r="C799" i="24"/>
  <c r="C1218" i="24"/>
  <c r="I1293" i="24" a="1"/>
  <c r="I1270" i="24" a="1"/>
  <c r="H1382" i="24" a="1"/>
  <c r="C286" i="24"/>
  <c r="H516" i="24" a="1"/>
  <c r="I802" i="24" a="1"/>
  <c r="B157" i="24" a="1"/>
  <c r="C411" i="24"/>
  <c r="D514" i="24" a="1"/>
  <c r="I1090" i="24" a="1"/>
  <c r="C1042" i="24"/>
  <c r="H500" i="24" a="1"/>
  <c r="C942" i="24"/>
  <c r="M1350" i="24" a="1"/>
  <c r="B833" i="24" a="1"/>
  <c r="B747" i="24" a="1"/>
  <c r="C889" i="24"/>
  <c r="I406" i="24" a="1"/>
  <c r="H1043" i="24" a="1"/>
  <c r="B777" i="24" a="1"/>
  <c r="M58" i="24" a="1"/>
  <c r="C1171" i="24"/>
  <c r="I837" i="24" a="1"/>
  <c r="H1258" i="24" a="1"/>
  <c r="H236" i="24" a="1"/>
  <c r="I590" i="24" a="1"/>
  <c r="D979" i="24" a="1"/>
  <c r="D1459" i="24" a="1"/>
  <c r="H506" i="24" a="1"/>
  <c r="I1252" i="24" a="1"/>
  <c r="C846" i="24"/>
  <c r="I39" i="24" a="1"/>
  <c r="B1131" i="24" a="1"/>
  <c r="H163" i="24" a="1"/>
  <c r="H1270" i="24" a="1"/>
  <c r="D1283" i="24" a="1"/>
  <c r="B403" i="24" a="1"/>
  <c r="H1345" i="24" a="1"/>
  <c r="I469" i="24" a="1"/>
  <c r="B366" i="24" a="1"/>
  <c r="D191" i="24" a="1"/>
  <c r="C628" i="24"/>
  <c r="M96" i="24" a="1"/>
  <c r="D1842" i="24" a="1"/>
  <c r="C218" i="24"/>
  <c r="M1505" i="24" a="1"/>
  <c r="B181" i="24" a="1"/>
  <c r="I583" i="24" a="1"/>
  <c r="H84" i="24" a="1"/>
  <c r="C314" i="24"/>
  <c r="D1820" i="24" a="1"/>
  <c r="I269" i="24" a="1"/>
  <c r="C1068" i="24"/>
  <c r="H1290" i="24" a="1"/>
  <c r="C178" i="24"/>
  <c r="D1636" i="24" a="1"/>
  <c r="M567" i="24" a="1"/>
  <c r="M1104" i="24" a="1"/>
  <c r="C553" i="24"/>
  <c r="C902" i="24"/>
  <c r="B1212" i="24" a="1"/>
  <c r="H1845" i="24" a="1"/>
  <c r="I1211" i="24" a="1"/>
  <c r="C803" i="24"/>
  <c r="I179" i="24" a="1"/>
  <c r="C652" i="24"/>
  <c r="I46" i="24" a="1"/>
  <c r="H794" i="24" a="1"/>
  <c r="C1300" i="24"/>
  <c r="I595" i="24" a="1"/>
  <c r="C229" i="24"/>
  <c r="C1202" i="24"/>
  <c r="M368" i="24" a="1"/>
  <c r="C866" i="24"/>
  <c r="B1079" i="24" a="1"/>
  <c r="C1808" i="24"/>
  <c r="I1411" i="24" a="1"/>
  <c r="B546" i="24" a="1"/>
  <c r="M187" i="24" a="1"/>
  <c r="B661" i="24" a="1"/>
  <c r="C400" i="24"/>
  <c r="M323" i="24" a="1"/>
  <c r="C621" i="24"/>
  <c r="D1014" i="24" a="1"/>
  <c r="D77" i="24" a="1"/>
  <c r="H234" i="24" a="1"/>
  <c r="D308" i="24" a="1"/>
  <c r="B311" i="24" a="1"/>
  <c r="I199" i="24" a="1"/>
  <c r="C779" i="24"/>
  <c r="D430" i="24" a="1"/>
  <c r="I371" i="24" a="1"/>
  <c r="D1212" i="24" a="1"/>
  <c r="I825" i="24" a="1"/>
  <c r="I1272" i="24" a="1"/>
  <c r="I1198" i="24" a="1"/>
  <c r="M448" i="24" a="1"/>
  <c r="M264" i="24" a="1"/>
  <c r="D953" i="24" a="1"/>
  <c r="I1232" i="24" a="1"/>
  <c r="I501" i="24" a="1"/>
  <c r="M1300" i="24" a="1"/>
  <c r="C642" i="24"/>
  <c r="D845" i="24" a="1"/>
  <c r="B212" i="24" a="1"/>
  <c r="C155" i="24"/>
  <c r="D389" i="24" a="1"/>
  <c r="M198" i="24" a="1"/>
  <c r="H69" i="24" a="1"/>
  <c r="I154" i="24" a="1"/>
  <c r="I662" i="24" a="1"/>
  <c r="C1700" i="24"/>
  <c r="B1821" i="24" a="1"/>
  <c r="B1241" i="24" a="1"/>
  <c r="M61" i="24" a="1"/>
  <c r="B285" i="24" a="1"/>
  <c r="B1306" i="24" a="1"/>
  <c r="H1518" i="24" a="1"/>
  <c r="I1583" i="24" a="1"/>
  <c r="M476" i="24" a="1"/>
  <c r="I372" i="24" a="1"/>
  <c r="C1253" i="24"/>
  <c r="M284" i="24" a="1"/>
  <c r="H199" i="24" a="1"/>
  <c r="B1179" i="24" a="1"/>
  <c r="H1079" i="24" a="1"/>
  <c r="M94" i="24" a="1"/>
  <c r="C1663" i="24"/>
  <c r="B1487" i="24" a="1"/>
  <c r="C1385" i="24"/>
  <c r="H1098" i="24" a="1"/>
  <c r="B93" i="24" a="1"/>
  <c r="H222" i="24" a="1"/>
  <c r="M1581" i="24" a="1"/>
  <c r="H197" i="24" a="1"/>
  <c r="H1787" i="24" a="1"/>
  <c r="B268" i="24" a="1"/>
  <c r="B895" i="24" a="1"/>
  <c r="D1327" i="24" a="1"/>
  <c r="B668" i="24" a="1"/>
  <c r="H647" i="24" a="1"/>
  <c r="H329" i="24" a="1"/>
  <c r="D1241" i="24" a="1"/>
  <c r="B973" i="24" a="1"/>
  <c r="D664" i="24" a="1"/>
  <c r="D134" i="24" a="1"/>
  <c r="D74" i="24" a="1"/>
  <c r="M534" i="24" a="1"/>
  <c r="D276" i="24" a="1"/>
  <c r="I883" i="24" a="1"/>
  <c r="H219" i="24" a="1"/>
  <c r="C74" i="24"/>
  <c r="I1224" i="24" a="1"/>
  <c r="B1796" i="24" a="1"/>
  <c r="B1661" i="24" a="1"/>
  <c r="D789" i="24" a="1"/>
  <c r="B1152" i="24" a="1"/>
  <c r="C522" i="24"/>
  <c r="I225" i="24" a="1"/>
  <c r="H779" i="24" a="1"/>
  <c r="C360" i="24"/>
  <c r="H522" i="24" a="1"/>
  <c r="I1648" i="24" a="1"/>
  <c r="H836" i="24" a="1"/>
  <c r="C683" i="24"/>
  <c r="M608" i="24" a="1"/>
  <c r="M1561" i="24" a="1"/>
  <c r="H593" i="24" a="1"/>
  <c r="C293" i="24"/>
  <c r="D766" i="24" a="1"/>
  <c r="I1572" i="24" a="1"/>
  <c r="H1063" i="24" a="1"/>
  <c r="D1722" i="24" a="1"/>
  <c r="M1061" i="24" a="1"/>
  <c r="I896" i="24" a="1"/>
  <c r="D1277" i="24" a="1"/>
  <c r="H702" i="24" a="1"/>
  <c r="C402" i="24"/>
  <c r="I1373" i="24" a="1"/>
  <c r="B1819" i="24" a="1"/>
  <c r="H1406" i="24" a="1"/>
  <c r="B1083" i="24" a="1"/>
  <c r="I1326" i="24" a="1"/>
  <c r="D406" i="24" a="1"/>
  <c r="B1321" i="24" a="1"/>
  <c r="C436" i="24"/>
  <c r="D127" i="24" a="1"/>
  <c r="H1429" i="24" a="1"/>
  <c r="C340" i="24"/>
  <c r="C1405" i="24"/>
  <c r="B92" i="24" a="1"/>
  <c r="B658" i="24" a="1"/>
  <c r="D146" i="24" a="1"/>
  <c r="H63" i="24" a="1"/>
  <c r="B1158" i="24" a="1"/>
  <c r="I137" i="24" a="1"/>
  <c r="D759" i="24" a="1"/>
  <c r="D578" i="24" a="1"/>
  <c r="M916" i="24" a="1"/>
  <c r="M85" i="24" a="1"/>
  <c r="B1623" i="24" a="1"/>
  <c r="I1075" i="24" a="1"/>
  <c r="M1069" i="24" a="1"/>
  <c r="B19" i="24" a="1"/>
  <c r="C827" i="24"/>
  <c r="I127" i="24" a="1"/>
  <c r="H289" i="24" a="1"/>
  <c r="I1439" i="24" a="1"/>
  <c r="C53" i="24"/>
  <c r="B1754" i="24" a="1"/>
  <c r="B822" i="24" a="1"/>
  <c r="H708" i="24" a="1"/>
  <c r="D694" i="24" a="1"/>
  <c r="H1137" i="24" a="1"/>
  <c r="H1086" i="24" a="1"/>
  <c r="H1109" i="24" a="1"/>
  <c r="I576" i="24" a="1"/>
  <c r="H492" i="24" a="1"/>
  <c r="H1028" i="24" a="1"/>
  <c r="B397" i="24" a="1"/>
  <c r="C998" i="24"/>
  <c r="D20" i="24" a="1"/>
  <c r="H1482" i="24" a="1"/>
  <c r="C1151" i="24"/>
  <c r="M1352" i="24" a="1"/>
  <c r="B98" i="24" a="1"/>
  <c r="H952" i="24" a="1"/>
  <c r="C537" i="24"/>
  <c r="D277" i="24" a="1"/>
  <c r="B410" i="24" a="1"/>
  <c r="C1234" i="24"/>
  <c r="H870" i="24" a="1"/>
  <c r="D729" i="24" a="1"/>
  <c r="B1739" i="24" a="1"/>
  <c r="M1347" i="24" a="1"/>
  <c r="I1749" i="24" a="1"/>
  <c r="C1200" i="24"/>
  <c r="H1008" i="24" a="1"/>
  <c r="I947" i="24" a="1"/>
  <c r="D1462" i="24" a="1"/>
  <c r="H614" i="24" a="1"/>
  <c r="B1562" i="24" a="1"/>
  <c r="D1050" i="24" a="1"/>
  <c r="I1006" i="24" a="1"/>
  <c r="C172" i="24"/>
  <c r="H543" i="24" a="1"/>
  <c r="H1020" i="24" a="1"/>
  <c r="D351" i="24" a="1"/>
  <c r="D715" i="24" a="1"/>
  <c r="C1714" i="24"/>
  <c r="M1389" i="24" a="1"/>
  <c r="H1617" i="24" a="1"/>
  <c r="C955" i="24"/>
  <c r="D1886" i="24" a="1"/>
  <c r="I920" i="24" a="1"/>
  <c r="C1331" i="24"/>
  <c r="D560" i="24" a="1"/>
  <c r="B797" i="24" a="1"/>
  <c r="M726" i="24" a="1"/>
  <c r="B1525" i="24" a="1"/>
  <c r="D489" i="24" a="1"/>
  <c r="B719" i="24" a="1"/>
  <c r="H932" i="24" a="1"/>
  <c r="D1334" i="24" a="1"/>
  <c r="C336" i="24"/>
  <c r="I1419" i="24" a="1"/>
  <c r="C264" i="24"/>
  <c r="I1611" i="24" a="1"/>
  <c r="I458" i="24" a="1"/>
  <c r="H1603" i="24" a="1"/>
  <c r="D109" i="24" a="1"/>
  <c r="I818" i="24" a="1"/>
  <c r="I1116" i="24" a="1"/>
  <c r="C72" i="24"/>
  <c r="D553" i="24" a="1"/>
  <c r="C844" i="24"/>
  <c r="H287" i="24" a="1"/>
  <c r="C780" i="24"/>
  <c r="C184" i="24"/>
  <c r="M318" i="24" a="1"/>
  <c r="D901" i="24" a="1"/>
  <c r="D984" i="24" a="1"/>
  <c r="D1379" i="24" a="1"/>
  <c r="H1701" i="24" a="1"/>
  <c r="B1544" i="24" a="1"/>
  <c r="I1466" i="24" a="1"/>
  <c r="D209" i="24" a="1"/>
  <c r="M141" i="24" a="1"/>
  <c r="H1777" i="24" a="1"/>
  <c r="I1851" i="24" a="1"/>
  <c r="B1693" i="24" a="1"/>
  <c r="M481" i="24" a="1"/>
  <c r="I1717" i="24" a="1"/>
  <c r="H355" i="24" a="1"/>
  <c r="B170" i="24" a="1"/>
  <c r="I1129" i="24" a="1"/>
  <c r="I958" i="24" a="1"/>
  <c r="B1604" i="24" a="1"/>
  <c r="H136" i="24" a="1"/>
  <c r="D529" i="24" a="1"/>
  <c r="C152" i="24"/>
  <c r="D1248" i="24" a="1"/>
  <c r="M1593" i="24" a="1"/>
  <c r="I1832" i="24" a="1"/>
  <c r="D1691" i="24" a="1"/>
  <c r="B290" i="24" a="1"/>
  <c r="I303" i="24" a="1"/>
  <c r="M1066" i="24" a="1"/>
  <c r="B1690" i="24" a="1"/>
  <c r="D760" i="24" a="1"/>
  <c r="D233" i="24" a="1"/>
  <c r="D684" i="24" a="1"/>
  <c r="C418" i="24"/>
  <c r="M1662" i="24" a="1"/>
  <c r="M439" i="24" a="1"/>
  <c r="H1140" i="24" a="1"/>
  <c r="M192" i="24" a="1"/>
  <c r="H613" i="24" a="1"/>
  <c r="H1050" i="24" a="1"/>
  <c r="C1689" i="24"/>
  <c r="C1692" i="24"/>
  <c r="C568" i="24"/>
  <c r="I568" i="24" a="1"/>
  <c r="B1200" i="24" a="1"/>
  <c r="I1902" i="24" a="1"/>
  <c r="D830" i="24" a="1"/>
  <c r="B67" i="24" a="1"/>
  <c r="H172" i="24" a="1"/>
  <c r="I1743" i="24" a="1"/>
  <c r="C686" i="24"/>
  <c r="B258" i="24" a="1"/>
  <c r="B389" i="24" a="1"/>
  <c r="H1225" i="24" a="1"/>
  <c r="I1236" i="24" a="1"/>
  <c r="I772" i="24" a="1"/>
  <c r="I972" i="24" a="1"/>
  <c r="H1244" i="24" a="1"/>
  <c r="B823" i="24" a="1"/>
  <c r="M728" i="24" a="1"/>
  <c r="D898" i="24" a="1"/>
  <c r="C1807" i="24"/>
  <c r="C256" i="24"/>
  <c r="H145" i="24" a="1"/>
  <c r="M1051" i="24" a="1"/>
  <c r="C775" i="24"/>
  <c r="M1597" i="24" a="1"/>
  <c r="H1278" i="24" a="1"/>
  <c r="I732" i="24" a="1"/>
  <c r="C50" i="24"/>
  <c r="M1417" i="24" a="1"/>
  <c r="D299" i="24" a="1"/>
  <c r="C1197" i="24"/>
  <c r="H1321" i="24" a="1"/>
  <c r="D1566" i="24" a="1"/>
  <c r="B1454" i="24" a="1"/>
  <c r="C1082" i="24"/>
  <c r="B870" i="24" a="1"/>
  <c r="D1162" i="24" a="1"/>
  <c r="I172" i="24" a="1"/>
  <c r="H887" i="24" a="1"/>
  <c r="B44" i="24" a="1"/>
  <c r="D301" i="24" a="1"/>
  <c r="H876" i="24" a="1"/>
  <c r="D952" i="24" a="1"/>
  <c r="D34" i="24" a="1"/>
  <c r="B1235" i="24" a="1"/>
  <c r="D231" i="24" a="1"/>
  <c r="D1903" i="24" a="1"/>
  <c r="I656" i="24" a="1"/>
  <c r="D439" i="24" a="1"/>
  <c r="B956" i="24" a="1"/>
  <c r="M663" i="24" a="1"/>
  <c r="H930" i="24" a="1"/>
  <c r="I370" i="24" a="1"/>
  <c r="I291" i="24" a="1"/>
  <c r="H104" i="24" a="1"/>
  <c r="D1302" i="24" a="1"/>
  <c r="I335" i="24" a="1"/>
  <c r="H451" i="24" a="1"/>
  <c r="I1285" i="24" a="1"/>
  <c r="C1039" i="24"/>
  <c r="M544" i="24" a="1"/>
  <c r="B1396" i="24" a="1"/>
  <c r="M1357" i="24" a="1"/>
  <c r="I700" i="24" a="1"/>
  <c r="M438" i="24" a="1"/>
  <c r="I427" i="24" a="1"/>
  <c r="C751" i="24"/>
  <c r="B1472" i="24" a="1"/>
  <c r="D827" i="24" a="1"/>
  <c r="I1286" i="24" a="1"/>
  <c r="H33" i="24" a="1"/>
  <c r="C1294" i="24"/>
  <c r="B334" i="24" a="1"/>
  <c r="H360" i="24" a="1"/>
  <c r="C999" i="24"/>
  <c r="B1699" i="24" a="1"/>
  <c r="M624" i="24" a="1"/>
  <c r="I791" i="24" a="1"/>
  <c r="I1559" i="24" a="1"/>
  <c r="C925" i="24"/>
  <c r="I24" i="24" a="1"/>
  <c r="D711" i="24" a="1"/>
  <c r="H483" i="24" a="1"/>
  <c r="C48" i="24"/>
  <c r="C1265" i="24"/>
  <c r="D323" i="24" a="1"/>
  <c r="I968" i="24" a="1"/>
  <c r="B1126" i="24" a="1"/>
  <c r="C1208" i="24"/>
  <c r="I804" i="24" a="1"/>
  <c r="B617" i="24" a="1"/>
  <c r="C777" i="24"/>
  <c r="B1895" i="24" a="1"/>
  <c r="H1319" i="24" a="1"/>
  <c r="B791" i="24" a="1"/>
  <c r="H1865" i="24" a="1"/>
  <c r="H488" i="24" a="1"/>
  <c r="C1166" i="24"/>
  <c r="I1009" i="24" a="1"/>
  <c r="I1322" i="24" a="1"/>
  <c r="H185" i="24" a="1"/>
  <c r="B1521" i="24" a="1"/>
  <c r="H1299" i="24" a="1"/>
  <c r="I12" i="24" a="1"/>
  <c r="H736" i="24" a="1"/>
  <c r="B1266" i="24" a="1"/>
  <c r="D929" i="24" a="1"/>
  <c r="C1423" i="24"/>
  <c r="M1086" i="24" a="1"/>
  <c r="C280" i="24"/>
  <c r="I650" i="24" a="1"/>
  <c r="B326" i="24" a="1"/>
  <c r="I95" i="24" a="1"/>
  <c r="D32" i="24" a="1"/>
  <c r="C735" i="24"/>
  <c r="I359" i="24" a="1"/>
  <c r="M294" i="24" a="1"/>
  <c r="B272" i="24" a="1"/>
  <c r="B275" i="24" a="1"/>
  <c r="H975" i="24" a="1"/>
  <c r="H980" i="24" a="1"/>
  <c r="C127" i="24"/>
  <c r="B852" i="24" a="1"/>
  <c r="M1484" i="24" a="1"/>
  <c r="H485" i="24" a="1"/>
  <c r="I1592" i="24" a="1"/>
  <c r="I1199" i="24" a="1"/>
  <c r="D27" i="24" a="1"/>
  <c r="I83" i="24" a="1"/>
  <c r="I329" i="24" a="1"/>
  <c r="H1001" i="24" a="1"/>
  <c r="C393" i="24"/>
  <c r="I1711" i="24" a="1"/>
  <c r="H608" i="24" a="1"/>
  <c r="C1834" i="24"/>
  <c r="I842" i="24" a="1"/>
  <c r="D495" i="24" a="1"/>
  <c r="H1833" i="24" a="1"/>
  <c r="D569" i="24" a="1"/>
  <c r="D744" i="24" a="1"/>
  <c r="M1569" i="24" a="1"/>
  <c r="D991" i="24" a="1"/>
  <c r="I540" i="24" a="1"/>
  <c r="M1554" i="24" a="1"/>
  <c r="I1266" i="24" a="1"/>
  <c r="M1028" i="24" a="1"/>
  <c r="C311" i="24"/>
  <c r="I339" i="24" a="1"/>
  <c r="H292" i="24" a="1"/>
  <c r="I1100" i="24" a="1"/>
  <c r="I1408" i="24" a="1"/>
  <c r="C1238" i="24"/>
  <c r="B1332" i="24" a="1"/>
  <c r="C1060" i="24"/>
  <c r="D1064" i="24" a="1"/>
  <c r="I961" i="24" a="1"/>
  <c r="H1588" i="24" a="1"/>
  <c r="I922" i="24" a="1"/>
  <c r="H834" i="24" a="1"/>
  <c r="I1416" i="24" a="1"/>
  <c r="C1334" i="24"/>
  <c r="D1541" i="24" a="1"/>
  <c r="I655" i="24" a="1"/>
  <c r="C687" i="24"/>
  <c r="D319" i="24" a="1"/>
  <c r="B344" i="24" a="1"/>
  <c r="H1643" i="24" a="1"/>
  <c r="B1237" i="24" a="1"/>
  <c r="D1492" i="24" a="1"/>
  <c r="C1581" i="24"/>
  <c r="C1203" i="24"/>
  <c r="H148" i="24" a="1"/>
  <c r="B147" i="24" a="1"/>
  <c r="H801" i="24" a="1"/>
  <c r="H302" i="24" a="1"/>
  <c r="I834" i="24" a="1"/>
  <c r="D595" i="24" a="1"/>
  <c r="M168" i="24" a="1"/>
  <c r="I975" i="24" a="1"/>
  <c r="H274" i="24" a="1"/>
  <c r="I890" i="24" a="1"/>
  <c r="I944" i="24" a="1"/>
  <c r="B1885" i="24" a="1"/>
  <c r="C813" i="24"/>
  <c r="C1818" i="24"/>
  <c r="B655" i="24" a="1"/>
  <c r="H1746" i="24" a="1"/>
  <c r="H1277" i="24" a="1"/>
  <c r="H732" i="24" a="1"/>
  <c r="I1098" i="24" a="1"/>
  <c r="D384" i="24" a="1"/>
  <c r="D256" i="24" a="1"/>
  <c r="B1063" i="24" a="1"/>
  <c r="B1522" i="24" a="1"/>
  <c r="I1303" i="24" a="1"/>
  <c r="D1855" i="24" a="1"/>
  <c r="C1646" i="24"/>
  <c r="I1624" i="24" a="1"/>
  <c r="C276" i="24"/>
  <c r="B875" i="24" a="1"/>
  <c r="H1279" i="24" a="1"/>
  <c r="I554" i="24" a="1"/>
  <c r="D1061" i="24" a="1"/>
  <c r="D346" i="24" a="1"/>
  <c r="I222" i="24" a="1"/>
  <c r="I1434" i="24" a="1"/>
  <c r="B1551" i="24" a="1"/>
  <c r="M348" i="24" a="1"/>
  <c r="H1115" i="24" a="1"/>
  <c r="I1315" i="24" a="1"/>
  <c r="D841" i="24" a="1"/>
  <c r="I182" i="24" a="1"/>
  <c r="B371" i="24" a="1"/>
  <c r="M915" i="24" a="1"/>
  <c r="B221" i="24" a="1"/>
  <c r="I1366" i="24" a="1"/>
  <c r="H1170" i="24" a="1"/>
  <c r="M1474" i="24" a="1"/>
  <c r="C1185" i="24"/>
  <c r="H1564" i="24" a="1"/>
  <c r="C424" i="24"/>
  <c r="B1042" i="24" a="1"/>
  <c r="D1154" i="24" a="1"/>
  <c r="D1156" i="24" a="1"/>
  <c r="D862" i="24" a="1"/>
  <c r="C1854" i="24"/>
  <c r="B592" i="24" a="1"/>
  <c r="C83" i="24"/>
  <c r="C1160" i="24"/>
  <c r="D1673" i="24" a="1"/>
  <c r="H765" i="24" a="1"/>
  <c r="M659" i="24" a="1"/>
  <c r="B1149" i="24" a="1"/>
  <c r="B583" i="24" a="1"/>
  <c r="I497" i="24" a="1"/>
  <c r="C1461" i="24"/>
  <c r="C1320" i="24"/>
  <c r="I1115" i="24" a="1"/>
  <c r="I1329" i="24" a="1"/>
  <c r="D476" i="24" a="1"/>
  <c r="B450" i="24" a="1"/>
  <c r="I1184" i="24" a="1"/>
  <c r="I1461" i="24" a="1"/>
  <c r="M338" i="24" a="1"/>
  <c r="I107" i="24" a="1"/>
  <c r="H1616" i="24" a="1"/>
  <c r="C557" i="24"/>
  <c r="D542" i="24" a="1"/>
  <c r="H1281" i="24" a="1"/>
  <c r="D620" i="24" a="1"/>
  <c r="H1344" i="24" a="1"/>
  <c r="B812" i="24" a="1"/>
  <c r="C535" i="24"/>
  <c r="B751" i="24" a="1"/>
  <c r="D305" i="24" a="1"/>
  <c r="H351" i="24" a="1"/>
  <c r="B640" i="24" a="1"/>
  <c r="I477" i="24" a="1"/>
  <c r="M152" i="24" a="1"/>
  <c r="B57" i="24" a="1"/>
  <c r="I1752" i="24" a="1"/>
  <c r="H130" i="24" a="1"/>
  <c r="D1711" i="24" a="1"/>
  <c r="D912" i="24" a="1"/>
  <c r="I948" i="24" a="1"/>
  <c r="B310" i="24" a="1"/>
  <c r="D1032" i="24" a="1"/>
  <c r="D86" i="24" a="1"/>
  <c r="C1500" i="24"/>
  <c r="I214" i="24" a="1"/>
  <c r="D1140" i="24" a="1"/>
  <c r="D1404" i="24" a="1"/>
  <c r="C395" i="24"/>
  <c r="B80" i="24" a="1"/>
  <c r="I1067" i="24" a="1"/>
  <c r="I1000" i="24" a="1"/>
  <c r="B1575" i="24" a="1"/>
  <c r="H61" i="24" a="1"/>
  <c r="D33" i="24" a="1"/>
  <c r="D1513" i="24" a="1"/>
  <c r="B1012" i="24" a="1"/>
  <c r="B1102" i="24" a="1"/>
  <c r="I1405" i="24" a="1"/>
  <c r="B998" i="24" a="1"/>
  <c r="M718" i="24" a="1"/>
  <c r="C1067" i="24"/>
  <c r="D131" i="24" a="1"/>
  <c r="D565" i="24" a="1"/>
  <c r="H254" i="24" a="1"/>
  <c r="H986" i="24" a="1"/>
  <c r="C284" i="24"/>
  <c r="D1416" i="24" a="1"/>
  <c r="H1808" i="24" a="1"/>
  <c r="I115" i="24" a="1"/>
  <c r="B1379" i="24" a="1"/>
  <c r="D90" i="24" a="1"/>
  <c r="H1626" i="24" a="1"/>
  <c r="B836" i="24" a="1"/>
  <c r="D853" i="24" a="1"/>
  <c r="M882" i="24" a="1"/>
  <c r="D913" i="24" a="1"/>
  <c r="B81" i="24" a="1"/>
  <c r="I687" i="24" a="1"/>
  <c r="B629" i="24" a="1"/>
  <c r="B1251" i="24" a="1"/>
  <c r="M224" i="24" a="1"/>
  <c r="B1743" i="24" a="1"/>
  <c r="D403" i="24" a="1"/>
  <c r="D798" i="24" a="1"/>
  <c r="H1479" i="24" a="1"/>
  <c r="C1036" i="24"/>
  <c r="I248" i="24" a="1"/>
  <c r="B135" i="24" a="1"/>
  <c r="B230" i="24" a="1"/>
  <c r="D906" i="24" a="1"/>
  <c r="I234" i="24" a="1"/>
  <c r="B1726" i="24" a="1"/>
  <c r="I558" i="24" a="1"/>
  <c r="D1730" i="24" a="1"/>
  <c r="I556" i="24" a="1"/>
  <c r="I171" i="24" a="1"/>
  <c r="D1115" i="24" a="1"/>
  <c r="D1818" i="24" a="1"/>
  <c r="I735" i="24" a="1"/>
  <c r="B859" i="24" a="1"/>
  <c r="D194" i="24" a="1"/>
  <c r="H552" i="24" a="1"/>
  <c r="H256" i="24" a="1"/>
  <c r="B1006" i="24" a="1"/>
  <c r="H895" i="24" a="1"/>
  <c r="D511" i="24" a="1"/>
  <c r="C88" i="24"/>
  <c r="I862" i="24" a="1"/>
  <c r="B461" i="24" a="1"/>
  <c r="B1249" i="24" a="1"/>
  <c r="C551" i="24"/>
  <c r="B1065" i="24" a="1"/>
  <c r="D765" i="24" a="1"/>
  <c r="M1308" i="24" a="1"/>
  <c r="I967" i="24" a="1"/>
  <c r="D614" i="24" a="1"/>
  <c r="H878" i="24" a="1"/>
  <c r="D861" i="24" a="1"/>
  <c r="C826" i="24"/>
  <c r="D100" i="24" a="1"/>
  <c r="B300" i="24" a="1"/>
  <c r="B820" i="24" a="1"/>
  <c r="H1271" i="24" a="1"/>
  <c r="H496" i="24" a="1"/>
  <c r="C212" i="24"/>
  <c r="D997" i="24" a="1"/>
  <c r="I1302" i="24" a="1"/>
  <c r="C54" i="24"/>
  <c r="I413" i="24" a="1"/>
  <c r="C759" i="24"/>
  <c r="C689" i="24"/>
  <c r="I1228" i="24" a="1"/>
  <c r="D114" i="24" a="1"/>
  <c r="D503" i="24" a="1"/>
  <c r="B1624" i="24" a="1"/>
  <c r="M1468" i="24" a="1"/>
  <c r="D367" i="24" a="1"/>
  <c r="M319" i="24" a="1"/>
  <c r="C1037" i="24"/>
  <c r="I1829" i="24" a="1"/>
  <c r="C1043" i="24"/>
  <c r="I7" i="24" a="1"/>
  <c r="C416" i="24"/>
  <c r="M400" i="24" a="1"/>
  <c r="H1509" i="24" a="1"/>
  <c r="B576" i="24" a="1"/>
  <c r="C1436" i="24"/>
  <c r="C452" i="24"/>
  <c r="M166" i="24" a="1"/>
  <c r="M1585" i="24" a="1"/>
  <c r="C904" i="24"/>
  <c r="M594" i="24" a="1"/>
  <c r="B361" i="24" a="1"/>
  <c r="D608" i="24" a="1"/>
  <c r="C171" i="24"/>
  <c r="H244" i="24" a="1"/>
  <c r="B331" i="24" a="1"/>
  <c r="I853" i="24" a="1"/>
  <c r="D1469" i="24" a="1"/>
  <c r="H1652" i="24" a="1"/>
  <c r="H1234" i="24" a="1"/>
  <c r="C1313" i="24"/>
  <c r="C1033" i="24"/>
  <c r="B316" i="24" a="1"/>
  <c r="C639" i="24"/>
  <c r="M1164" i="24" a="1"/>
  <c r="D1080" i="24" a="1"/>
  <c r="H1801" i="24" a="1"/>
  <c r="B1746" i="24" a="1"/>
  <c r="H277" i="24" a="1"/>
  <c r="M31" i="24" a="1"/>
  <c r="H1468" i="24" a="1"/>
  <c r="B653" i="24" a="1"/>
  <c r="B672" i="24" a="1"/>
  <c r="I3" i="24" a="1"/>
  <c r="C427" i="24"/>
  <c r="M1602" i="24" a="1"/>
  <c r="C571" i="24"/>
  <c r="M778" i="24" a="1"/>
  <c r="H1025" i="24" a="1"/>
  <c r="B59" i="24" a="1"/>
  <c r="H269" i="24" a="1"/>
  <c r="H800" i="24" a="1"/>
  <c r="C262" i="24"/>
  <c r="B929" i="24" a="1"/>
  <c r="I358" i="24" a="1"/>
  <c r="H725" i="24" a="1"/>
  <c r="B348" i="24" a="1"/>
  <c r="H630" i="24" a="1"/>
  <c r="I1122" i="24" a="1"/>
  <c r="H1415" i="24" a="1"/>
  <c r="M1374" i="24" a="1"/>
  <c r="D147" i="24" a="1"/>
  <c r="B643" i="24" a="1"/>
  <c r="D1170" i="24" a="1"/>
  <c r="C1788" i="24"/>
  <c r="D562" i="24" a="1"/>
  <c r="B724" i="24" a="1"/>
  <c r="B1383" i="24" a="1"/>
  <c r="H1898" i="24" a="1"/>
  <c r="H627" i="24" a="1"/>
  <c r="H937" i="24" a="1"/>
  <c r="B1320" i="24" a="1"/>
  <c r="H1337" i="24" a="1"/>
  <c r="H180" i="24" a="1"/>
  <c r="I1296" i="24" a="1"/>
  <c r="B1817" i="24" a="1"/>
  <c r="C216" i="24"/>
  <c r="B483" i="24" a="1"/>
  <c r="I424" i="24" a="1"/>
  <c r="B902" i="24" a="1"/>
  <c r="C182" i="24"/>
  <c r="D1274" i="24" a="1"/>
  <c r="H1068" i="24" a="1"/>
  <c r="C1041" i="24"/>
  <c r="I198" i="24" a="1"/>
  <c r="D1625" i="24" a="1"/>
  <c r="M205" i="24" a="1"/>
  <c r="D1321" i="24" a="1"/>
  <c r="H970" i="24" a="1"/>
  <c r="D125" i="24" a="1"/>
  <c r="I580" i="24" a="1"/>
  <c r="B945" i="24" a="1"/>
  <c r="I1170" i="24" a="1"/>
  <c r="C855" i="24"/>
  <c r="B531" i="24" a="1"/>
  <c r="I1523" i="24" a="1"/>
  <c r="B1269" i="24" a="1"/>
  <c r="I1546" i="24" a="1"/>
  <c r="B923" i="24" a="1"/>
  <c r="M19" i="24" a="1"/>
  <c r="C1504" i="24"/>
  <c r="I1036" i="24" a="1"/>
  <c r="B1578" i="24" a="1"/>
  <c r="D557" i="24" a="1"/>
  <c r="D663" i="24" a="1"/>
  <c r="I1269" i="24" a="1"/>
  <c r="B693" i="24" a="1"/>
  <c r="B1326" i="24" a="1"/>
  <c r="I763" i="24" a="1"/>
  <c r="I905" i="24" a="1"/>
  <c r="C1282" i="24"/>
  <c r="M6" i="24" a="1"/>
  <c r="M1571" i="24" a="1"/>
  <c r="D749" i="24" a="1"/>
  <c r="C1449" i="24"/>
  <c r="H676" i="24" a="1"/>
  <c r="B99" i="24" a="1"/>
  <c r="B500" i="24" a="1"/>
  <c r="C1667" i="24"/>
  <c r="D745" i="24" a="1"/>
  <c r="B210" i="24" a="1"/>
  <c r="H750" i="24" a="1"/>
  <c r="C1853" i="24"/>
  <c r="C640" i="24"/>
  <c r="I1114" i="24" a="1"/>
  <c r="M1516" i="24" a="1"/>
  <c r="H140" i="24" a="1"/>
  <c r="I617" i="24" a="1"/>
  <c r="I1779" i="24" a="1"/>
  <c r="C1619" i="24"/>
  <c r="H961" i="24" a="1"/>
  <c r="I816" i="24" a="1"/>
  <c r="M1141" i="24" a="1"/>
  <c r="B364" i="24" a="1"/>
  <c r="H268" i="24" a="1"/>
  <c r="B168" i="24" a="1"/>
  <c r="M2" i="24" a="1"/>
  <c r="D78" i="24" a="1"/>
  <c r="I1898" i="24" a="1"/>
  <c r="H456" i="24" a="1"/>
  <c r="M697" i="24" a="1"/>
  <c r="C156" i="24"/>
  <c r="B1574" i="24" a="1"/>
  <c r="D1454" i="24" a="1"/>
  <c r="B622" i="24" a="1"/>
  <c r="I1361" i="24" a="1"/>
  <c r="B850" i="24" a="1"/>
  <c r="C592" i="24"/>
  <c r="M1493" i="24" a="1"/>
  <c r="H1545" i="24" a="1"/>
  <c r="B1759" i="24" a="1"/>
  <c r="I1316" i="24" a="1"/>
  <c r="D850" i="24" a="1"/>
  <c r="I753" i="24" a="1"/>
  <c r="C966" i="24"/>
  <c r="H1363" i="24" a="1"/>
  <c r="I498" i="24" a="1"/>
  <c r="H225" i="24" a="1"/>
  <c r="H1113" i="24" a="1"/>
  <c r="H46" i="24" a="1"/>
  <c r="H759" i="24" a="1"/>
  <c r="C1247" i="24"/>
  <c r="I471" i="24" a="1"/>
  <c r="C1283" i="24"/>
  <c r="I898" i="24" a="1"/>
  <c r="D520" i="24" a="1"/>
  <c r="B519" i="24" a="1"/>
  <c r="D925" i="24" a="1"/>
  <c r="C493" i="24"/>
  <c r="M1229" i="24" a="1"/>
  <c r="I900" i="24" a="1"/>
  <c r="M754" i="24" a="1"/>
  <c r="C1901" i="24"/>
  <c r="D875" i="24" a="1"/>
  <c r="D773" i="24" a="1"/>
  <c r="M970" i="24" a="1"/>
  <c r="D1208" i="24" a="1"/>
  <c r="H1792" i="24" a="1"/>
  <c r="H1847" i="24" a="1"/>
  <c r="D934" i="24" a="1"/>
  <c r="C1533" i="24"/>
  <c r="C1199" i="24"/>
  <c r="I1044" i="24" a="1"/>
  <c r="H889" i="24" a="1"/>
  <c r="B806" i="24" a="1"/>
  <c r="H162" i="24" a="1"/>
  <c r="H102" i="24" a="1"/>
  <c r="D1811" i="24" a="1"/>
  <c r="C1130" i="24"/>
  <c r="I927" i="24" a="1"/>
  <c r="H1895" i="24" a="1"/>
  <c r="C678" i="24"/>
  <c r="D698" i="24" a="1"/>
  <c r="I1697" i="24" a="1"/>
  <c r="I1728" i="24" a="1"/>
  <c r="B419" i="24" a="1"/>
  <c r="H498" i="24" a="1"/>
  <c r="I1349" i="24" a="1"/>
  <c r="D357" i="24" a="1"/>
  <c r="C662" i="24"/>
  <c r="D57" i="24" a="1"/>
  <c r="M1271" i="24" a="1"/>
  <c r="B810" i="24" a="1"/>
  <c r="D189" i="24" a="1"/>
  <c r="B518" i="24" a="1"/>
  <c r="B281" i="24" a="1"/>
  <c r="D16" i="24" a="1"/>
  <c r="C332" i="24"/>
  <c r="I1613" i="24" a="1"/>
  <c r="H678" i="24" a="1"/>
  <c r="H431" i="24" a="1"/>
  <c r="H590" i="24" a="1"/>
  <c r="C1280" i="24"/>
  <c r="H539" i="24" a="1"/>
  <c r="M1027" i="24" a="1"/>
  <c r="C1532" i="24"/>
  <c r="I797" i="24" a="1"/>
  <c r="M1534" i="24" a="1"/>
  <c r="D7" i="24" a="1"/>
  <c r="B873" i="24" a="1"/>
  <c r="D1339" i="24" a="1"/>
  <c r="D879" i="24" a="1"/>
  <c r="I180" i="24" a="1"/>
  <c r="C1270" i="24"/>
  <c r="C1250" i="24"/>
  <c r="B1399" i="24" a="1"/>
  <c r="M859" i="24" a="1"/>
  <c r="D885" i="24" a="1"/>
  <c r="H1790" i="24" a="1"/>
  <c r="H692" i="24" a="1"/>
  <c r="M1558" i="24" a="1"/>
  <c r="H695" i="24" a="1"/>
  <c r="C363" i="24"/>
  <c r="H116" i="24" a="1"/>
  <c r="H827" i="24" a="1"/>
  <c r="M1282" i="24" a="1"/>
  <c r="C887" i="24"/>
  <c r="D1037" i="24" a="1"/>
  <c r="I205" i="24" a="1"/>
  <c r="H1428" i="24" a="1"/>
  <c r="B112" i="24" a="1"/>
  <c r="B1797" i="24" a="1"/>
  <c r="M873" i="24" a="1"/>
  <c r="M1513" i="24" a="1"/>
  <c r="B1337" i="24" a="1"/>
  <c r="C1316" i="24"/>
  <c r="C760" i="24"/>
  <c r="I399" i="24" a="1"/>
  <c r="B142" i="24" a="1"/>
  <c r="M1011" i="24" a="1"/>
  <c r="H1553" i="24" a="1"/>
  <c r="B595" i="24" a="1"/>
  <c r="I1229" i="24" a="1"/>
  <c r="M869" i="24" a="1"/>
  <c r="I162" i="24" a="1"/>
  <c r="D1662" i="24" a="1"/>
  <c r="I73" i="24" a="1"/>
  <c r="M950" i="24" a="1"/>
  <c r="B610" i="24" a="1"/>
  <c r="D730" i="24" a="1"/>
  <c r="I838" i="24" a="1"/>
  <c r="B196" i="24" a="1"/>
  <c r="M794" i="24" a="1"/>
  <c r="D214" i="24" a="1"/>
  <c r="H815" i="24" a="1"/>
  <c r="C263" i="24"/>
  <c r="D339" i="24" a="1"/>
  <c r="C1321" i="24"/>
  <c r="H699" i="24" a="1"/>
  <c r="H849" i="24" a="1"/>
  <c r="C1210" i="24"/>
  <c r="C120" i="24"/>
  <c r="D1778" i="24" a="1"/>
  <c r="C1509" i="24"/>
  <c r="B201" i="24" a="1"/>
  <c r="M1433" i="24" a="1"/>
  <c r="D229" i="24" a="1"/>
  <c r="I442" i="24" a="1"/>
  <c r="B351" i="24" a="1"/>
  <c r="C316" i="24"/>
  <c r="H417" i="24" a="1"/>
  <c r="D964" i="24" a="1"/>
  <c r="D1173" i="24" a="1"/>
  <c r="H1285" i="24" a="1"/>
  <c r="H109" i="24" a="1"/>
  <c r="I1080" i="24" a="1"/>
  <c r="B776" i="24" a="1"/>
  <c r="C766" i="24"/>
  <c r="C1252" i="24"/>
  <c r="M433" i="24" a="1"/>
  <c r="H1375" i="24" a="1"/>
  <c r="C1374" i="24"/>
  <c r="H1295" i="24" a="1"/>
  <c r="D763" i="24" a="1"/>
  <c r="M389" i="24" a="1"/>
  <c r="I1186" i="24" a="1"/>
  <c r="B457" i="24" a="1"/>
  <c r="H852" i="24" a="1"/>
  <c r="H941" i="24" a="1"/>
  <c r="I1059" i="24" a="1"/>
  <c r="D806" i="24" a="1"/>
  <c r="B123" i="24" a="1"/>
  <c r="H1466" i="24" a="1"/>
  <c r="D708" i="24" a="1"/>
  <c r="C764" i="24"/>
  <c r="C729" i="24"/>
  <c r="I985" i="24" a="1"/>
  <c r="C595" i="24"/>
  <c r="D1054" i="24" a="1"/>
  <c r="C1220" i="24"/>
  <c r="I45" i="24" a="1"/>
  <c r="H1242" i="24" a="1"/>
  <c r="D1767" i="24" a="1"/>
  <c r="D884" i="24" a="1"/>
  <c r="C1207" i="24"/>
  <c r="B1906" i="24" a="1"/>
  <c r="C1075" i="24"/>
  <c r="H77" i="24" a="1"/>
  <c r="M1289" i="24" a="1"/>
  <c r="B1365" i="24" a="1"/>
  <c r="H830" i="24" a="1"/>
  <c r="D5" i="24" a="1"/>
  <c r="B282" i="24" a="1"/>
  <c r="D772" i="24" a="1"/>
  <c r="I741" i="24" a="1"/>
  <c r="D1345" i="24" a="1"/>
  <c r="B90" i="24" a="1"/>
  <c r="H1392" i="24" a="1"/>
  <c r="M1158" i="24" a="1"/>
  <c r="D448" i="24" a="1"/>
  <c r="D111" i="24" a="1"/>
  <c r="H772" i="24" a="1"/>
  <c r="H1594" i="24" a="1"/>
  <c r="B1528" i="24" a="1"/>
  <c r="C474" i="24"/>
  <c r="D826" i="24" a="1"/>
  <c r="H1100" i="24" a="1"/>
  <c r="D2" i="24" a="1"/>
  <c r="M105" i="24" a="1"/>
  <c r="I133" i="24" a="1"/>
  <c r="I1106" i="24" a="1"/>
  <c r="I1295" i="24" a="1"/>
  <c r="C158" i="24"/>
  <c r="I1870" i="24" a="1"/>
  <c r="D17" i="24" a="1"/>
  <c r="I10" i="24" a="1"/>
  <c r="D292" i="24" a="1"/>
  <c r="D1322" i="24" a="1"/>
  <c r="H58" i="24" a="1"/>
  <c r="I156" i="24" a="1"/>
  <c r="M741" i="24" a="1"/>
  <c r="D482" i="24" a="1"/>
  <c r="C809" i="24"/>
  <c r="I511" i="24" a="1"/>
  <c r="B1600" i="24" a="1"/>
  <c r="I152" i="24" a="1"/>
  <c r="H108" i="24" a="1"/>
  <c r="H1693" i="24" a="1"/>
  <c r="D742" i="24" a="1"/>
  <c r="I533" i="24" a="1"/>
  <c r="H427" i="24" a="1"/>
  <c r="I1413" i="24" a="1"/>
  <c r="D970" i="24" a="1"/>
  <c r="C350" i="24"/>
  <c r="M1193" i="24" a="1"/>
  <c r="M1492" i="24" a="1"/>
  <c r="I1066" i="24" a="1"/>
  <c r="H1301" i="24" a="1"/>
  <c r="D832" i="24" a="1"/>
  <c r="B811" i="24" a="1"/>
  <c r="D621" i="24" a="1"/>
  <c r="M1117" i="24" a="1"/>
  <c r="C1456" i="24"/>
  <c r="M973" i="24" a="1"/>
  <c r="D365" i="24" a="1"/>
  <c r="H1358" i="24" a="1"/>
  <c r="B277" i="24" a="1"/>
  <c r="D737" i="24" a="1"/>
  <c r="H1046" i="24" a="1"/>
  <c r="M1405" i="24" a="1"/>
  <c r="M384" i="24" a="1"/>
  <c r="H934" i="24" a="1"/>
  <c r="C299" i="24"/>
  <c r="C4" i="24"/>
  <c r="B626" i="24" a="1"/>
  <c r="I11" i="24" a="1"/>
  <c r="B318" i="24" a="1"/>
  <c r="I89" i="24" a="1"/>
  <c r="C1429" i="24"/>
  <c r="H18" i="24" a="1"/>
  <c r="C1078" i="24"/>
  <c r="H1420" i="24" a="1"/>
  <c r="C924" i="24"/>
  <c r="H1368" i="24" a="1"/>
  <c r="D465" i="24" a="1"/>
  <c r="I1718" i="24" a="1"/>
  <c r="B172" i="24" a="1"/>
  <c r="B553" i="24" a="1"/>
  <c r="I396" i="24" a="1"/>
  <c r="H1174" i="24" a="1"/>
  <c r="I1024" i="24" a="1"/>
  <c r="B741" i="24" a="1"/>
  <c r="C273" i="24"/>
  <c r="H857" i="24" a="1"/>
  <c r="M1070" i="24" a="1"/>
  <c r="C1488" i="24"/>
  <c r="D1779" i="24" a="1"/>
  <c r="I1294" i="24" a="1"/>
  <c r="B1050" i="24" a="1"/>
  <c r="B1123" i="24" a="1"/>
  <c r="B824" i="24" a="1"/>
  <c r="B113" i="24" a="1"/>
  <c r="B1868" i="24" a="1"/>
  <c r="H1325" i="24" a="1"/>
  <c r="C864" i="24"/>
  <c r="B1059" i="24" a="1"/>
  <c r="M982" i="24" a="1"/>
  <c r="D611" i="24" a="1"/>
  <c r="I1063" i="24" a="1"/>
  <c r="M1359" i="24" a="1"/>
  <c r="I81" i="24" a="1"/>
  <c r="H303" i="24" a="1"/>
  <c r="D1051" i="24" a="1"/>
  <c r="B1221" i="24" a="1"/>
  <c r="D1149" i="24" a="1"/>
  <c r="D405" i="24" a="1"/>
  <c r="D137" i="24" a="1"/>
  <c r="C1001" i="24"/>
  <c r="I903" i="24" a="1"/>
  <c r="B63" i="24" a="1"/>
  <c r="C932" i="24"/>
  <c r="I1859" i="24" a="1"/>
  <c r="I407" i="24" a="1"/>
  <c r="I1021" i="24" a="1"/>
  <c r="C869" i="24"/>
  <c r="I1784" i="24" a="1"/>
  <c r="C1172" i="24"/>
  <c r="B654" i="24" a="1"/>
  <c r="I1016" i="24" a="1"/>
  <c r="B714" i="24" a="1"/>
  <c r="I989" i="24" a="1"/>
  <c r="M863" i="24" a="1"/>
  <c r="I901" i="24" a="1"/>
  <c r="B1876" i="24" a="1"/>
  <c r="C958" i="24"/>
  <c r="H171" i="24" a="1"/>
  <c r="H959" i="24" a="1"/>
  <c r="B1210" i="24" a="1"/>
  <c r="B792" i="24" a="1"/>
  <c r="B1646" i="24" a="1"/>
  <c r="D1196" i="24" a="1"/>
  <c r="I999" i="24" a="1"/>
  <c r="D89" i="24" a="1"/>
  <c r="D1117" i="24" a="1"/>
  <c r="C21" i="24"/>
  <c r="H409" i="24" a="1"/>
  <c r="I1505" i="24" a="1"/>
  <c r="D456" i="24" a="1"/>
  <c r="D725" i="24" a="1"/>
  <c r="D1278" i="24" a="1"/>
  <c r="B1891" i="24" a="1"/>
  <c r="B107" i="24" a="1"/>
  <c r="H312" i="24" a="1"/>
  <c r="I125" i="24" a="1"/>
  <c r="B880" i="24" a="1"/>
  <c r="M1041" i="24" a="1"/>
  <c r="D122" i="24" a="1"/>
  <c r="B1099" i="24" a="1"/>
  <c r="B1095" i="24" a="1"/>
  <c r="H669" i="24" a="1"/>
  <c r="I175" i="24" a="1"/>
  <c r="D1075" i="24" a="1"/>
  <c r="B193" i="24" a="1"/>
  <c r="M782" i="24" a="1"/>
  <c r="B952" i="24" a="1"/>
  <c r="I1403" i="24" a="1"/>
  <c r="B651" i="24" a="1"/>
  <c r="H1148" i="24" a="1"/>
  <c r="D169" i="24" a="1"/>
  <c r="D255" i="24" a="1"/>
  <c r="D537" i="24" a="1"/>
  <c r="M1564" i="24" a="1"/>
  <c r="B550" i="24" a="1"/>
  <c r="M584" i="24" a="1"/>
  <c r="C501" i="24"/>
  <c r="I1338" i="24" a="1"/>
  <c r="B1534" i="24" a="1"/>
  <c r="C1817" i="24"/>
  <c r="C549" i="24"/>
  <c r="I1459" i="24" a="1"/>
  <c r="D1033" i="24" a="1"/>
  <c r="I1027" i="24" a="1"/>
  <c r="C191" i="24"/>
  <c r="B970" i="24" a="1"/>
  <c r="C1894" i="24"/>
  <c r="I1460" i="24" a="1"/>
  <c r="D1816" i="24" a="1"/>
  <c r="D1678" i="24" a="1"/>
  <c r="I1414" i="24" a="1"/>
  <c r="B773" i="24" a="1"/>
  <c r="C375" i="24"/>
  <c r="H480" i="24" a="1"/>
  <c r="H811" i="24" a="1"/>
  <c r="H142" i="24" a="1"/>
  <c r="I1887" i="24" a="1"/>
  <c r="D548" i="24" a="1"/>
  <c r="B908" i="24" a="1"/>
  <c r="H623" i="24" a="1"/>
  <c r="D1724" i="24" a="1"/>
  <c r="H1673" i="24" a="1"/>
  <c r="H1087" i="24" a="1"/>
  <c r="B670" i="24" a="1"/>
  <c r="I1071" i="24" a="1"/>
  <c r="C750" i="24"/>
  <c r="B1117" i="24" a="1"/>
  <c r="B1225" i="24" a="1"/>
  <c r="C1221" i="24"/>
  <c r="M335" i="24" a="1"/>
  <c r="H260" i="24" a="1"/>
  <c r="B1080" i="24" a="1"/>
  <c r="D184" i="24" a="1"/>
  <c r="M1566" i="24" a="1"/>
  <c r="D1361" i="24" a="1"/>
  <c r="C702" i="24"/>
  <c r="C379" i="24"/>
  <c r="I473" i="24" a="1"/>
  <c r="C719" i="24"/>
  <c r="B910" i="24" a="1"/>
  <c r="B558" i="24" a="1"/>
  <c r="B1355" i="24" a="1"/>
  <c r="B392" i="24" a="1"/>
  <c r="I1146" i="24" a="1"/>
  <c r="I58" i="24" a="1"/>
  <c r="I389" i="24" a="1"/>
  <c r="M1856" i="24" a="1"/>
  <c r="M945" i="24" a="1"/>
  <c r="M747" i="24" a="1"/>
  <c r="B319" i="24" a="1"/>
  <c r="I1470" i="24" a="1"/>
  <c r="C304" i="24"/>
  <c r="D1501" i="24" a="1"/>
  <c r="H1443" i="24" a="1"/>
  <c r="B1340" i="24" a="1"/>
  <c r="D718" i="24" a="1"/>
  <c r="B269" i="24" a="1"/>
  <c r="B584" i="24" a="1"/>
  <c r="D724" i="24" a="1"/>
  <c r="B50" i="24" a="1"/>
  <c r="D60" i="24" a="1"/>
  <c r="C131" i="24"/>
  <c r="B1643" i="24" a="1"/>
  <c r="B343" i="24" a="1"/>
  <c r="I283" i="24" a="1"/>
  <c r="H125" i="24" a="1"/>
  <c r="C744" i="24"/>
  <c r="D395" i="24" a="1"/>
  <c r="C1011" i="24"/>
  <c r="D1905" i="24" a="1"/>
  <c r="B743" i="24" a="1"/>
  <c r="D1729" i="24" a="1"/>
  <c r="M462" i="24" a="1"/>
  <c r="D1465" i="24" a="1"/>
  <c r="B1268" i="24" a="1"/>
  <c r="M160" i="24" a="1"/>
  <c r="B1564" i="24" a="1"/>
  <c r="D1303" i="24" a="1"/>
  <c r="C1186" i="24"/>
  <c r="D1851" i="24" a="1"/>
  <c r="B512" i="24" a="1"/>
  <c r="C1286" i="24"/>
  <c r="C684" i="24"/>
  <c r="I1113" i="24" a="1"/>
  <c r="M179" i="24" a="1"/>
  <c r="M25" i="24" a="1"/>
  <c r="C252" i="24"/>
  <c r="D117" i="24" a="1"/>
  <c r="C1677" i="24"/>
  <c r="I190" i="24" a="1"/>
  <c r="H917" i="24" a="1"/>
  <c r="I1799" i="24" a="1"/>
  <c r="H527" i="24" a="1"/>
  <c r="H497" i="24" a="1"/>
  <c r="I798" i="24" a="1"/>
  <c r="B179" i="24" a="1"/>
  <c r="D1293" i="24" a="1"/>
  <c r="C161" i="24"/>
  <c r="B312" i="24" a="1"/>
  <c r="B1899" i="24" a="1"/>
  <c r="I933" i="24" a="1"/>
  <c r="B768" i="24" a="1"/>
  <c r="H493" i="24" a="1"/>
  <c r="C1899" i="24"/>
  <c r="I2" i="24" a="1"/>
  <c r="H380" i="24" a="1"/>
  <c r="C439" i="24"/>
  <c r="D696" i="24" a="1"/>
  <c r="H1003" i="24" a="1"/>
  <c r="I1043" i="24" a="1"/>
  <c r="I784" i="24" a="1"/>
  <c r="H697" i="24" a="1"/>
  <c r="D1644" i="24" a="1"/>
  <c r="H610" i="24" a="1"/>
  <c r="B742" i="24" a="1"/>
  <c r="C609" i="24"/>
  <c r="B320" i="24" a="1"/>
  <c r="C1307" i="24"/>
  <c r="D572" i="24" a="1"/>
  <c r="B1650" i="24" a="1"/>
  <c r="H343" i="24" a="1"/>
  <c r="I87" i="24" a="1"/>
  <c r="M1546" i="24" a="1"/>
  <c r="C70" i="24"/>
  <c r="B1045" i="24" a="1"/>
  <c r="M1626" i="24" a="1"/>
  <c r="C1230" i="24"/>
  <c r="B70" i="24" a="1"/>
  <c r="H2" i="24" a="1"/>
  <c r="I1220" i="24" a="1"/>
  <c r="B882" i="24" a="1"/>
  <c r="C473" i="24"/>
  <c r="B862" i="24" a="1"/>
  <c r="H151" i="24" a="1"/>
  <c r="I642" i="24" a="1"/>
  <c r="H1117" i="24" a="1"/>
  <c r="C1109" i="24"/>
  <c r="C1112" i="24"/>
  <c r="I195" i="24" a="1"/>
  <c r="C46" i="24"/>
  <c r="D945" i="24" a="1"/>
  <c r="B1478" i="24" a="1"/>
  <c r="I702" i="24" a="1"/>
  <c r="M28" i="24" a="1"/>
  <c r="I1139" i="24" a="1"/>
  <c r="B746" i="24" a="1"/>
  <c r="B1638" i="24" a="1"/>
  <c r="D1084" i="24" a="1"/>
  <c r="C1613" i="24"/>
  <c r="D1213" i="24" a="1"/>
  <c r="C771" i="24"/>
  <c r="I1806" i="24" a="1"/>
  <c r="I282" i="24" a="1"/>
  <c r="B1230" i="24" a="1"/>
  <c r="B1626" i="24" a="1"/>
  <c r="D1699" i="24" a="1"/>
  <c r="M383" i="24" a="1"/>
  <c r="C133" i="24"/>
  <c r="C1058" i="24"/>
  <c r="D1217" i="24" a="1"/>
  <c r="D1333" i="24" a="1"/>
  <c r="D162" i="24" a="1"/>
  <c r="C370" i="24"/>
  <c r="I1158" i="24" a="1"/>
  <c r="D1062" i="24" a="1"/>
  <c r="I1149" i="24" a="1"/>
  <c r="M1541" i="24" a="1"/>
  <c r="C550" i="24"/>
  <c r="I747" i="24" a="1"/>
  <c r="I1754" i="24" a="1"/>
  <c r="H129" i="24" a="1"/>
  <c r="H1405" i="24" a="1"/>
  <c r="B1823" i="24" a="1"/>
  <c r="B642" i="24" a="1"/>
  <c r="I937" i="24" a="1"/>
  <c r="C1059" i="24"/>
  <c r="I488" i="24" a="1"/>
  <c r="H1718" i="24" a="1"/>
  <c r="D252" i="24" a="1"/>
  <c r="H1678" i="24" a="1"/>
  <c r="D534" i="24" a="1"/>
  <c r="I1639" i="24" a="1"/>
  <c r="C927" i="24"/>
  <c r="B1367" i="24" a="1"/>
  <c r="H386" i="24" a="1"/>
  <c r="C353" i="24"/>
  <c r="M744" i="24" a="1"/>
  <c r="C1248" i="24"/>
  <c r="I419" i="24" a="1"/>
  <c r="I94" i="24" a="1"/>
  <c r="B490" i="24" a="1"/>
  <c r="B1658" i="24" a="1"/>
  <c r="C1861" i="24"/>
  <c r="H636" i="24" a="1"/>
  <c r="M1365" i="24" a="1"/>
  <c r="I481" i="24" a="1"/>
  <c r="M1050" i="24" a="1"/>
  <c r="D1136" i="24" a="1"/>
  <c r="C951" i="24"/>
  <c r="I1238" i="24" a="1"/>
  <c r="B1175" i="24" a="1"/>
  <c r="I1345" i="24" a="1"/>
  <c r="D105" i="24" a="1"/>
  <c r="H92" i="24" a="1"/>
  <c r="M1465" i="24" a="1"/>
  <c r="C244" i="24"/>
  <c r="I34" i="24" a="1"/>
  <c r="M1514" i="24" a="1"/>
  <c r="B879" i="24" a="1"/>
  <c r="I428" i="24" a="1"/>
  <c r="H898" i="24" a="1"/>
  <c r="D1343" i="24" a="1"/>
  <c r="I307" i="24" a="1"/>
  <c r="D1182" i="24" a="1"/>
  <c r="M241" i="24" a="1"/>
  <c r="I96" i="24" a="1"/>
  <c r="I55" i="24" a="1"/>
  <c r="D28" i="24" a="1"/>
  <c r="B399" i="24" a="1"/>
  <c r="C207" i="24"/>
  <c r="I86" i="24" a="1"/>
  <c r="H778" i="24" a="1"/>
  <c r="D719" i="24" a="1"/>
  <c r="C1271" i="24"/>
  <c r="H1199" i="24" a="1"/>
  <c r="D702" i="24" a="1"/>
  <c r="H1645" i="24" a="1"/>
  <c r="D597" i="24" a="1"/>
  <c r="B846" i="24" a="1"/>
  <c r="D924" i="24" a="1"/>
  <c r="D1055" i="24" a="1"/>
  <c r="H265" i="24" a="1"/>
  <c r="M648" i="24" a="1"/>
  <c r="H1226" i="24" a="1"/>
  <c r="I1819" i="24" a="1"/>
  <c r="H187" i="24" a="1"/>
  <c r="H1894" i="24" a="1"/>
  <c r="H216" i="24" a="1"/>
  <c r="D1545" i="24" a="1"/>
  <c r="H625" i="24" a="1"/>
  <c r="B793" i="24" a="1"/>
  <c r="I346" i="24" a="1"/>
  <c r="B506" i="24" a="1"/>
  <c r="D1169" i="24" a="1"/>
  <c r="I1176" i="24" a="1"/>
  <c r="C392" i="24"/>
  <c r="B1058" i="24" a="1"/>
  <c r="H910" i="24" a="1"/>
  <c r="D559" i="24" a="1"/>
  <c r="D646" i="24" a="1"/>
  <c r="D524" i="24" a="1"/>
  <c r="D481" i="24" a="1"/>
  <c r="M1502" i="24" a="1"/>
  <c r="D951" i="24" a="1"/>
  <c r="B1645" i="24" a="1"/>
  <c r="B495" i="24" a="1"/>
  <c r="I510" i="24" a="1"/>
  <c r="D787" i="24" a="1"/>
  <c r="I716" i="24" a="1"/>
  <c r="D1273" i="24" a="1"/>
  <c r="B1345" i="24" a="1"/>
  <c r="I194" i="24" a="1"/>
  <c r="I531" i="24" a="1"/>
  <c r="I1856" i="24" a="1"/>
  <c r="H1037" i="24" a="1"/>
  <c r="I245" i="24" a="1"/>
  <c r="I777" i="24" a="1"/>
  <c r="I231" i="24" a="1"/>
  <c r="I719" i="24" a="1"/>
  <c r="D68" i="24" a="1"/>
  <c r="B901" i="24" a="1"/>
  <c r="H87" i="24" a="1"/>
  <c r="D1419" i="24" a="1"/>
  <c r="M1026" i="24" a="1"/>
  <c r="C1352" i="24"/>
  <c r="B800" i="24" a="1"/>
  <c r="I1847" i="24" a="1"/>
  <c r="I384" i="24" a="1"/>
  <c r="C510" i="24"/>
  <c r="D1122" i="24" a="1"/>
  <c r="B1446" i="24" a="1"/>
  <c r="B271" i="24" a="1"/>
  <c r="B255" i="24" a="1"/>
  <c r="I946" i="24" a="1"/>
  <c r="H395" i="24" a="1"/>
  <c r="H711" i="24" a="1"/>
  <c r="D166" i="24" a="1"/>
  <c r="C509" i="24"/>
  <c r="B475" i="24" a="1"/>
  <c r="C1641" i="24"/>
  <c r="D812" i="24" a="1"/>
  <c r="H591" i="24" a="1"/>
  <c r="D1704" i="24" a="1"/>
  <c r="H1674" i="24" a="1"/>
  <c r="C1110" i="24"/>
  <c r="H712" i="24" a="1"/>
  <c r="C1211" i="24"/>
  <c r="M279" i="24" a="1"/>
  <c r="M1402" i="24" a="1"/>
  <c r="B1025" i="24" a="1"/>
  <c r="D408" i="24" a="1"/>
  <c r="C1770" i="24"/>
  <c r="H1537" i="24" a="1"/>
  <c r="H1132" i="24" a="1"/>
  <c r="C272" i="24"/>
  <c r="D1638" i="24" a="1"/>
  <c r="I631" i="24" a="1"/>
  <c r="H1090" i="24" a="1"/>
  <c r="D666" i="24" a="1"/>
  <c r="C1045" i="24"/>
  <c r="I1289" i="24" a="1"/>
  <c r="D449" i="24" a="1"/>
  <c r="D213" i="24" a="1"/>
  <c r="D1167" i="24" a="1"/>
  <c r="D688" i="24" a="1"/>
  <c r="H1048" i="24" a="1"/>
  <c r="C275" i="24"/>
  <c r="H1105" i="24" a="1"/>
  <c r="B159" i="24" a="1"/>
  <c r="C623" i="24"/>
  <c r="H218" i="24" a="1"/>
  <c r="H1038" i="24" a="1"/>
  <c r="B1490" i="24" a="1"/>
  <c r="D659" i="24" a="1"/>
  <c r="D486" i="24" a="1"/>
  <c r="B188" i="24" a="1"/>
  <c r="M1432" i="24" a="1"/>
  <c r="M783" i="24" a="1"/>
  <c r="C68" i="24"/>
  <c r="C359" i="24"/>
  <c r="H1842" i="24" a="1"/>
  <c r="D1878" i="24" a="1"/>
  <c r="B528" i="24" a="1"/>
  <c r="B1069" i="24" a="1"/>
  <c r="I1083" i="24" a="1"/>
  <c r="M66" i="24" a="1"/>
  <c r="D687" i="24" a="1"/>
  <c r="C948" i="24"/>
  <c r="I155" i="24" a="1"/>
  <c r="B890" i="24" a="1"/>
  <c r="H1188" i="24" a="1"/>
  <c r="I1510" i="24" a="1"/>
  <c r="M281" i="24" a="1"/>
  <c r="C1020" i="24"/>
  <c r="C334" i="24"/>
  <c r="D136" i="24" a="1"/>
  <c r="D871" i="24" a="1"/>
  <c r="C994" i="24"/>
  <c r="D869" i="24" a="1"/>
  <c r="M1333" i="24" a="1"/>
  <c r="C170" i="24"/>
  <c r="M182" i="24" a="1"/>
  <c r="B379" i="24" a="1"/>
  <c r="B1545" i="24" a="1"/>
  <c r="B1432" i="24" a="1"/>
  <c r="B238" i="24" a="1"/>
  <c r="H1813" i="24" a="1"/>
  <c r="M302" i="24" a="1"/>
  <c r="B1599" i="24" a="1"/>
  <c r="M1455" i="24" a="1"/>
  <c r="C267" i="24"/>
  <c r="D245" i="24" a="1"/>
  <c r="C1219" i="24"/>
  <c r="B176" i="24" a="1"/>
  <c r="I398" i="24" a="1"/>
  <c r="D833" i="24" a="1"/>
  <c r="I1243" i="24" a="1"/>
  <c r="D505" i="24" a="1"/>
  <c r="C940" i="24"/>
  <c r="B754" i="24" a="1"/>
  <c r="H1126" i="24" a="1"/>
  <c r="B1257" i="24" a="1"/>
  <c r="C319" i="24"/>
  <c r="B429" i="24" a="1"/>
  <c r="D446" i="24" a="1"/>
  <c r="B561" i="24" a="1"/>
  <c r="H1621" i="24" a="1"/>
  <c r="B1555" i="24" a="1"/>
  <c r="D426" i="24" a="1"/>
  <c r="I1118" i="24" a="1"/>
  <c r="C1783" i="24"/>
  <c r="M1323" i="24" a="1"/>
  <c r="H1077" i="24" a="1"/>
  <c r="M115" i="24" a="1"/>
  <c r="B673" i="24" a="1"/>
  <c r="C983" i="24"/>
  <c r="I91" i="24" a="1"/>
  <c r="D635" i="24" a="1"/>
  <c r="B308" i="24" a="1"/>
  <c r="B435" i="24" a="1"/>
  <c r="D545" i="24" a="1"/>
  <c r="B460" i="24" a="1"/>
  <c r="B667" i="24" a="1"/>
  <c r="D432" i="24" a="1"/>
  <c r="H88" i="24" a="1"/>
  <c r="I537" i="24" a="1"/>
  <c r="H1528" i="24" a="1"/>
  <c r="D93" i="24" a="1"/>
  <c r="M1523" i="24" a="1"/>
  <c r="B455" i="24" a="1"/>
  <c r="B1014" i="24" a="1"/>
  <c r="C1226" i="24"/>
  <c r="B652" i="24" a="1"/>
  <c r="B55" i="24" a="1"/>
  <c r="B173" i="24" a="1"/>
  <c r="B815" i="24" a="1"/>
  <c r="B1341" i="24" a="1"/>
  <c r="H384" i="24" a="1"/>
  <c r="M148" i="24" a="1"/>
  <c r="C1029" i="24"/>
  <c r="D145" i="24" a="1"/>
  <c r="I236" i="24" a="1"/>
  <c r="H229" i="24" a="1"/>
  <c r="D244" i="24" a="1"/>
  <c r="C412" i="24"/>
  <c r="C1079" i="24"/>
  <c r="H996" i="24" a="1"/>
  <c r="H24" i="24" a="1"/>
  <c r="C723" i="24"/>
  <c r="B936" i="24" a="1"/>
  <c r="M586" i="24" a="1"/>
  <c r="D454" i="24" a="1"/>
  <c r="D1056" i="24" a="1"/>
  <c r="C1684" i="24"/>
  <c r="H1861" i="24" a="1"/>
  <c r="B207" i="24" a="1"/>
  <c r="M1436" i="24" a="1"/>
  <c r="B877" i="24" a="1"/>
  <c r="C261" i="24"/>
  <c r="B608" i="24" a="1"/>
  <c r="C591" i="24"/>
  <c r="D1858" i="24" a="1"/>
  <c r="D1083" i="24" a="1"/>
  <c r="C857" i="24"/>
  <c r="D18" i="24" a="1"/>
  <c r="M768" i="24" a="1"/>
  <c r="I882" i="24" a="1"/>
  <c r="I1304" i="24" a="1"/>
  <c r="C307" i="24"/>
  <c r="I443" i="24" a="1"/>
  <c r="H1811" i="24" a="1"/>
  <c r="C405" i="24"/>
  <c r="B983" i="24" a="1"/>
  <c r="M114" i="24" a="1"/>
  <c r="D969" i="24" a="1"/>
  <c r="C1131" i="24"/>
  <c r="B906" i="24" a="1"/>
  <c r="D135" i="24" a="1"/>
  <c r="I348" i="24" a="1"/>
  <c r="C1772" i="24"/>
  <c r="M993" i="24" a="1"/>
  <c r="C1278" i="24"/>
  <c r="I299" i="24" a="1"/>
  <c r="C1279" i="24"/>
  <c r="H170" i="24" a="1"/>
  <c r="C227" i="24"/>
  <c r="H1776" i="24" a="1"/>
  <c r="H1841" i="24" a="1"/>
  <c r="I224" i="24" a="1"/>
  <c r="B192" i="24" a="1"/>
  <c r="D1306" i="24" a="1"/>
  <c r="I787" i="24" a="1"/>
  <c r="I60" i="24" a="1"/>
  <c r="M3" i="24" a="1"/>
  <c r="I1763" i="24" a="1"/>
  <c r="C485" i="24"/>
  <c r="B484" i="24" a="1"/>
  <c r="H883" i="24" a="1"/>
  <c r="I1465" i="24" a="1"/>
  <c r="H1191" i="24" a="1"/>
  <c r="D831" i="24" a="1"/>
  <c r="C892" i="24"/>
  <c r="B213" i="24" a="1"/>
  <c r="I390" i="24" a="1"/>
  <c r="I1134" i="24" a="1"/>
  <c r="B1386" i="24" a="1"/>
  <c r="B1548" i="24" a="1"/>
  <c r="B463" i="24" a="1"/>
  <c r="D873" i="24" a="1"/>
  <c r="I1026" i="24" a="1"/>
  <c r="D133" i="24" a="1"/>
  <c r="B1044" i="24" a="1"/>
  <c r="I82" i="24" a="1"/>
  <c r="B1301" i="24" a="1"/>
  <c r="H686" i="24" a="1"/>
  <c r="C607" i="24"/>
  <c r="B1629" i="24" a="1"/>
  <c r="B569" i="24" a="1"/>
  <c r="H1310" i="24" a="1"/>
  <c r="B52" i="24" a="1"/>
  <c r="D83" i="24" a="1"/>
  <c r="B1115" i="24" a="1"/>
  <c r="C490" i="24"/>
  <c r="H390" i="24" a="1"/>
  <c r="B958" i="24" a="1"/>
  <c r="M1565" i="24" a="1"/>
  <c r="M1452" i="24" a="1"/>
  <c r="I1328" i="24" a="1"/>
  <c r="M1545" i="24" a="1"/>
  <c r="M1064" i="24" a="1"/>
  <c r="M1341" i="24" a="1"/>
  <c r="H49" i="24" a="1"/>
  <c r="B1585" i="24" a="1"/>
  <c r="H1803" i="24" a="1"/>
  <c r="I1213" i="24" a="1"/>
  <c r="C1478" i="24"/>
  <c r="B656" i="24" a="1"/>
  <c r="I993" i="24" a="1"/>
  <c r="C945" i="24"/>
  <c r="H43" i="24" a="1"/>
  <c r="I431" i="24" a="1"/>
  <c r="I1573" i="24" a="1"/>
  <c r="I660" i="24" a="1"/>
  <c r="I1431" i="24" a="1"/>
  <c r="M1649" i="24" a="1"/>
  <c r="D1043" i="24" a="1"/>
  <c r="C387" i="24"/>
  <c r="H1206" i="24" a="1"/>
  <c r="I1509" i="24" a="1"/>
  <c r="D364" i="24" a="1"/>
  <c r="C931" i="24"/>
  <c r="H575" i="24" a="1"/>
  <c r="I549" i="24" a="1"/>
  <c r="H1596" i="24" a="1"/>
  <c r="C831" i="24"/>
  <c r="B51" i="24" a="1"/>
  <c r="H1521" i="24" a="1"/>
  <c r="M332" i="24" a="1"/>
  <c r="H721" i="24" a="1"/>
  <c r="B577" i="24" a="1"/>
  <c r="H271" i="24" a="1"/>
  <c r="C1470" i="24"/>
  <c r="B1870" i="24" a="1"/>
  <c r="M1540" i="24" a="1"/>
  <c r="C206" i="24"/>
  <c r="B1581" i="24" a="1"/>
  <c r="I316" i="24" a="1"/>
  <c r="M24" i="24" a="1"/>
  <c r="B154" i="24" a="1"/>
  <c r="D651" i="24" a="1"/>
  <c r="M1435" i="24" a="1"/>
  <c r="C542" i="24"/>
  <c r="C1117" i="24"/>
  <c r="H339" i="24" a="1"/>
  <c r="I121" i="24" a="1"/>
  <c r="B892" i="24" a="1"/>
  <c r="I1160" i="24" a="1"/>
  <c r="B1793" i="24" a="1"/>
  <c r="I27" i="24" a="1"/>
  <c r="I183" i="24" a="1"/>
  <c r="C1156" i="24"/>
  <c r="B991" i="24" a="1"/>
  <c r="B358" i="24" a="1"/>
  <c r="D576" i="24" a="1"/>
  <c r="I5" i="24" a="1"/>
  <c r="C888" i="24"/>
  <c r="M1016" i="24" a="1"/>
  <c r="H290" i="24" a="1"/>
  <c r="D563" i="24" a="1"/>
  <c r="B817" i="24" a="1"/>
  <c r="I1543" i="24" a="1"/>
  <c r="M1902" i="24" a="1"/>
  <c r="C1806" i="24"/>
  <c r="C1030" i="24"/>
  <c r="I331" i="24" a="1"/>
  <c r="M1577" i="24" a="1"/>
  <c r="H202" i="24" a="1"/>
  <c r="B1161" i="24" a="1"/>
  <c r="B1783" i="24" a="1"/>
  <c r="C895" i="24"/>
  <c r="B623" i="24" a="1"/>
  <c r="C496" i="24"/>
  <c r="B689" i="24" a="1"/>
  <c r="H515" i="24" a="1"/>
  <c r="B1234" i="24" a="1"/>
  <c r="C15" i="24"/>
  <c r="H839" i="24" a="1"/>
  <c r="H767" i="24" a="1"/>
  <c r="I943" i="24" a="1"/>
  <c r="H911" i="24" a="1"/>
  <c r="D552" i="24" a="1"/>
  <c r="B680" i="24" a="1"/>
  <c r="H1342" i="24" a="1"/>
  <c r="I1144" i="24" a="1"/>
  <c r="H1165" i="24" a="1"/>
  <c r="D35" i="24" a="1"/>
  <c r="C911" i="24"/>
  <c r="B504" i="24" a="1"/>
  <c r="I559" i="24" a="1"/>
  <c r="C996" i="24"/>
  <c r="B1810" i="24" a="1"/>
  <c r="D51" i="24" a="1"/>
  <c r="H633" i="24" a="1"/>
  <c r="M531" i="24" a="1"/>
  <c r="I258" i="24" a="1"/>
  <c r="H621" i="24" a="1"/>
  <c r="D1250" i="24" a="1"/>
  <c r="H935" i="24" a="1"/>
  <c r="C1670" i="24"/>
  <c r="I1499" i="24" a="1"/>
  <c r="I1516" i="24" a="1"/>
  <c r="I1259" i="24" a="1"/>
  <c r="H1501" i="24" a="1"/>
  <c r="I80" i="24" a="1"/>
  <c r="B426" i="24" a="1"/>
  <c r="B186" i="24" a="1"/>
  <c r="H639" i="24" a="1"/>
  <c r="C812" i="24"/>
  <c r="I1166" i="24" a="1"/>
  <c r="H835" i="24" a="1"/>
  <c r="B1128" i="24" a="1"/>
  <c r="D1602" i="24" a="1"/>
  <c r="C936" i="24"/>
  <c r="B542" i="24" a="1"/>
  <c r="C43" i="24"/>
  <c r="C1093" i="24"/>
  <c r="C761" i="24"/>
  <c r="C622" i="24"/>
  <c r="H1061" i="24" a="1"/>
  <c r="C1229" i="24"/>
  <c r="B524" i="24" a="1"/>
  <c r="D200" i="24" a="1"/>
  <c r="M74" i="24" a="1"/>
  <c r="B473" i="24" a="1"/>
  <c r="C1287" i="24"/>
  <c r="B1398" i="24" a="1"/>
  <c r="D201" i="24" a="1"/>
  <c r="D795" i="24" a="1"/>
  <c r="D271" i="24" a="1"/>
  <c r="C1147" i="24"/>
  <c r="B702" i="24" a="1"/>
  <c r="I1173" i="24" a="1"/>
  <c r="D198" i="24" a="1"/>
  <c r="I108" i="24" a="1"/>
  <c r="I815" i="24" a="1"/>
  <c r="C768" i="24"/>
  <c r="B1831" i="24" a="1"/>
  <c r="B174" i="24" a="1"/>
  <c r="D840" i="24" a="1"/>
  <c r="I692" i="24" a="1"/>
  <c r="B1475" i="24" a="1"/>
  <c r="I1234" i="24" a="1"/>
  <c r="I84" i="24" a="1"/>
  <c r="H413" i="24" a="1"/>
  <c r="I400" i="24" a="1"/>
  <c r="B1240" i="24" a="1"/>
  <c r="H583" i="24" a="1"/>
  <c r="B1695" i="24" a="1"/>
  <c r="I1842" i="24" a="1"/>
  <c r="B1470" i="24" a="1"/>
  <c r="I907" i="24" a="1"/>
  <c r="B377" i="24" a="1"/>
  <c r="I1387" i="24" a="1"/>
  <c r="B1505" i="24" a="1"/>
  <c r="D1013" i="24" a="1"/>
  <c r="B818" i="24" a="1"/>
  <c r="C443" i="24"/>
  <c r="D1346" i="24" a="1"/>
  <c r="I219" i="24" a="1"/>
  <c r="B1592" i="24" a="1"/>
  <c r="M646" i="24" a="1"/>
  <c r="C450" i="24"/>
  <c r="I414" i="24" a="1"/>
  <c r="D75" i="24" a="1"/>
  <c r="B249" i="24" a="1"/>
  <c r="C531" i="24"/>
  <c r="B375" i="24" a="1"/>
  <c r="I459" i="24" a="1"/>
  <c r="C767" i="24"/>
  <c r="I1635" i="24" a="1"/>
  <c r="I915" i="24" a="1"/>
  <c r="M745" i="24" a="1"/>
  <c r="H875" i="24" a="1"/>
  <c r="I114" i="24" a="1"/>
  <c r="D920" i="24" a="1"/>
  <c r="H174" i="24" a="1"/>
  <c r="D1023" i="24" a="1"/>
  <c r="C1298" i="24"/>
  <c r="B918" i="24" a="1"/>
  <c r="B288" i="24" a="1"/>
  <c r="C1337" i="24"/>
  <c r="M952" i="24" a="1"/>
  <c r="D195" i="24" a="1"/>
  <c r="H650" i="24" a="1"/>
  <c r="C149" i="24"/>
  <c r="I134" i="24" a="1"/>
  <c r="C1647" i="24"/>
  <c r="M204" i="24" a="1"/>
  <c r="B466" i="24" a="1"/>
  <c r="I653" i="24" a="1"/>
  <c r="D1227" i="24" a="1"/>
  <c r="I268" i="24" a="1"/>
  <c r="B1020" i="24" a="1"/>
  <c r="B1756" i="24" a="1"/>
  <c r="C698" i="24"/>
  <c r="D1386" i="24" a="1"/>
  <c r="C1796" i="24"/>
  <c r="I605" i="24" a="1"/>
  <c r="I601" i="24" a="1"/>
  <c r="I1263" i="24" a="1"/>
  <c r="D822" i="24" a="1"/>
  <c r="C596" i="24"/>
  <c r="M1851" i="24" a="1"/>
  <c r="D804" i="24" a="1"/>
  <c r="B571" i="24" a="1"/>
  <c r="D758" i="24" a="1"/>
  <c r="B1788" i="24" a="1"/>
  <c r="C738" i="24"/>
  <c r="D431" i="24" a="1"/>
  <c r="I161" i="24" a="1"/>
  <c r="C819" i="24"/>
  <c r="H873" i="24" a="1"/>
  <c r="I1267" i="24" a="1"/>
  <c r="M1319" i="24" a="1"/>
  <c r="D1044" i="24" a="1"/>
  <c r="C1268" i="24"/>
  <c r="B1244" i="24" a="1"/>
  <c r="B865" i="24" a="1"/>
  <c r="H1094" i="24" a="1"/>
  <c r="D771" i="24" a="1"/>
  <c r="M1601" i="24" a="1"/>
  <c r="M1518" i="24" a="1"/>
  <c r="I1225" i="24" a="1"/>
  <c r="B1814" i="24" a="1"/>
  <c r="B1033" i="24" a="1"/>
  <c r="B1312" i="24" a="1"/>
  <c r="H820" i="24" a="1"/>
  <c r="B1773" i="24" a="1"/>
  <c r="C401" i="24"/>
  <c r="D1308" i="24" a="1"/>
  <c r="D291" i="24" a="1"/>
  <c r="C1349" i="24"/>
  <c r="C975" i="24"/>
  <c r="I1019" i="24" a="1"/>
  <c r="B589" i="24" a="1"/>
  <c r="I956" i="24" a="1"/>
  <c r="D852" i="24" a="1"/>
  <c r="D671" i="24" a="1"/>
  <c r="D92" i="24" a="1"/>
  <c r="B1576" i="24" a="1"/>
  <c r="C1469" i="24"/>
  <c r="C124" i="24"/>
  <c r="D541" i="24" a="1"/>
  <c r="I1062" i="24" a="1"/>
  <c r="C601" i="24"/>
  <c r="B1753" i="24" a="1"/>
  <c r="M381" i="24" a="1"/>
  <c r="D523" i="24" a="1"/>
  <c r="B1192" i="24" a="1"/>
  <c r="B324" i="24" a="1"/>
  <c r="H1623" i="24" a="1"/>
  <c r="D577" i="24" a="1"/>
  <c r="I953" i="24" a="1"/>
  <c r="I1159" i="24" a="1"/>
  <c r="I1875" i="24" a="1"/>
  <c r="H1241" i="24" a="1"/>
  <c r="H321" i="24" a="1"/>
  <c r="H1497" i="24" a="1"/>
  <c r="C875" i="24"/>
  <c r="C1272" i="24"/>
  <c r="B1005" i="24" a="1"/>
  <c r="D586" i="24" a="1"/>
  <c r="M1656" i="24" a="1"/>
  <c r="C1737" i="24"/>
  <c r="M825" i="24" a="1"/>
  <c r="H1131" i="24" a="1"/>
  <c r="I1647" i="24" a="1"/>
  <c r="B1755" i="24" a="1"/>
  <c r="C1487" i="24"/>
  <c r="B1242" i="24" a="1"/>
  <c r="I1240" i="24" a="1"/>
  <c r="B1261" i="24" a="1"/>
  <c r="B1352" i="24" a="1"/>
  <c r="H862" i="24" a="1"/>
  <c r="B34" i="24" a="1"/>
  <c r="B259" i="24" a="1"/>
  <c r="H458" i="24" a="1"/>
  <c r="I1278" i="24" a="1"/>
  <c r="B303" i="24" a="1"/>
  <c r="D436" i="24" a="1"/>
  <c r="D1506" i="24" a="1"/>
  <c r="B604" i="24" a="1"/>
  <c r="C552" i="24"/>
  <c r="B1078" i="24" a="1"/>
  <c r="C797" i="24"/>
  <c r="I1327" i="24" a="1"/>
  <c r="H856" i="24" a="1"/>
  <c r="H1333" i="24" a="1"/>
  <c r="I1334" i="24" a="1"/>
  <c r="B287" i="24" a="1"/>
  <c r="I1060" i="24" a="1"/>
  <c r="D203" i="24" a="1"/>
  <c r="B648" i="24" a="1"/>
  <c r="C126" i="24"/>
  <c r="H1575" i="24" a="1"/>
  <c r="H1327" i="24" a="1"/>
  <c r="C871" i="24"/>
  <c r="D278" i="24" a="1"/>
  <c r="B1092" i="24" a="1"/>
  <c r="C26" i="24"/>
  <c r="I1617" i="24" a="1"/>
  <c r="D748" i="24" a="1"/>
  <c r="I382" i="24" a="1"/>
  <c r="I1226" i="24" a="1"/>
  <c r="H548" i="24" a="1"/>
  <c r="D59" i="24" a="1"/>
  <c r="D1202" i="24" a="1"/>
  <c r="D656" i="24" a="1"/>
  <c r="I1223" i="24" a="1"/>
  <c r="C1634" i="24"/>
  <c r="B433" i="24" a="1"/>
  <c r="H1820" i="24" a="1"/>
  <c r="I1014" i="24" a="1"/>
  <c r="B876" i="24" a="1"/>
  <c r="B926" i="24" a="1"/>
  <c r="B1369" i="24" a="1"/>
  <c r="M1575" i="24" a="1"/>
  <c r="D738" i="24" a="1"/>
  <c r="C1598" i="24"/>
  <c r="H263" i="24" a="1"/>
  <c r="H1485" i="24" a="1"/>
  <c r="I147" i="24" a="1"/>
  <c r="D328" i="24" a="1"/>
  <c r="I1891" i="24" a="1"/>
  <c r="M1375" i="24" a="1"/>
  <c r="H1367" i="24" a="1"/>
  <c r="H1236" i="24" a="1"/>
  <c r="I170" i="24" a="1"/>
  <c r="H1349" i="24" a="1"/>
  <c r="B1003" i="24" a="1"/>
  <c r="C982" i="24"/>
  <c r="D45" i="24" a="1"/>
  <c r="D704" i="24" a="1"/>
  <c r="D1206" i="24" a="1"/>
  <c r="M89" i="24" a="1"/>
  <c r="D549" i="24" a="1"/>
  <c r="I415" i="24" a="1"/>
  <c r="I18" i="24" a="1"/>
  <c r="H134" i="24" a="1"/>
  <c r="I1284" i="24" a="1"/>
  <c r="M1413" i="24" a="1"/>
  <c r="I665" i="24" a="1"/>
  <c r="I386" i="24" a="1"/>
  <c r="H949" i="24" a="1"/>
  <c r="H165" i="24" a="1"/>
  <c r="M1651" i="24" a="1"/>
  <c r="B646" i="24" a="1"/>
  <c r="I517" i="24" a="1"/>
  <c r="B1601" i="24" a="1"/>
  <c r="B821" i="24" a="1"/>
  <c r="M1305" i="24" a="1"/>
  <c r="I320" i="24" a="1"/>
  <c r="B5" i="24" a="1"/>
  <c r="B1565" i="24" a="1"/>
  <c r="C778" i="24"/>
  <c r="I1667" i="24" a="1"/>
  <c r="H687" i="24" a="1"/>
  <c r="D1812" i="24" a="1"/>
  <c r="H1855" i="24" a="1"/>
  <c r="I1418" i="24" a="1"/>
  <c r="M1157" i="24" a="1"/>
  <c r="B434" i="24" a="1"/>
  <c r="D1872" i="24" a="1"/>
  <c r="I255" i="24" a="1"/>
  <c r="C459" i="24"/>
  <c r="B77" i="24" a="1"/>
  <c r="C45" i="24"/>
  <c r="H981" i="24" a="1"/>
  <c r="I227" i="24" a="1"/>
  <c r="D774" i="24" a="1"/>
  <c r="M773" i="24" a="1"/>
  <c r="B1435" i="24" a="1"/>
  <c r="D1242" i="24" a="1"/>
  <c r="C1100" i="24"/>
  <c r="C134" i="24"/>
  <c r="I1801" i="24" a="1"/>
  <c r="H1136" i="24" a="1"/>
  <c r="D230" i="24" a="1"/>
  <c r="B515" i="24" a="1"/>
  <c r="H982" i="24" a="1"/>
  <c r="C42" i="24"/>
  <c r="I1335" i="24" a="1"/>
  <c r="H25" i="24" a="1"/>
  <c r="I657" i="24" a="1"/>
  <c r="M848" i="24" a="1"/>
  <c r="H411" i="24" a="1"/>
  <c r="H319" i="24" a="1"/>
  <c r="D878" i="24" a="1"/>
  <c r="D306" i="24" a="1"/>
  <c r="H603" i="24" a="1"/>
  <c r="M1500" i="24" a="1"/>
  <c r="H138" i="24" a="1"/>
  <c r="D1848" i="24" a="1"/>
  <c r="C460" i="24"/>
  <c r="D394" i="24" a="1"/>
  <c r="H1284" i="24" a="1"/>
  <c r="I574" i="24" a="1"/>
  <c r="M609" i="24" a="1"/>
  <c r="C1335" i="24"/>
  <c r="C66" i="24"/>
  <c r="B206" i="24" a="1"/>
  <c r="I1675" i="24" a="1"/>
  <c r="M1160" i="24" a="1"/>
  <c r="B1364" i="24" a="1"/>
  <c r="C517" i="24"/>
  <c r="I128" i="24" a="1"/>
  <c r="I71" i="24" a="1"/>
  <c r="B1292" i="24" a="1"/>
  <c r="I586" i="24" a="1"/>
  <c r="C463" i="24"/>
  <c r="H738" i="24" a="1"/>
  <c r="H1235" i="24" a="1"/>
  <c r="D282" i="24" a="1"/>
  <c r="I1747" i="24" a="1"/>
  <c r="D1560" i="24" a="1"/>
  <c r="B874" i="24" a="1"/>
  <c r="D860" i="24" a="1"/>
  <c r="D378" i="24" a="1"/>
  <c r="C135" i="24"/>
  <c r="B624" i="24" a="1"/>
  <c r="H282" i="24" a="1"/>
  <c r="C1739" i="24"/>
  <c r="B1438" i="24" a="1"/>
  <c r="B1291" i="24" a="1"/>
  <c r="I280" i="24" a="1"/>
  <c r="I1242" i="24" a="1"/>
  <c r="I835" i="24" a="1"/>
  <c r="B323" i="24" a="1"/>
  <c r="B904" i="24" a="1"/>
  <c r="H707" i="24" a="1"/>
  <c r="B13" i="24" a="1"/>
  <c r="D1561" i="24" a="1"/>
  <c r="C86" i="24"/>
  <c r="M1478" i="24" a="1"/>
  <c r="I955" i="24" a="1"/>
  <c r="B1792" i="24" a="1"/>
  <c r="D1008" i="24" a="1"/>
  <c r="C1222" i="24"/>
  <c r="H1634" i="24" a="1"/>
  <c r="D932" i="24" a="1"/>
  <c r="B1588" i="24" a="1"/>
  <c r="B231" i="24" a="1"/>
  <c r="I1049" i="24" a="1"/>
  <c r="B1207" i="24" a="1"/>
  <c r="C979" i="24"/>
  <c r="D447" i="24" a="1"/>
  <c r="B481" i="24" a="1"/>
  <c r="H295" i="24" a="1"/>
  <c r="B114" i="24" a="1"/>
  <c r="B197" i="24" a="1"/>
  <c r="I805" i="24" a="1"/>
  <c r="I658" i="24" a="1"/>
  <c r="B384" i="24" a="1"/>
  <c r="I356" i="24" a="1"/>
  <c r="M37" i="24" a="1"/>
  <c r="B1457" i="24" a="1"/>
  <c r="I251" i="24" a="1"/>
  <c r="C1309" i="24"/>
  <c r="B891" i="24" a="1"/>
  <c r="I186" i="24" a="1"/>
  <c r="D518" i="24" a="1"/>
  <c r="H1155" i="24" a="1"/>
  <c r="B177" i="24" a="1"/>
  <c r="B636" i="24" a="1"/>
  <c r="H760" i="24" a="1"/>
  <c r="M292" i="24" a="1"/>
  <c r="I229" i="24" a="1"/>
  <c r="C1254" i="24"/>
  <c r="B965" i="24" a="1"/>
  <c r="B1380" i="24" a="1"/>
  <c r="M1658" i="24" a="1"/>
  <c r="B1605" i="24" a="1"/>
  <c r="M1454" i="24" a="1"/>
  <c r="D1077" i="24" a="1"/>
  <c r="C1015" i="24"/>
  <c r="C561" i="24"/>
  <c r="C1233" i="24"/>
  <c r="C733" i="24"/>
  <c r="I640" i="24" a="1"/>
  <c r="H1039" i="24" a="1"/>
  <c r="I535" i="24" a="1"/>
  <c r="I1651" i="24" a="1"/>
  <c r="I740" i="24" a="1"/>
  <c r="I765" i="24" a="1"/>
  <c r="H327" i="24" a="1"/>
  <c r="D1224" i="24" a="1"/>
  <c r="C467" i="24"/>
  <c r="M807" i="24" a="1"/>
  <c r="M735" i="24" a="1"/>
  <c r="H443" i="24" a="1"/>
  <c r="H443" i="24" l="1"/>
  <c r="M735" i="24"/>
  <c r="M807" i="24"/>
  <c r="D1224" i="24"/>
  <c r="H327" i="24"/>
  <c r="I765" i="24"/>
  <c r="I740" i="24"/>
  <c r="I1651" i="24"/>
  <c r="I535" i="24"/>
  <c r="H1039" i="24"/>
  <c r="I640" i="24"/>
  <c r="D1077" i="24"/>
  <c r="M1454" i="24"/>
  <c r="B1605" i="24"/>
  <c r="M1658" i="24"/>
  <c r="B1380" i="24"/>
  <c r="B965" i="24"/>
  <c r="I229" i="24"/>
  <c r="M292" i="24"/>
  <c r="H760" i="24"/>
  <c r="B636" i="24"/>
  <c r="B177" i="24"/>
  <c r="H1155" i="24"/>
  <c r="D518" i="24"/>
  <c r="I186" i="24"/>
  <c r="B891" i="24"/>
  <c r="I251" i="24"/>
  <c r="B1457" i="24"/>
  <c r="M37" i="24"/>
  <c r="I356" i="24"/>
  <c r="B384" i="24"/>
  <c r="I658" i="24"/>
  <c r="I805" i="24"/>
  <c r="B197" i="24"/>
  <c r="B114" i="24"/>
  <c r="H295" i="24"/>
  <c r="B481" i="24"/>
  <c r="D447" i="24"/>
  <c r="B1207" i="24"/>
  <c r="I1049" i="24"/>
  <c r="B231" i="24"/>
  <c r="B1588" i="24"/>
  <c r="D932" i="24"/>
  <c r="H1634" i="24"/>
  <c r="D1008" i="24"/>
  <c r="B1792" i="24"/>
  <c r="I955" i="24"/>
  <c r="M1478" i="24"/>
  <c r="D1561" i="24"/>
  <c r="B13" i="24"/>
  <c r="H707" i="24"/>
  <c r="B904" i="24"/>
  <c r="B323" i="24"/>
  <c r="I835" i="24"/>
  <c r="I1242" i="24"/>
  <c r="I280" i="24"/>
  <c r="B1291" i="24"/>
  <c r="B1438" i="24"/>
  <c r="H282" i="24"/>
  <c r="B624" i="24"/>
  <c r="D378" i="24"/>
  <c r="D860" i="24"/>
  <c r="B874" i="24"/>
  <c r="D1560" i="24"/>
  <c r="I1747" i="24"/>
  <c r="D282" i="24"/>
  <c r="H1235" i="24"/>
  <c r="H738" i="24"/>
  <c r="I586" i="24"/>
  <c r="B1292" i="24"/>
  <c r="I71" i="24"/>
  <c r="I128" i="24"/>
  <c r="B1364" i="24"/>
  <c r="M1160" i="24"/>
  <c r="I1675" i="24"/>
  <c r="B206" i="24"/>
  <c r="M609" i="24"/>
  <c r="I574" i="24"/>
  <c r="H1284" i="24"/>
  <c r="D394" i="24"/>
  <c r="D1848" i="24"/>
  <c r="H138" i="24"/>
  <c r="M1500" i="24"/>
  <c r="H603" i="24"/>
  <c r="D306" i="24"/>
  <c r="D878" i="24"/>
  <c r="H319" i="24"/>
  <c r="H411" i="24"/>
  <c r="M848" i="24"/>
  <c r="I657" i="24"/>
  <c r="H25" i="24"/>
  <c r="I1335" i="24"/>
  <c r="H982" i="24"/>
  <c r="B515" i="24"/>
  <c r="D230" i="24"/>
  <c r="H1136" i="24"/>
  <c r="I1801" i="24"/>
  <c r="D1242" i="24"/>
  <c r="B1435" i="24"/>
  <c r="M773" i="24"/>
  <c r="D774" i="24"/>
  <c r="I227" i="24"/>
  <c r="H981" i="24"/>
  <c r="B77" i="24"/>
  <c r="I255" i="24"/>
  <c r="D1872" i="24"/>
  <c r="B434" i="24"/>
  <c r="M1157" i="24"/>
  <c r="I1418" i="24"/>
  <c r="H1855" i="24"/>
  <c r="D1812" i="24"/>
  <c r="H687" i="24"/>
  <c r="I1667" i="24"/>
  <c r="B1565" i="24"/>
  <c r="B5" i="24"/>
  <c r="I320" i="24"/>
  <c r="M1305" i="24"/>
  <c r="B821" i="24"/>
  <c r="B1601" i="24"/>
  <c r="I517" i="24"/>
  <c r="B646" i="24"/>
  <c r="M1651" i="24"/>
  <c r="H165" i="24"/>
  <c r="H949" i="24"/>
  <c r="I386" i="24"/>
  <c r="I665" i="24"/>
  <c r="M1413" i="24"/>
  <c r="I1284" i="24"/>
  <c r="H134" i="24"/>
  <c r="I18" i="24"/>
  <c r="I415" i="24"/>
  <c r="D549" i="24"/>
  <c r="M89" i="24"/>
  <c r="D1206" i="24"/>
  <c r="D704" i="24"/>
  <c r="D45" i="24"/>
  <c r="B1003" i="24"/>
  <c r="H1349" i="24"/>
  <c r="I170" i="24"/>
  <c r="H1236" i="24"/>
  <c r="H1367" i="24"/>
  <c r="M1375" i="24"/>
  <c r="I1891" i="24"/>
  <c r="D328" i="24"/>
  <c r="I147" i="24"/>
  <c r="H1485" i="24"/>
  <c r="H263" i="24"/>
  <c r="D738" i="24"/>
  <c r="M1575" i="24"/>
  <c r="B1369" i="24"/>
  <c r="B926" i="24"/>
  <c r="B876" i="24"/>
  <c r="I1014" i="24"/>
  <c r="H1820" i="24"/>
  <c r="B433" i="24"/>
  <c r="I1223" i="24"/>
  <c r="D656" i="24"/>
  <c r="D1202" i="24"/>
  <c r="D59" i="24"/>
  <c r="H548" i="24"/>
  <c r="I1226" i="24"/>
  <c r="I382" i="24"/>
  <c r="D748" i="24"/>
  <c r="I1617" i="24"/>
  <c r="B1092" i="24"/>
  <c r="D278" i="24"/>
  <c r="H1327" i="24"/>
  <c r="H1575" i="24"/>
  <c r="B648" i="24"/>
  <c r="D203" i="24"/>
  <c r="I1060" i="24"/>
  <c r="B287" i="24"/>
  <c r="I1334" i="24"/>
  <c r="H1333" i="24"/>
  <c r="H856" i="24"/>
  <c r="I1327" i="24"/>
  <c r="B1078" i="24"/>
  <c r="B604" i="24"/>
  <c r="D1506" i="24"/>
  <c r="D436" i="24"/>
  <c r="B303" i="24"/>
  <c r="I1278" i="24"/>
  <c r="H458" i="24"/>
  <c r="B259" i="24"/>
  <c r="B34" i="24"/>
  <c r="H862" i="24"/>
  <c r="B1352" i="24"/>
  <c r="B1261" i="24"/>
  <c r="I1240" i="24"/>
  <c r="B1242" i="24"/>
  <c r="B1755" i="24"/>
  <c r="I1647" i="24"/>
  <c r="H1131" i="24"/>
  <c r="M825" i="24"/>
  <c r="M1656" i="24"/>
  <c r="D586" i="24"/>
  <c r="B1005" i="24"/>
  <c r="H1497" i="24"/>
  <c r="H321" i="24"/>
  <c r="H1241" i="24"/>
  <c r="I1875" i="24"/>
  <c r="I1159" i="24"/>
  <c r="I953" i="24"/>
  <c r="D577" i="24"/>
  <c r="H1623" i="24"/>
  <c r="B324" i="24"/>
  <c r="B1192" i="24"/>
  <c r="D523" i="24"/>
  <c r="M381" i="24"/>
  <c r="B1753" i="24"/>
  <c r="I1062" i="24"/>
  <c r="D541" i="24"/>
  <c r="B1576" i="24"/>
  <c r="D92" i="24"/>
  <c r="D671" i="24"/>
  <c r="D852" i="24"/>
  <c r="I956" i="24"/>
  <c r="B589" i="24"/>
  <c r="I1019" i="24"/>
  <c r="D291" i="24"/>
  <c r="D1308" i="24"/>
  <c r="B1773" i="24"/>
  <c r="H820" i="24"/>
  <c r="B1312" i="24"/>
  <c r="B1033" i="24"/>
  <c r="B1814" i="24"/>
  <c r="I1225" i="24"/>
  <c r="M1518" i="24"/>
  <c r="M1601" i="24"/>
  <c r="D771" i="24"/>
  <c r="H1094" i="24"/>
  <c r="B865" i="24"/>
  <c r="B1244" i="24"/>
  <c r="D1044" i="24"/>
  <c r="M1319" i="24"/>
  <c r="I1267" i="24"/>
  <c r="H873" i="24"/>
  <c r="I161" i="24"/>
  <c r="D431" i="24"/>
  <c r="B1788" i="24"/>
  <c r="D758" i="24"/>
  <c r="B571" i="24"/>
  <c r="D804" i="24"/>
  <c r="M1851" i="24"/>
  <c r="D822" i="24"/>
  <c r="I1263" i="24"/>
  <c r="I601" i="24"/>
  <c r="I605" i="24"/>
  <c r="D1386" i="24"/>
  <c r="B1756" i="24"/>
  <c r="B1020" i="24"/>
  <c r="I268" i="24"/>
  <c r="D1227" i="24"/>
  <c r="I653" i="24"/>
  <c r="B466" i="24"/>
  <c r="M204" i="24"/>
  <c r="I134" i="24"/>
  <c r="H650" i="24"/>
  <c r="D195" i="24"/>
  <c r="M952" i="24"/>
  <c r="B288" i="24"/>
  <c r="B918" i="24"/>
  <c r="D1023" i="24"/>
  <c r="H174" i="24"/>
  <c r="D920" i="24"/>
  <c r="I114" i="24"/>
  <c r="H875" i="24"/>
  <c r="M745" i="24"/>
  <c r="I915" i="24"/>
  <c r="I1635" i="24"/>
  <c r="I459" i="24"/>
  <c r="B375" i="24"/>
  <c r="B249" i="24"/>
  <c r="D75" i="24"/>
  <c r="I414" i="24"/>
  <c r="M646" i="24"/>
  <c r="B1592" i="24"/>
  <c r="I219" i="24"/>
  <c r="D1346" i="24"/>
  <c r="B818" i="24"/>
  <c r="D1013" i="24"/>
  <c r="B1505" i="24"/>
  <c r="I1387" i="24"/>
  <c r="B377" i="24"/>
  <c r="I907" i="24"/>
  <c r="B1470" i="24"/>
  <c r="I1842" i="24"/>
  <c r="B1695" i="24"/>
  <c r="H583" i="24"/>
  <c r="B1240" i="24"/>
  <c r="I400" i="24"/>
  <c r="H413" i="24"/>
  <c r="I84" i="24"/>
  <c r="I1234" i="24"/>
  <c r="B1475" i="24"/>
  <c r="I692" i="24"/>
  <c r="D840" i="24"/>
  <c r="B174" i="24"/>
  <c r="B1831" i="24"/>
  <c r="I815" i="24"/>
  <c r="I108" i="24"/>
  <c r="D198" i="24"/>
  <c r="I1173" i="24"/>
  <c r="B702" i="24"/>
  <c r="D271" i="24"/>
  <c r="D795" i="24"/>
  <c r="D201" i="24"/>
  <c r="B1398" i="24"/>
  <c r="B473" i="24"/>
  <c r="M74" i="24"/>
  <c r="D200" i="24"/>
  <c r="B524" i="24"/>
  <c r="H1061" i="24"/>
  <c r="B542" i="24"/>
  <c r="D1602" i="24"/>
  <c r="B1128" i="24"/>
  <c r="H835" i="24"/>
  <c r="I1166" i="24"/>
  <c r="H639" i="24"/>
  <c r="B186" i="24"/>
  <c r="B426" i="24"/>
  <c r="I80" i="24"/>
  <c r="H1501" i="24"/>
  <c r="I1259" i="24"/>
  <c r="I1516" i="24"/>
  <c r="I1499" i="24"/>
  <c r="H935" i="24"/>
  <c r="D1250" i="24"/>
  <c r="H621" i="24"/>
  <c r="I258" i="24"/>
  <c r="M531" i="24"/>
  <c r="H633" i="24"/>
  <c r="D51" i="24"/>
  <c r="B1810" i="24"/>
  <c r="I559" i="24"/>
  <c r="B504" i="24"/>
  <c r="D35" i="24"/>
  <c r="H1165" i="24"/>
  <c r="I1144" i="24"/>
  <c r="H1342" i="24"/>
  <c r="B680" i="24"/>
  <c r="D552" i="24"/>
  <c r="H911" i="24"/>
  <c r="I943" i="24"/>
  <c r="H767" i="24"/>
  <c r="H839" i="24"/>
  <c r="B1234" i="24"/>
  <c r="H515" i="24"/>
  <c r="B689" i="24"/>
  <c r="B623" i="24"/>
  <c r="B1783" i="24"/>
  <c r="B1161" i="24"/>
  <c r="H202" i="24"/>
  <c r="M1577" i="24"/>
  <c r="I331" i="24"/>
  <c r="M1902" i="24"/>
  <c r="I1543" i="24"/>
  <c r="B817" i="24"/>
  <c r="D563" i="24"/>
  <c r="H290" i="24"/>
  <c r="M1016" i="24"/>
  <c r="I5" i="24"/>
  <c r="D576" i="24"/>
  <c r="B358" i="24"/>
  <c r="B991" i="24"/>
  <c r="I183" i="24"/>
  <c r="I27" i="24"/>
  <c r="B1793" i="24"/>
  <c r="I1160" i="24"/>
  <c r="B892" i="24"/>
  <c r="I121" i="24"/>
  <c r="H339" i="24"/>
  <c r="M1435" i="24"/>
  <c r="D651" i="24"/>
  <c r="B154" i="24"/>
  <c r="M24" i="24"/>
  <c r="I316" i="24"/>
  <c r="B1581" i="24"/>
  <c r="M1540" i="24"/>
  <c r="B1870" i="24"/>
  <c r="H271" i="24"/>
  <c r="B577" i="24"/>
  <c r="H721" i="24"/>
  <c r="M332" i="24"/>
  <c r="H1521" i="24"/>
  <c r="B51" i="24"/>
  <c r="H1596" i="24"/>
  <c r="I549" i="24"/>
  <c r="H575" i="24"/>
  <c r="D364" i="24"/>
  <c r="I1509" i="24"/>
  <c r="H1206" i="24"/>
  <c r="D1043" i="24"/>
  <c r="M1649" i="24"/>
  <c r="I1431" i="24"/>
  <c r="I660" i="24"/>
  <c r="I1573" i="24"/>
  <c r="I431" i="24"/>
  <c r="H43" i="24"/>
  <c r="I993" i="24"/>
  <c r="B656" i="24"/>
  <c r="I1213" i="24"/>
  <c r="H1803" i="24"/>
  <c r="B1585" i="24"/>
  <c r="H49" i="24"/>
  <c r="M1341" i="24"/>
  <c r="M1064" i="24"/>
  <c r="M1545" i="24"/>
  <c r="I1328" i="24"/>
  <c r="M1452" i="24"/>
  <c r="M1565" i="24"/>
  <c r="B958" i="24"/>
  <c r="H390" i="24"/>
  <c r="B1115" i="24"/>
  <c r="D83" i="24"/>
  <c r="B52" i="24"/>
  <c r="H1310" i="24"/>
  <c r="B569" i="24"/>
  <c r="B1629" i="24"/>
  <c r="H686" i="24"/>
  <c r="B1301" i="24"/>
  <c r="I82" i="24"/>
  <c r="B1044" i="24"/>
  <c r="D133" i="24"/>
  <c r="I1026" i="24"/>
  <c r="D873" i="24"/>
  <c r="B463" i="24"/>
  <c r="B1548" i="24"/>
  <c r="B1386" i="24"/>
  <c r="I1134" i="24"/>
  <c r="I390" i="24"/>
  <c r="B213" i="24"/>
  <c r="D831" i="24"/>
  <c r="H1191" i="24"/>
  <c r="I1465" i="24"/>
  <c r="H883" i="24"/>
  <c r="B484" i="24"/>
  <c r="I1763" i="24"/>
  <c r="M3" i="24"/>
  <c r="I60" i="24"/>
  <c r="I787" i="24"/>
  <c r="D1306" i="24"/>
  <c r="B192" i="24"/>
  <c r="I224" i="24"/>
  <c r="H1841" i="24"/>
  <c r="H1776" i="24"/>
  <c r="H170" i="24"/>
  <c r="I299" i="24"/>
  <c r="M993" i="24"/>
  <c r="I348" i="24"/>
  <c r="D135" i="24"/>
  <c r="B906" i="24"/>
  <c r="D969" i="24"/>
  <c r="M114" i="24"/>
  <c r="B983" i="24"/>
  <c r="H1811" i="24"/>
  <c r="I443" i="24"/>
  <c r="I1304" i="24"/>
  <c r="I882" i="24"/>
  <c r="M768" i="24"/>
  <c r="D18" i="24"/>
  <c r="D1083" i="24"/>
  <c r="D1858" i="24"/>
  <c r="B608" i="24"/>
  <c r="B877" i="24"/>
  <c r="M1436" i="24"/>
  <c r="B207" i="24"/>
  <c r="H1861" i="24"/>
  <c r="D1056" i="24"/>
  <c r="D454" i="24"/>
  <c r="M586" i="24"/>
  <c r="B936" i="24"/>
  <c r="H24" i="24"/>
  <c r="H996" i="24"/>
  <c r="D244" i="24"/>
  <c r="H229" i="24"/>
  <c r="I236" i="24"/>
  <c r="D145" i="24"/>
  <c r="M148" i="24"/>
  <c r="H384" i="24"/>
  <c r="B1341" i="24"/>
  <c r="B815" i="24"/>
  <c r="B173" i="24"/>
  <c r="B55" i="24"/>
  <c r="B652" i="24"/>
  <c r="B1014" i="24"/>
  <c r="B455" i="24"/>
  <c r="M1523" i="24"/>
  <c r="D93" i="24"/>
  <c r="H1528" i="24"/>
  <c r="I537" i="24"/>
  <c r="H88" i="24"/>
  <c r="D432" i="24"/>
  <c r="B667" i="24"/>
  <c r="B460" i="24"/>
  <c r="D545" i="24"/>
  <c r="B435" i="24"/>
  <c r="B308" i="24"/>
  <c r="D635" i="24"/>
  <c r="I91" i="24"/>
  <c r="B673" i="24"/>
  <c r="M115" i="24"/>
  <c r="H1077" i="24"/>
  <c r="M1323" i="24"/>
  <c r="I1118" i="24"/>
  <c r="D426" i="24"/>
  <c r="B1555" i="24"/>
  <c r="H1621" i="24"/>
  <c r="B561" i="24"/>
  <c r="D446" i="24"/>
  <c r="B429" i="24"/>
  <c r="B1257" i="24"/>
  <c r="H1126" i="24"/>
  <c r="B754" i="24"/>
  <c r="D505" i="24"/>
  <c r="I1243" i="24"/>
  <c r="D833" i="24"/>
  <c r="I398" i="24"/>
  <c r="B176" i="24"/>
  <c r="D245" i="24"/>
  <c r="M1455" i="24"/>
  <c r="B1599" i="24"/>
  <c r="M302" i="24"/>
  <c r="H1813" i="24"/>
  <c r="B238" i="24"/>
  <c r="B1432" i="24"/>
  <c r="B1545" i="24"/>
  <c r="B379" i="24"/>
  <c r="M182" i="24"/>
  <c r="M1333" i="24"/>
  <c r="D869" i="24"/>
  <c r="D871" i="24"/>
  <c r="D136" i="24"/>
  <c r="M281" i="24"/>
  <c r="I1510" i="24"/>
  <c r="H1188" i="24"/>
  <c r="B890" i="24"/>
  <c r="I155" i="24"/>
  <c r="D687" i="24"/>
  <c r="M66" i="24"/>
  <c r="I1083" i="24"/>
  <c r="B1069" i="24"/>
  <c r="B528" i="24"/>
  <c r="D1878" i="24"/>
  <c r="H1842" i="24"/>
  <c r="M783" i="24"/>
  <c r="M1432" i="24"/>
  <c r="B188" i="24"/>
  <c r="D486" i="24"/>
  <c r="D659" i="24"/>
  <c r="B1490" i="24"/>
  <c r="H1038" i="24"/>
  <c r="H218" i="24"/>
  <c r="B159" i="24"/>
  <c r="H1105" i="24"/>
  <c r="H1048" i="24"/>
  <c r="D688" i="24"/>
  <c r="D1167" i="24"/>
  <c r="D213" i="24"/>
  <c r="D449" i="24"/>
  <c r="I1289" i="24"/>
  <c r="D666" i="24"/>
  <c r="H1090" i="24"/>
  <c r="I631" i="24"/>
  <c r="D1638" i="24"/>
  <c r="H1132" i="24"/>
  <c r="H1537" i="24"/>
  <c r="D408" i="24"/>
  <c r="B1025" i="24"/>
  <c r="M1402" i="24"/>
  <c r="M279" i="24"/>
  <c r="H712" i="24"/>
  <c r="H1674" i="24"/>
  <c r="D1704" i="24"/>
  <c r="H591" i="24"/>
  <c r="D812" i="24"/>
  <c r="B475" i="24"/>
  <c r="D166" i="24"/>
  <c r="H711" i="24"/>
  <c r="H395" i="24"/>
  <c r="I946" i="24"/>
  <c r="B255" i="24"/>
  <c r="B271" i="24"/>
  <c r="B1446" i="24"/>
  <c r="D1122" i="24"/>
  <c r="I384" i="24"/>
  <c r="I1847" i="24"/>
  <c r="B800" i="24"/>
  <c r="M1026" i="24"/>
  <c r="D1419" i="24"/>
  <c r="H87" i="24"/>
  <c r="B901" i="24"/>
  <c r="D68" i="24"/>
  <c r="I719" i="24"/>
  <c r="I231" i="24"/>
  <c r="I777" i="24"/>
  <c r="I245" i="24"/>
  <c r="H1037" i="24"/>
  <c r="I1856" i="24"/>
  <c r="I531" i="24"/>
  <c r="I194" i="24"/>
  <c r="B1345" i="24"/>
  <c r="D1273" i="24"/>
  <c r="I716" i="24"/>
  <c r="D787" i="24"/>
  <c r="I510" i="24"/>
  <c r="B495" i="24"/>
  <c r="B1645" i="24"/>
  <c r="D951" i="24"/>
  <c r="M1502" i="24"/>
  <c r="D481" i="24"/>
  <c r="D524" i="24"/>
  <c r="D646" i="24"/>
  <c r="D559" i="24"/>
  <c r="H910" i="24"/>
  <c r="B1058" i="24"/>
  <c r="I1176" i="24"/>
  <c r="D1169" i="24"/>
  <c r="B506" i="24"/>
  <c r="I346" i="24"/>
  <c r="B793" i="24"/>
  <c r="H625" i="24"/>
  <c r="D1545" i="24"/>
  <c r="H216" i="24"/>
  <c r="H1894" i="24"/>
  <c r="H187" i="24"/>
  <c r="I1819" i="24"/>
  <c r="H1226" i="24"/>
  <c r="M648" i="24"/>
  <c r="H265" i="24"/>
  <c r="D1055" i="24"/>
  <c r="D924" i="24"/>
  <c r="B846" i="24"/>
  <c r="D597" i="24"/>
  <c r="H1645" i="24"/>
  <c r="D702" i="24"/>
  <c r="H1199" i="24"/>
  <c r="D719" i="24"/>
  <c r="H778" i="24"/>
  <c r="I86" i="24"/>
  <c r="B399" i="24"/>
  <c r="D28" i="24"/>
  <c r="I55" i="24"/>
  <c r="I96" i="24"/>
  <c r="M241" i="24"/>
  <c r="D1182" i="24"/>
  <c r="I307" i="24"/>
  <c r="D1343" i="24"/>
  <c r="H898" i="24"/>
  <c r="I428" i="24"/>
  <c r="B879" i="24"/>
  <c r="M1514" i="24"/>
  <c r="I34" i="24"/>
  <c r="M1465" i="24"/>
  <c r="H92" i="24"/>
  <c r="D105" i="24"/>
  <c r="I1345" i="24"/>
  <c r="B1175" i="24"/>
  <c r="I1238" i="24"/>
  <c r="D1136" i="24"/>
  <c r="M1050" i="24"/>
  <c r="I481" i="24"/>
  <c r="M1365" i="24"/>
  <c r="H636" i="24"/>
  <c r="B1658" i="24"/>
  <c r="B490" i="24"/>
  <c r="I94" i="24"/>
  <c r="I419" i="24"/>
  <c r="M744" i="24"/>
  <c r="H386" i="24"/>
  <c r="B1367" i="24"/>
  <c r="I1639" i="24"/>
  <c r="D534" i="24"/>
  <c r="H1678" i="24"/>
  <c r="D252" i="24"/>
  <c r="H1718" i="24"/>
  <c r="I488" i="24"/>
  <c r="I937" i="24"/>
  <c r="B642" i="24"/>
  <c r="B1823" i="24"/>
  <c r="H1405" i="24"/>
  <c r="H129" i="24"/>
  <c r="I1754" i="24"/>
  <c r="I747" i="24"/>
  <c r="M1541" i="24"/>
  <c r="I1149" i="24"/>
  <c r="D1062" i="24"/>
  <c r="I1158" i="24"/>
  <c r="D162" i="24"/>
  <c r="D1333" i="24"/>
  <c r="D1217" i="24"/>
  <c r="M383" i="24"/>
  <c r="D1699" i="24"/>
  <c r="B1626" i="24"/>
  <c r="B1230" i="24"/>
  <c r="I282" i="24"/>
  <c r="I1806" i="24"/>
  <c r="D1213" i="24"/>
  <c r="D1084" i="24"/>
  <c r="B1638" i="24"/>
  <c r="B746" i="24"/>
  <c r="I1139" i="24"/>
  <c r="M28" i="24"/>
  <c r="I702" i="24"/>
  <c r="B1478" i="24"/>
  <c r="D945" i="24"/>
  <c r="I195" i="24"/>
  <c r="H1117" i="24"/>
  <c r="I642" i="24"/>
  <c r="H151" i="24"/>
  <c r="B862" i="24"/>
  <c r="B882" i="24"/>
  <c r="I1220" i="24"/>
  <c r="H2" i="24"/>
  <c r="B70" i="24"/>
  <c r="M1626" i="24"/>
  <c r="B1045" i="24"/>
  <c r="M1546" i="24"/>
  <c r="I87" i="24"/>
  <c r="H343" i="24"/>
  <c r="B1650" i="24"/>
  <c r="D572" i="24"/>
  <c r="B320" i="24"/>
  <c r="B742" i="24"/>
  <c r="H610" i="24"/>
  <c r="D1644" i="24"/>
  <c r="H697" i="24"/>
  <c r="I784" i="24"/>
  <c r="I1043" i="24"/>
  <c r="H1003" i="24"/>
  <c r="D696" i="24"/>
  <c r="H380" i="24"/>
  <c r="I2" i="24"/>
  <c r="H493" i="24"/>
  <c r="B768" i="24"/>
  <c r="I933" i="24"/>
  <c r="B1899" i="24"/>
  <c r="B312" i="24"/>
  <c r="D1293" i="24"/>
  <c r="B179" i="24"/>
  <c r="I798" i="24"/>
  <c r="H497" i="24"/>
  <c r="H527" i="24"/>
  <c r="I1799" i="24"/>
  <c r="H917" i="24"/>
  <c r="I190" i="24"/>
  <c r="D117" i="24"/>
  <c r="M25" i="24"/>
  <c r="M179" i="24"/>
  <c r="I1113" i="24"/>
  <c r="B512" i="24"/>
  <c r="D1851" i="24"/>
  <c r="D1303" i="24"/>
  <c r="B1564" i="24"/>
  <c r="M160" i="24"/>
  <c r="B1268" i="24"/>
  <c r="D1465" i="24"/>
  <c r="M462" i="24"/>
  <c r="D1729" i="24"/>
  <c r="B743" i="24"/>
  <c r="D1905" i="24"/>
  <c r="D395" i="24"/>
  <c r="H125" i="24"/>
  <c r="I283" i="24"/>
  <c r="B343" i="24"/>
  <c r="B1643" i="24"/>
  <c r="D60" i="24"/>
  <c r="B50" i="24"/>
  <c r="D724" i="24"/>
  <c r="B584" i="24"/>
  <c r="B269" i="24"/>
  <c r="D718" i="24"/>
  <c r="B1340" i="24"/>
  <c r="H1443" i="24"/>
  <c r="D1501" i="24"/>
  <c r="I1470" i="24"/>
  <c r="B319" i="24"/>
  <c r="M747" i="24"/>
  <c r="M945" i="24"/>
  <c r="M1856" i="24"/>
  <c r="I389" i="24"/>
  <c r="I58" i="24"/>
  <c r="I1146" i="24"/>
  <c r="B392" i="24"/>
  <c r="B1355" i="24"/>
  <c r="B558" i="24"/>
  <c r="B910" i="24"/>
  <c r="I473" i="24"/>
  <c r="D1361" i="24"/>
  <c r="M1566" i="24"/>
  <c r="D184" i="24"/>
  <c r="B1080" i="24"/>
  <c r="H260" i="24"/>
  <c r="M335" i="24"/>
  <c r="B1225" i="24"/>
  <c r="B1117" i="24"/>
  <c r="I1071" i="24"/>
  <c r="B670" i="24"/>
  <c r="H1087" i="24"/>
  <c r="H1673" i="24"/>
  <c r="D1724" i="24"/>
  <c r="H623" i="24"/>
  <c r="B908" i="24"/>
  <c r="D548" i="24"/>
  <c r="I1887" i="24"/>
  <c r="H142" i="24"/>
  <c r="H811" i="24"/>
  <c r="H480" i="24"/>
  <c r="B773" i="24"/>
  <c r="I1414" i="24"/>
  <c r="D1678" i="24"/>
  <c r="D1816" i="24"/>
  <c r="I1460" i="24"/>
  <c r="B970" i="24"/>
  <c r="I1027" i="24"/>
  <c r="D1033" i="24"/>
  <c r="I1459" i="24"/>
  <c r="B1534" i="24"/>
  <c r="I1338" i="24"/>
  <c r="M584" i="24"/>
  <c r="B550" i="24"/>
  <c r="M1564" i="24"/>
  <c r="D537" i="24"/>
  <c r="D255" i="24"/>
  <c r="D169" i="24"/>
  <c r="H1148" i="24"/>
  <c r="B651" i="24"/>
  <c r="I1403" i="24"/>
  <c r="B952" i="24"/>
  <c r="M782" i="24"/>
  <c r="B193" i="24"/>
  <c r="D1075" i="24"/>
  <c r="I175" i="24"/>
  <c r="H669" i="24"/>
  <c r="B1095" i="24"/>
  <c r="B1099" i="24"/>
  <c r="D122" i="24"/>
  <c r="M1041" i="24"/>
  <c r="B880" i="24"/>
  <c r="I125" i="24"/>
  <c r="H312" i="24"/>
  <c r="B107" i="24"/>
  <c r="B1891" i="24"/>
  <c r="D1278" i="24"/>
  <c r="D725" i="24"/>
  <c r="D456" i="24"/>
  <c r="I1505" i="24"/>
  <c r="H409" i="24"/>
  <c r="D1117" i="24"/>
  <c r="D89" i="24"/>
  <c r="I999" i="24"/>
  <c r="D1196" i="24"/>
  <c r="B1646" i="24"/>
  <c r="B792" i="24"/>
  <c r="B1210" i="24"/>
  <c r="H959" i="24"/>
  <c r="H171" i="24"/>
  <c r="B1876" i="24"/>
  <c r="I901" i="24"/>
  <c r="M863" i="24"/>
  <c r="I989" i="24"/>
  <c r="B714" i="24"/>
  <c r="I1016" i="24"/>
  <c r="B654" i="24"/>
  <c r="I1784" i="24"/>
  <c r="I1021" i="24"/>
  <c r="I407" i="24"/>
  <c r="I1859" i="24"/>
  <c r="B63" i="24"/>
  <c r="I903" i="24"/>
  <c r="D137" i="24"/>
  <c r="D405" i="24"/>
  <c r="D1149" i="24"/>
  <c r="B1221" i="24"/>
  <c r="D1051" i="24"/>
  <c r="H303" i="24"/>
  <c r="I81" i="24"/>
  <c r="M1359" i="24"/>
  <c r="I1063" i="24"/>
  <c r="D611" i="24"/>
  <c r="M982" i="24"/>
  <c r="B1059" i="24"/>
  <c r="H1325" i="24"/>
  <c r="B1868" i="24"/>
  <c r="B113" i="24"/>
  <c r="B824" i="24"/>
  <c r="B1123" i="24"/>
  <c r="B1050" i="24"/>
  <c r="I1294" i="24"/>
  <c r="D1779" i="24"/>
  <c r="M1070" i="24"/>
  <c r="H857" i="24"/>
  <c r="B741" i="24"/>
  <c r="I1024" i="24"/>
  <c r="H1174" i="24"/>
  <c r="I396" i="24"/>
  <c r="B553" i="24"/>
  <c r="B172" i="24"/>
  <c r="I1718" i="24"/>
  <c r="D465" i="24"/>
  <c r="H1368" i="24"/>
  <c r="H1420" i="24"/>
  <c r="H18" i="24"/>
  <c r="I89" i="24"/>
  <c r="B318" i="24"/>
  <c r="I11" i="24"/>
  <c r="B626" i="24"/>
  <c r="H934" i="24"/>
  <c r="M384" i="24"/>
  <c r="M1405" i="24"/>
  <c r="H1046" i="24"/>
  <c r="D737" i="24"/>
  <c r="B277" i="24"/>
  <c r="H1358" i="24"/>
  <c r="D365" i="24"/>
  <c r="M973" i="24"/>
  <c r="M1117" i="24"/>
  <c r="D621" i="24"/>
  <c r="B811" i="24"/>
  <c r="D832" i="24"/>
  <c r="H1301" i="24"/>
  <c r="I1066" i="24"/>
  <c r="M1492" i="24"/>
  <c r="M1193" i="24"/>
  <c r="D970" i="24"/>
  <c r="I1413" i="24"/>
  <c r="H427" i="24"/>
  <c r="I533" i="24"/>
  <c r="D742" i="24"/>
  <c r="H1693" i="24"/>
  <c r="H108" i="24"/>
  <c r="I152" i="24"/>
  <c r="B1600" i="24"/>
  <c r="I511" i="24"/>
  <c r="D482" i="24"/>
  <c r="M741" i="24"/>
  <c r="I156" i="24"/>
  <c r="H58" i="24"/>
  <c r="D1322" i="24"/>
  <c r="D292" i="24"/>
  <c r="I10" i="24"/>
  <c r="D17" i="24"/>
  <c r="I1870" i="24"/>
  <c r="I1295" i="24"/>
  <c r="I1106" i="24"/>
  <c r="I133" i="24"/>
  <c r="M105" i="24"/>
  <c r="D2" i="24"/>
  <c r="H1100" i="24"/>
  <c r="D826" i="24"/>
  <c r="B1528" i="24"/>
  <c r="H1594" i="24"/>
  <c r="H772" i="24"/>
  <c r="D111" i="24"/>
  <c r="D448" i="24"/>
  <c r="M1158" i="24"/>
  <c r="H1392" i="24"/>
  <c r="B90" i="24"/>
  <c r="D1345" i="24"/>
  <c r="I741" i="24"/>
  <c r="D772" i="24"/>
  <c r="B282" i="24"/>
  <c r="D5" i="24"/>
  <c r="H830" i="24"/>
  <c r="B1365" i="24"/>
  <c r="M1289" i="24"/>
  <c r="H77" i="24"/>
  <c r="B1906" i="24"/>
  <c r="D884" i="24"/>
  <c r="D1767" i="24"/>
  <c r="H1242" i="24"/>
  <c r="I45" i="24"/>
  <c r="D1054" i="24"/>
  <c r="I985" i="24"/>
  <c r="D708" i="24"/>
  <c r="H1466" i="24"/>
  <c r="B123" i="24"/>
  <c r="D806" i="24"/>
  <c r="I1059" i="24"/>
  <c r="H941" i="24"/>
  <c r="H852" i="24"/>
  <c r="B457" i="24"/>
  <c r="I1186" i="24"/>
  <c r="M389" i="24"/>
  <c r="D763" i="24"/>
  <c r="H1295" i="24"/>
  <c r="H1375" i="24"/>
  <c r="M433" i="24"/>
  <c r="B776" i="24"/>
  <c r="I1080" i="24"/>
  <c r="H109" i="24"/>
  <c r="H1285" i="24"/>
  <c r="D1173" i="24"/>
  <c r="D964" i="24"/>
  <c r="H417" i="24"/>
  <c r="B351" i="24"/>
  <c r="I442" i="24"/>
  <c r="D229" i="24"/>
  <c r="M1433" i="24"/>
  <c r="B201" i="24"/>
  <c r="D1778" i="24"/>
  <c r="H849" i="24"/>
  <c r="H699" i="24"/>
  <c r="D339" i="24"/>
  <c r="H815" i="24"/>
  <c r="D214" i="24"/>
  <c r="M794" i="24"/>
  <c r="B196" i="24"/>
  <c r="I838" i="24"/>
  <c r="D730" i="24"/>
  <c r="B610" i="24"/>
  <c r="M950" i="24"/>
  <c r="I73" i="24"/>
  <c r="D1662" i="24"/>
  <c r="I162" i="24"/>
  <c r="M869" i="24"/>
  <c r="I1229" i="24"/>
  <c r="B595" i="24"/>
  <c r="H1553" i="24"/>
  <c r="M1011" i="24"/>
  <c r="B142" i="24"/>
  <c r="I399" i="24"/>
  <c r="B1337" i="24"/>
  <c r="M1513" i="24"/>
  <c r="M873" i="24"/>
  <c r="B1797" i="24"/>
  <c r="B112" i="24"/>
  <c r="H1428" i="24"/>
  <c r="I205" i="24"/>
  <c r="D1037" i="24"/>
  <c r="M1282" i="24"/>
  <c r="H827" i="24"/>
  <c r="H116" i="24"/>
  <c r="H695" i="24"/>
  <c r="M1558" i="24"/>
  <c r="H692" i="24"/>
  <c r="H1790" i="24"/>
  <c r="D885" i="24"/>
  <c r="M859" i="24"/>
  <c r="B1399" i="24"/>
  <c r="I180" i="24"/>
  <c r="D879" i="24"/>
  <c r="D1339" i="24"/>
  <c r="B873" i="24"/>
  <c r="D7" i="24"/>
  <c r="M1534" i="24"/>
  <c r="I797" i="24"/>
  <c r="M1027" i="24"/>
  <c r="H539" i="24"/>
  <c r="H590" i="24"/>
  <c r="H431" i="24"/>
  <c r="H678" i="24"/>
  <c r="I1613" i="24"/>
  <c r="D16" i="24"/>
  <c r="B281" i="24"/>
  <c r="B518" i="24"/>
  <c r="D189" i="24"/>
  <c r="B810" i="24"/>
  <c r="M1271" i="24"/>
  <c r="D57" i="24"/>
  <c r="D357" i="24"/>
  <c r="I1349" i="24"/>
  <c r="H498" i="24"/>
  <c r="B419" i="24"/>
  <c r="I1728" i="24"/>
  <c r="I1697" i="24"/>
  <c r="D698" i="24"/>
  <c r="H1895" i="24"/>
  <c r="I927" i="24"/>
  <c r="D1811" i="24"/>
  <c r="H102" i="24"/>
  <c r="H162" i="24"/>
  <c r="B806" i="24"/>
  <c r="H889" i="24"/>
  <c r="I1044" i="24"/>
  <c r="D934" i="24"/>
  <c r="H1847" i="24"/>
  <c r="H1792" i="24"/>
  <c r="D1208" i="24"/>
  <c r="M970" i="24"/>
  <c r="D773" i="24"/>
  <c r="D875" i="24"/>
  <c r="M754" i="24"/>
  <c r="I900" i="24"/>
  <c r="M1229" i="24"/>
  <c r="D925" i="24"/>
  <c r="B519" i="24"/>
  <c r="D520" i="24"/>
  <c r="I898" i="24"/>
  <c r="I471" i="24"/>
  <c r="H759" i="24"/>
  <c r="H46" i="24"/>
  <c r="H1113" i="24"/>
  <c r="H225" i="24"/>
  <c r="I498" i="24"/>
  <c r="H1363" i="24"/>
  <c r="I753" i="24"/>
  <c r="D850" i="24"/>
  <c r="I1316" i="24"/>
  <c r="B1759" i="24"/>
  <c r="H1545" i="24"/>
  <c r="M1493" i="24"/>
  <c r="B850" i="24"/>
  <c r="I1361" i="24"/>
  <c r="B622" i="24"/>
  <c r="D1454" i="24"/>
  <c r="B1574" i="24"/>
  <c r="M697" i="24"/>
  <c r="H456" i="24"/>
  <c r="I1898" i="24"/>
  <c r="D78" i="24"/>
  <c r="M2" i="24"/>
  <c r="B168" i="24"/>
  <c r="H268" i="24"/>
  <c r="B364" i="24"/>
  <c r="M1141" i="24"/>
  <c r="I816" i="24"/>
  <c r="H961" i="24"/>
  <c r="I1779" i="24"/>
  <c r="I617" i="24"/>
  <c r="H140" i="24"/>
  <c r="M1516" i="24"/>
  <c r="I1114" i="24"/>
  <c r="H750" i="24"/>
  <c r="B210" i="24"/>
  <c r="D745" i="24"/>
  <c r="B500" i="24"/>
  <c r="B99" i="24"/>
  <c r="H676" i="24"/>
  <c r="D749" i="24"/>
  <c r="M1571" i="24"/>
  <c r="M6" i="24"/>
  <c r="I905" i="24"/>
  <c r="I763" i="24"/>
  <c r="B1326" i="24"/>
  <c r="B693" i="24"/>
  <c r="I1269" i="24"/>
  <c r="D663" i="24"/>
  <c r="D557" i="24"/>
  <c r="B1578" i="24"/>
  <c r="I1036" i="24"/>
  <c r="M19" i="24"/>
  <c r="B923" i="24"/>
  <c r="I1546" i="24"/>
  <c r="B1269" i="24"/>
  <c r="I1523" i="24"/>
  <c r="B531" i="24"/>
  <c r="I1170" i="24"/>
  <c r="B945" i="24"/>
  <c r="I580" i="24"/>
  <c r="D125" i="24"/>
  <c r="H970" i="24"/>
  <c r="D1321" i="24"/>
  <c r="M205" i="24"/>
  <c r="D1625" i="24"/>
  <c r="I198" i="24"/>
  <c r="H1068" i="24"/>
  <c r="D1274" i="24"/>
  <c r="B902" i="24"/>
  <c r="I424" i="24"/>
  <c r="B483" i="24"/>
  <c r="B1817" i="24"/>
  <c r="I1296" i="24"/>
  <c r="H180" i="24"/>
  <c r="H1337" i="24"/>
  <c r="B1320" i="24"/>
  <c r="H937" i="24"/>
  <c r="H627" i="24"/>
  <c r="H1898" i="24"/>
  <c r="B1383" i="24"/>
  <c r="B724" i="24"/>
  <c r="D562" i="24"/>
  <c r="D1170" i="24"/>
  <c r="B643" i="24"/>
  <c r="D147" i="24"/>
  <c r="M1374" i="24"/>
  <c r="H1415" i="24"/>
  <c r="I1122" i="24"/>
  <c r="H630" i="24"/>
  <c r="B348" i="24"/>
  <c r="H725" i="24"/>
  <c r="I358" i="24"/>
  <c r="B929" i="24"/>
  <c r="H800" i="24"/>
  <c r="H269" i="24"/>
  <c r="B59" i="24"/>
  <c r="H1025" i="24"/>
  <c r="M778" i="24"/>
  <c r="M1602" i="24"/>
  <c r="I3" i="24"/>
  <c r="B672" i="24"/>
  <c r="B653" i="24"/>
  <c r="H1468" i="24"/>
  <c r="M31" i="24"/>
  <c r="H277" i="24"/>
  <c r="B1746" i="24"/>
  <c r="H1801" i="24"/>
  <c r="D1080" i="24"/>
  <c r="M1164" i="24"/>
  <c r="B316" i="24"/>
  <c r="H1234" i="24"/>
  <c r="H1652" i="24"/>
  <c r="D1469" i="24"/>
  <c r="I853" i="24"/>
  <c r="B331" i="24"/>
  <c r="H244" i="24"/>
  <c r="D608" i="24"/>
  <c r="B361" i="24"/>
  <c r="M594" i="24"/>
  <c r="M1585" i="24"/>
  <c r="M166" i="24"/>
  <c r="B576" i="24"/>
  <c r="H1509" i="24"/>
  <c r="M400" i="24"/>
  <c r="I7" i="24"/>
  <c r="I1829" i="24"/>
  <c r="M319" i="24"/>
  <c r="D367" i="24"/>
  <c r="M1468" i="24"/>
  <c r="B1624" i="24"/>
  <c r="D503" i="24"/>
  <c r="D114" i="24"/>
  <c r="I1228" i="24"/>
  <c r="I413" i="24"/>
  <c r="I1302" i="24"/>
  <c r="D997" i="24"/>
  <c r="H496" i="24"/>
  <c r="H1271" i="24"/>
  <c r="B820" i="24"/>
  <c r="B300" i="24"/>
  <c r="D100" i="24"/>
  <c r="D861" i="24"/>
  <c r="H878" i="24"/>
  <c r="D614" i="24"/>
  <c r="I967" i="24"/>
  <c r="M1308" i="24"/>
  <c r="D765" i="24"/>
  <c r="B1065" i="24"/>
  <c r="B1249" i="24"/>
  <c r="B461" i="24"/>
  <c r="I862" i="24"/>
  <c r="D511" i="24"/>
  <c r="H895" i="24"/>
  <c r="B1006" i="24"/>
  <c r="H256" i="24"/>
  <c r="H552" i="24"/>
  <c r="D194" i="24"/>
  <c r="B859" i="24"/>
  <c r="I735" i="24"/>
  <c r="D1818" i="24"/>
  <c r="D1115" i="24"/>
  <c r="I171" i="24"/>
  <c r="I556" i="24"/>
  <c r="D1730" i="24"/>
  <c r="I558" i="24"/>
  <c r="B1726" i="24"/>
  <c r="I234" i="24"/>
  <c r="D906" i="24"/>
  <c r="B230" i="24"/>
  <c r="B135" i="24"/>
  <c r="I248" i="24"/>
  <c r="H1479" i="24"/>
  <c r="D798" i="24"/>
  <c r="D403" i="24"/>
  <c r="B1743" i="24"/>
  <c r="M224" i="24"/>
  <c r="B1251" i="24"/>
  <c r="B629" i="24"/>
  <c r="I687" i="24"/>
  <c r="B81" i="24"/>
  <c r="D913" i="24"/>
  <c r="M882" i="24"/>
  <c r="D853" i="24"/>
  <c r="B836" i="24"/>
  <c r="H1626" i="24"/>
  <c r="D90" i="24"/>
  <c r="B1379" i="24"/>
  <c r="I115" i="24"/>
  <c r="H1808" i="24"/>
  <c r="D1416" i="24"/>
  <c r="H986" i="24"/>
  <c r="H254" i="24"/>
  <c r="D565" i="24"/>
  <c r="D131" i="24"/>
  <c r="M718" i="24"/>
  <c r="B998" i="24"/>
  <c r="I1405" i="24"/>
  <c r="B1102" i="24"/>
  <c r="B1012" i="24"/>
  <c r="D1513" i="24"/>
  <c r="D33" i="24"/>
  <c r="H61" i="24"/>
  <c r="B1575" i="24"/>
  <c r="I1000" i="24"/>
  <c r="I1067" i="24"/>
  <c r="B80" i="24"/>
  <c r="D1404" i="24"/>
  <c r="D1140" i="24"/>
  <c r="I214" i="24"/>
  <c r="D86" i="24"/>
  <c r="D1032" i="24"/>
  <c r="B310" i="24"/>
  <c r="I948" i="24"/>
  <c r="D912" i="24"/>
  <c r="D1711" i="24"/>
  <c r="H130" i="24"/>
  <c r="I1752" i="24"/>
  <c r="B57" i="24"/>
  <c r="M152" i="24"/>
  <c r="I477" i="24"/>
  <c r="B640" i="24"/>
  <c r="H351" i="24"/>
  <c r="D305" i="24"/>
  <c r="B751" i="24"/>
  <c r="B812" i="24"/>
  <c r="H1344" i="24"/>
  <c r="D620" i="24"/>
  <c r="H1281" i="24"/>
  <c r="D542" i="24"/>
  <c r="H1616" i="24"/>
  <c r="I107" i="24"/>
  <c r="M338" i="24"/>
  <c r="I1461" i="24"/>
  <c r="I1184" i="24"/>
  <c r="B450" i="24"/>
  <c r="D476" i="24"/>
  <c r="I1329" i="24"/>
  <c r="I1115" i="24"/>
  <c r="I497" i="24"/>
  <c r="B583" i="24"/>
  <c r="B1149" i="24"/>
  <c r="M659" i="24"/>
  <c r="H765" i="24"/>
  <c r="D1673" i="24"/>
  <c r="B592" i="24"/>
  <c r="D862" i="24"/>
  <c r="D1156" i="24"/>
  <c r="D1154" i="24"/>
  <c r="B1042" i="24"/>
  <c r="H1564" i="24"/>
  <c r="M1474" i="24"/>
  <c r="H1170" i="24"/>
  <c r="I1366" i="24"/>
  <c r="B221" i="24"/>
  <c r="M915" i="24"/>
  <c r="B371" i="24"/>
  <c r="I182" i="24"/>
  <c r="D841" i="24"/>
  <c r="I1315" i="24"/>
  <c r="H1115" i="24"/>
  <c r="M348" i="24"/>
  <c r="B1551" i="24"/>
  <c r="I1434" i="24"/>
  <c r="I222" i="24"/>
  <c r="D346" i="24"/>
  <c r="D1061" i="24"/>
  <c r="I554" i="24"/>
  <c r="H1279" i="24"/>
  <c r="B875" i="24"/>
  <c r="I1624" i="24"/>
  <c r="D1855" i="24"/>
  <c r="I1303" i="24"/>
  <c r="B1522" i="24"/>
  <c r="B1063" i="24"/>
  <c r="D256" i="24"/>
  <c r="D384" i="24"/>
  <c r="I1098" i="24"/>
  <c r="H732" i="24"/>
  <c r="H1277" i="24"/>
  <c r="H1746" i="24"/>
  <c r="B655" i="24"/>
  <c r="B1885" i="24"/>
  <c r="I944" i="24"/>
  <c r="I890" i="24"/>
  <c r="H274" i="24"/>
  <c r="I975" i="24"/>
  <c r="M168" i="24"/>
  <c r="D595" i="24"/>
  <c r="I834" i="24"/>
  <c r="H302" i="24"/>
  <c r="H801" i="24"/>
  <c r="B147" i="24"/>
  <c r="H148" i="24"/>
  <c r="D1492" i="24"/>
  <c r="B1237" i="24"/>
  <c r="H1643" i="24"/>
  <c r="B344" i="24"/>
  <c r="D319" i="24"/>
  <c r="I655" i="24"/>
  <c r="D1541" i="24"/>
  <c r="I1416" i="24"/>
  <c r="H834" i="24"/>
  <c r="I922" i="24"/>
  <c r="H1588" i="24"/>
  <c r="I961" i="24"/>
  <c r="D1064" i="24"/>
  <c r="B1332" i="24"/>
  <c r="I1408" i="24"/>
  <c r="I1100" i="24"/>
  <c r="H292" i="24"/>
  <c r="I339" i="24"/>
  <c r="M1028" i="24"/>
  <c r="I1266" i="24"/>
  <c r="M1554" i="24"/>
  <c r="I540" i="24"/>
  <c r="D991" i="24"/>
  <c r="M1569" i="24"/>
  <c r="D744" i="24"/>
  <c r="D569" i="24"/>
  <c r="H1833" i="24"/>
  <c r="D495" i="24"/>
  <c r="I842" i="24"/>
  <c r="H608" i="24"/>
  <c r="I1711" i="24"/>
  <c r="H1001" i="24"/>
  <c r="I329" i="24"/>
  <c r="I83" i="24"/>
  <c r="D27" i="24"/>
  <c r="I1199" i="24"/>
  <c r="I1592" i="24"/>
  <c r="H485" i="24"/>
  <c r="M1484" i="24"/>
  <c r="B852" i="24"/>
  <c r="H980" i="24"/>
  <c r="H975" i="24"/>
  <c r="B275" i="24"/>
  <c r="B272" i="24"/>
  <c r="M294" i="24"/>
  <c r="I359" i="24"/>
  <c r="D32" i="24"/>
  <c r="I95" i="24"/>
  <c r="B326" i="24"/>
  <c r="I650" i="24"/>
  <c r="M1086" i="24"/>
  <c r="D929" i="24"/>
  <c r="B1266" i="24"/>
  <c r="H736" i="24"/>
  <c r="I12" i="24"/>
  <c r="H1299" i="24"/>
  <c r="B1521" i="24"/>
  <c r="H185" i="24"/>
  <c r="I1322" i="24"/>
  <c r="I1009" i="24"/>
  <c r="H488" i="24"/>
  <c r="H1865" i="24"/>
  <c r="B791" i="24"/>
  <c r="H1319" i="24"/>
  <c r="B1895" i="24"/>
  <c r="B617" i="24"/>
  <c r="I804" i="24"/>
  <c r="B1126" i="24"/>
  <c r="I968" i="24"/>
  <c r="D323" i="24"/>
  <c r="H483" i="24"/>
  <c r="D711" i="24"/>
  <c r="I24" i="24"/>
  <c r="I1559" i="24"/>
  <c r="I791" i="24"/>
  <c r="M624" i="24"/>
  <c r="B1699" i="24"/>
  <c r="H360" i="24"/>
  <c r="B334" i="24"/>
  <c r="H33" i="24"/>
  <c r="I1286" i="24"/>
  <c r="D827" i="24"/>
  <c r="B1472" i="24"/>
  <c r="I427" i="24"/>
  <c r="M438" i="24"/>
  <c r="I700" i="24"/>
  <c r="M1357" i="24"/>
  <c r="B1396" i="24"/>
  <c r="M544" i="24"/>
  <c r="I1285" i="24"/>
  <c r="H451" i="24"/>
  <c r="I335" i="24"/>
  <c r="D1302" i="24"/>
  <c r="H104" i="24"/>
  <c r="I291" i="24"/>
  <c r="I370" i="24"/>
  <c r="H930" i="24"/>
  <c r="M663" i="24"/>
  <c r="B956" i="24"/>
  <c r="D439" i="24"/>
  <c r="I656" i="24"/>
  <c r="D1903" i="24"/>
  <c r="D231" i="24"/>
  <c r="B1235" i="24"/>
  <c r="D34" i="24"/>
  <c r="D952" i="24"/>
  <c r="H876" i="24"/>
  <c r="D301" i="24"/>
  <c r="B44" i="24"/>
  <c r="H887" i="24"/>
  <c r="I172" i="24"/>
  <c r="D1162" i="24"/>
  <c r="B870" i="24"/>
  <c r="B1454" i="24"/>
  <c r="D1566" i="24"/>
  <c r="H1321" i="24"/>
  <c r="D299" i="24"/>
  <c r="M1417" i="24"/>
  <c r="I732" i="24"/>
  <c r="H1278" i="24"/>
  <c r="M1597" i="24"/>
  <c r="M1051" i="24"/>
  <c r="H145" i="24"/>
  <c r="D898" i="24"/>
  <c r="M728" i="24"/>
  <c r="B823" i="24"/>
  <c r="H1244" i="24"/>
  <c r="I972" i="24"/>
  <c r="I772" i="24"/>
  <c r="I1236" i="24"/>
  <c r="H1225" i="24"/>
  <c r="B389" i="24"/>
  <c r="B258" i="24"/>
  <c r="I1743" i="24"/>
  <c r="H172" i="24"/>
  <c r="B67" i="24"/>
  <c r="D830" i="24"/>
  <c r="I1902" i="24"/>
  <c r="B1200" i="24"/>
  <c r="I568" i="24"/>
  <c r="H1050" i="24"/>
  <c r="H613" i="24"/>
  <c r="M192" i="24"/>
  <c r="H1140" i="24"/>
  <c r="M439" i="24"/>
  <c r="M1662" i="24"/>
  <c r="D684" i="24"/>
  <c r="D233" i="24"/>
  <c r="D760" i="24"/>
  <c r="B1690" i="24"/>
  <c r="M1066" i="24"/>
  <c r="I303" i="24"/>
  <c r="B290" i="24"/>
  <c r="D1691" i="24"/>
  <c r="I1832" i="24"/>
  <c r="M1593" i="24"/>
  <c r="D1248" i="24"/>
  <c r="D529" i="24"/>
  <c r="H136" i="24"/>
  <c r="B1604" i="24"/>
  <c r="I958" i="24"/>
  <c r="I1129" i="24"/>
  <c r="B170" i="24"/>
  <c r="H355" i="24"/>
  <c r="I1717" i="24"/>
  <c r="M481" i="24"/>
  <c r="B1693" i="24"/>
  <c r="I1851" i="24"/>
  <c r="H1777" i="24"/>
  <c r="M141" i="24"/>
  <c r="D209" i="24"/>
  <c r="I1466" i="24"/>
  <c r="B1544" i="24"/>
  <c r="H1701" i="24"/>
  <c r="D1379" i="24"/>
  <c r="D984" i="24"/>
  <c r="D901" i="24"/>
  <c r="M318" i="24"/>
  <c r="H287" i="24"/>
  <c r="D553" i="24"/>
  <c r="I1116" i="24"/>
  <c r="I818" i="24"/>
  <c r="D109" i="24"/>
  <c r="H1603" i="24"/>
  <c r="I458" i="24"/>
  <c r="I1611" i="24"/>
  <c r="I1419" i="24"/>
  <c r="D1334" i="24"/>
  <c r="H932" i="24"/>
  <c r="B719" i="24"/>
  <c r="D489" i="24"/>
  <c r="B1525" i="24"/>
  <c r="M726" i="24"/>
  <c r="B797" i="24"/>
  <c r="D560" i="24"/>
  <c r="I920" i="24"/>
  <c r="D1886" i="24"/>
  <c r="H1617" i="24"/>
  <c r="M1389" i="24"/>
  <c r="D715" i="24"/>
  <c r="D351" i="24"/>
  <c r="H1020" i="24"/>
  <c r="H543" i="24"/>
  <c r="I1006" i="24"/>
  <c r="D1050" i="24"/>
  <c r="B1562" i="24"/>
  <c r="H614" i="24"/>
  <c r="D1462" i="24"/>
  <c r="I947" i="24"/>
  <c r="H1008" i="24"/>
  <c r="I1749" i="24"/>
  <c r="M1347" i="24"/>
  <c r="B1739" i="24"/>
  <c r="D729" i="24"/>
  <c r="H870" i="24"/>
  <c r="B410" i="24"/>
  <c r="D277" i="24"/>
  <c r="H952" i="24"/>
  <c r="B98" i="24"/>
  <c r="M1352" i="24"/>
  <c r="H1482" i="24"/>
  <c r="D20" i="24"/>
  <c r="B397" i="24"/>
  <c r="H1028" i="24"/>
  <c r="H492" i="24"/>
  <c r="I576" i="24"/>
  <c r="H1109" i="24"/>
  <c r="H1086" i="24"/>
  <c r="H1137" i="24"/>
  <c r="D694" i="24"/>
  <c r="H708" i="24"/>
  <c r="B822" i="24"/>
  <c r="B1754" i="24"/>
  <c r="I1439" i="24"/>
  <c r="H289" i="24"/>
  <c r="I127" i="24"/>
  <c r="B19" i="24"/>
  <c r="M1069" i="24"/>
  <c r="I1075" i="24"/>
  <c r="B1623" i="24"/>
  <c r="M85" i="24"/>
  <c r="M916" i="24"/>
  <c r="D578" i="24"/>
  <c r="D759" i="24"/>
  <c r="I137" i="24"/>
  <c r="B1158" i="24"/>
  <c r="H63" i="24"/>
  <c r="D146" i="24"/>
  <c r="B658" i="24"/>
  <c r="B92" i="24"/>
  <c r="H1429" i="24"/>
  <c r="D127" i="24"/>
  <c r="B1321" i="24"/>
  <c r="D406" i="24"/>
  <c r="I1326" i="24"/>
  <c r="B1083" i="24"/>
  <c r="H1406" i="24"/>
  <c r="B1819" i="24"/>
  <c r="I1373" i="24"/>
  <c r="H702" i="24"/>
  <c r="D1277" i="24"/>
  <c r="I896" i="24"/>
  <c r="M1061" i="24"/>
  <c r="D1722" i="24"/>
  <c r="H1063" i="24"/>
  <c r="I1572" i="24"/>
  <c r="D766" i="24"/>
  <c r="H593" i="24"/>
  <c r="M1561" i="24"/>
  <c r="M608" i="24"/>
  <c r="H836" i="24"/>
  <c r="I1648" i="24"/>
  <c r="H522" i="24"/>
  <c r="H779" i="24"/>
  <c r="I225" i="24"/>
  <c r="B1152" i="24"/>
  <c r="D789" i="24"/>
  <c r="B1661" i="24"/>
  <c r="B1796" i="24"/>
  <c r="I1224" i="24"/>
  <c r="H219" i="24"/>
  <c r="I883" i="24"/>
  <c r="D276" i="24"/>
  <c r="M534" i="24"/>
  <c r="D74" i="24"/>
  <c r="D134" i="24"/>
  <c r="D664" i="24"/>
  <c r="B973" i="24"/>
  <c r="D1241" i="24"/>
  <c r="H329" i="24"/>
  <c r="H647" i="24"/>
  <c r="B668" i="24"/>
  <c r="D1327" i="24"/>
  <c r="B895" i="24"/>
  <c r="B268" i="24"/>
  <c r="H1787" i="24"/>
  <c r="H197" i="24"/>
  <c r="M1581" i="24"/>
  <c r="H222" i="24"/>
  <c r="B93" i="24"/>
  <c r="H1098" i="24"/>
  <c r="B1487" i="24"/>
  <c r="M94" i="24"/>
  <c r="H1079" i="24"/>
  <c r="B1179" i="24"/>
  <c r="H199" i="24"/>
  <c r="M284" i="24"/>
  <c r="I372" i="24"/>
  <c r="M476" i="24"/>
  <c r="I1583" i="24"/>
  <c r="H1518" i="24"/>
  <c r="B1306" i="24"/>
  <c r="B285" i="24"/>
  <c r="M61" i="24"/>
  <c r="B1241" i="24"/>
  <c r="B1821" i="24"/>
  <c r="I662" i="24"/>
  <c r="I154" i="24"/>
  <c r="H69" i="24"/>
  <c r="M198" i="24"/>
  <c r="D389" i="24"/>
  <c r="B212" i="24"/>
  <c r="D845" i="24"/>
  <c r="M1300" i="24"/>
  <c r="I501" i="24"/>
  <c r="I1232" i="24"/>
  <c r="D953" i="24"/>
  <c r="M264" i="24"/>
  <c r="M448" i="24"/>
  <c r="I1198" i="24"/>
  <c r="I1272" i="24"/>
  <c r="I825" i="24"/>
  <c r="D1212" i="24"/>
  <c r="I371" i="24"/>
  <c r="D430" i="24"/>
  <c r="I199" i="24"/>
  <c r="B311" i="24"/>
  <c r="D308" i="24"/>
  <c r="H234" i="24"/>
  <c r="D77" i="24"/>
  <c r="D1014" i="24"/>
  <c r="M323" i="24"/>
  <c r="B661" i="24"/>
  <c r="M187" i="24"/>
  <c r="B546" i="24"/>
  <c r="I1411" i="24"/>
  <c r="B1079" i="24"/>
  <c r="M368" i="24"/>
  <c r="I595" i="24"/>
  <c r="H794" i="24"/>
  <c r="I46" i="24"/>
  <c r="I179" i="24"/>
  <c r="I1211" i="24"/>
  <c r="H1845" i="24"/>
  <c r="B1212" i="24"/>
  <c r="M1104" i="24"/>
  <c r="M567" i="24"/>
  <c r="D1636" i="24"/>
  <c r="H1290" i="24"/>
  <c r="I269" i="24"/>
  <c r="D1820" i="24"/>
  <c r="H84" i="24"/>
  <c r="I583" i="24"/>
  <c r="B181" i="24"/>
  <c r="M1505" i="24"/>
  <c r="D1842" i="24"/>
  <c r="M96" i="24"/>
  <c r="D191" i="24"/>
  <c r="B366" i="24"/>
  <c r="I469" i="24"/>
  <c r="H1345" i="24"/>
  <c r="B403" i="24"/>
  <c r="D1283" i="24"/>
  <c r="H1270" i="24"/>
  <c r="H163" i="24"/>
  <c r="B1131" i="24"/>
  <c r="I39" i="24"/>
  <c r="I1252" i="24"/>
  <c r="H506" i="24"/>
  <c r="D1459" i="24"/>
  <c r="D979" i="24"/>
  <c r="I590" i="24"/>
  <c r="H236" i="24"/>
  <c r="H1258" i="24"/>
  <c r="I837" i="24"/>
  <c r="M58" i="24"/>
  <c r="B777" i="24"/>
  <c r="H1043" i="24"/>
  <c r="I406" i="24"/>
  <c r="B747" i="24"/>
  <c r="B833" i="24"/>
  <c r="M1350" i="24"/>
  <c r="H500" i="24"/>
  <c r="I1090" i="24"/>
  <c r="D514" i="24"/>
  <c r="B157" i="24"/>
  <c r="I802" i="24"/>
  <c r="H516" i="24"/>
  <c r="H1382" i="24"/>
  <c r="I1270" i="24"/>
  <c r="I1293" i="24"/>
  <c r="H601" i="24"/>
  <c r="D1028" i="24"/>
  <c r="I773" i="24"/>
  <c r="D1181" i="24"/>
  <c r="B432" i="24"/>
  <c r="M1307" i="24"/>
  <c r="D887" i="24"/>
  <c r="D1468" i="24"/>
  <c r="H45" i="24"/>
  <c r="I587" i="24"/>
  <c r="I1511" i="24"/>
  <c r="I738" i="24"/>
  <c r="B994" i="24"/>
  <c r="I863" i="24"/>
  <c r="M254" i="24"/>
  <c r="H1143" i="24"/>
  <c r="B1886" i="24"/>
  <c r="B516" i="24"/>
  <c r="I1579" i="24"/>
  <c r="B1837" i="24"/>
  <c r="B1062" i="24"/>
  <c r="I670" i="24"/>
  <c r="H1834" i="24"/>
  <c r="D1503" i="24"/>
  <c r="H1526" i="24"/>
  <c r="D1052" i="24"/>
  <c r="I1135" i="24"/>
  <c r="D1418" i="24"/>
  <c r="D1373" i="24"/>
  <c r="I761" i="24"/>
  <c r="H894" i="24"/>
  <c r="M1521" i="24"/>
  <c r="I878" i="24"/>
  <c r="B699" i="24"/>
  <c r="D940" i="24"/>
  <c r="H1653" i="24"/>
  <c r="D1522" i="24"/>
  <c r="H1425" i="24"/>
  <c r="B1453" i="24"/>
  <c r="B1344" i="24"/>
  <c r="D197" i="24"/>
  <c r="M325" i="24"/>
  <c r="I550" i="24"/>
  <c r="D1292" i="24"/>
  <c r="B1732" i="24"/>
  <c r="I1025" i="24"/>
  <c r="H207" i="24"/>
  <c r="B28" i="24"/>
  <c r="B407" i="24"/>
  <c r="B554" i="24"/>
  <c r="B402" i="24"/>
  <c r="D1311" i="24"/>
  <c r="D1059" i="24"/>
  <c r="B445" i="24"/>
  <c r="I1155" i="24"/>
  <c r="H322" i="24"/>
  <c r="D583" i="24"/>
  <c r="H78" i="24"/>
  <c r="H1536" i="24"/>
  <c r="M946" i="24"/>
  <c r="I929" i="24"/>
  <c r="B1415" i="24"/>
  <c r="I553" i="24"/>
  <c r="D1179" i="24"/>
  <c r="I1660" i="24"/>
  <c r="I624" i="24"/>
  <c r="H350" i="24"/>
  <c r="H176" i="24"/>
  <c r="I1441" i="24"/>
  <c r="M1504" i="24"/>
  <c r="B1229" i="24"/>
  <c r="H748" i="24"/>
  <c r="D602" i="24"/>
  <c r="B446" i="24"/>
  <c r="D1464" i="24"/>
  <c r="D640" i="24"/>
  <c r="H854" i="24"/>
  <c r="D1255" i="24"/>
  <c r="H668" i="24"/>
  <c r="H1288" i="24"/>
  <c r="D1846" i="24"/>
  <c r="I79" i="24"/>
  <c r="M1550" i="24"/>
  <c r="B485" i="24"/>
  <c r="D1502" i="24"/>
  <c r="H9" i="24"/>
  <c r="B737" i="24"/>
  <c r="B130" i="24"/>
  <c r="B289" i="24"/>
  <c r="B234" i="24"/>
  <c r="I523" i="24"/>
  <c r="M286" i="24"/>
  <c r="M401" i="24"/>
  <c r="D444" i="24"/>
  <c r="I1072" i="24"/>
  <c r="M1444" i="24"/>
  <c r="D1331" i="24"/>
  <c r="I334" i="24"/>
  <c r="B47" i="24"/>
  <c r="H1870" i="24"/>
  <c r="M1076" i="24"/>
  <c r="D954" i="24"/>
  <c r="I906" i="24"/>
  <c r="H1294" i="24"/>
  <c r="D349" i="24"/>
  <c r="D1542" i="24"/>
  <c r="H1262" i="24"/>
  <c r="D155" i="24"/>
  <c r="D1604" i="24"/>
  <c r="B1772" i="24"/>
  <c r="B164" i="24"/>
  <c r="B733" i="24"/>
  <c r="D883" i="24"/>
  <c r="D72" i="24"/>
  <c r="B496" i="24"/>
  <c r="B1526" i="24"/>
  <c r="I1165" i="24"/>
  <c r="D1686" i="24"/>
  <c r="H534" i="24"/>
  <c r="D1305" i="24"/>
  <c r="H491" i="24"/>
  <c r="I689" i="24"/>
  <c r="D219" i="24"/>
  <c r="M1204" i="24"/>
  <c r="H1084" i="24"/>
  <c r="I1585" i="24"/>
  <c r="I1440" i="24"/>
  <c r="B1628" i="24"/>
  <c r="D273" i="24"/>
  <c r="D1871" i="24"/>
  <c r="B599" i="24"/>
  <c r="D491" i="24"/>
  <c r="H1748" i="24"/>
  <c r="M454" i="24"/>
  <c r="H915" i="24"/>
  <c r="I833" i="24"/>
  <c r="B418" i="24"/>
  <c r="I1073" i="24"/>
  <c r="M574" i="24"/>
  <c r="B163" i="24"/>
  <c r="M1427" i="24"/>
  <c r="D1543" i="24"/>
  <c r="D1719" i="24"/>
  <c r="I374" i="24"/>
  <c r="I1138" i="24"/>
  <c r="B1731" i="24"/>
  <c r="I743" i="24"/>
  <c r="H182" i="24"/>
  <c r="I1108" i="24"/>
  <c r="B883" i="24"/>
  <c r="I1150" i="24"/>
  <c r="B1835" i="24"/>
  <c r="I1001" i="24"/>
  <c r="B156" i="24"/>
  <c r="B479" i="24"/>
  <c r="B1147" i="24"/>
  <c r="I757" i="24"/>
  <c r="D880" i="24"/>
  <c r="D64" i="24"/>
  <c r="B1762" i="24"/>
  <c r="H771" i="24"/>
  <c r="D165" i="24"/>
  <c r="H1668" i="24"/>
  <c r="I997" i="24"/>
  <c r="H653" i="24"/>
  <c r="I490" i="24"/>
  <c r="H587" i="24"/>
  <c r="M272" i="24"/>
  <c r="B1729" i="24"/>
  <c r="M1143" i="24"/>
  <c r="I1873" i="24"/>
  <c r="H38" i="24"/>
  <c r="B256" i="24"/>
  <c r="H226" i="24"/>
  <c r="D976" i="24"/>
  <c r="H1525" i="24"/>
  <c r="B987" i="24"/>
  <c r="D690" i="24"/>
  <c r="M823" i="24"/>
  <c r="D418" i="24"/>
  <c r="H701" i="24"/>
  <c r="I1397" i="24"/>
  <c r="H1222" i="24"/>
  <c r="I603" i="24"/>
  <c r="H246" i="24"/>
  <c r="D433" i="24"/>
  <c r="B1841" i="24"/>
  <c r="D732" i="24"/>
  <c r="H1101" i="24"/>
  <c r="D1004" i="24"/>
  <c r="H670" i="24"/>
  <c r="I1313" i="24"/>
  <c r="D1127" i="24"/>
  <c r="H960" i="24"/>
  <c r="D224" i="24"/>
  <c r="D1233" i="24"/>
  <c r="H1096" i="24"/>
  <c r="M1858" i="24"/>
  <c r="H1066" i="24"/>
  <c r="I1051" i="24"/>
  <c r="M26" i="24"/>
  <c r="I35" i="24"/>
  <c r="M273" i="24"/>
  <c r="D222" i="24"/>
  <c r="H95" i="24"/>
  <c r="B97" i="24"/>
  <c r="H1042" i="24"/>
  <c r="D259" i="24"/>
  <c r="H1314" i="24"/>
  <c r="B1807" i="24"/>
  <c r="I1230" i="24"/>
  <c r="I410" i="24"/>
  <c r="M1617" i="24"/>
  <c r="H965" i="24"/>
  <c r="D1297" i="24"/>
  <c r="H893" i="24"/>
  <c r="H1215" i="24"/>
  <c r="I1141" i="24"/>
  <c r="I1321" i="24"/>
  <c r="I959" i="24"/>
  <c r="B858" i="24"/>
  <c r="B1001" i="24"/>
  <c r="D1053" i="24"/>
  <c r="D1069" i="24"/>
  <c r="I1782" i="24"/>
  <c r="B1300" i="24"/>
  <c r="M591" i="24"/>
  <c r="B11" i="24"/>
  <c r="B1084" i="24"/>
  <c r="D414" i="24"/>
  <c r="H974" i="24"/>
  <c r="H1306" i="24"/>
  <c r="H808" i="24"/>
  <c r="M842" i="24"/>
  <c r="M980" i="24"/>
  <c r="D907" i="24"/>
  <c r="I1206" i="24"/>
  <c r="H646" i="24"/>
  <c r="D1072" i="24"/>
  <c r="B1770" i="24"/>
  <c r="H770" i="24"/>
  <c r="I990" i="24"/>
  <c r="B115" i="24"/>
  <c r="H1797" i="24"/>
  <c r="D1199" i="24"/>
  <c r="M1367" i="24"/>
  <c r="D43" i="24"/>
  <c r="I713" i="24"/>
  <c r="D530" i="24"/>
  <c r="D143" i="24"/>
  <c r="M1236" i="24"/>
  <c r="H641" i="24"/>
  <c r="H1320" i="24"/>
  <c r="D857" i="24"/>
  <c r="D1575" i="24"/>
  <c r="M1135" i="24"/>
  <c r="I1788" i="24"/>
  <c r="M902" i="24"/>
  <c r="H1675" i="24"/>
  <c r="I577" i="24"/>
  <c r="I755" i="24"/>
  <c r="M1295" i="24"/>
  <c r="D1078" i="24"/>
  <c r="D1073" i="24"/>
  <c r="B1587" i="24"/>
  <c r="M1393" i="24"/>
  <c r="I418" i="24"/>
  <c r="H1130" i="24"/>
  <c r="B194" i="24"/>
  <c r="D281" i="24"/>
  <c r="B1654" i="24"/>
  <c r="H1154" i="24"/>
  <c r="D1387" i="24"/>
  <c r="H626" i="24"/>
  <c r="B503" i="24"/>
  <c r="I465" i="24"/>
  <c r="M1420" i="24"/>
  <c r="B1074" i="24"/>
  <c r="D391" i="24"/>
  <c r="I21" i="24"/>
  <c r="D453" i="24"/>
  <c r="H305" i="24"/>
  <c r="H758" i="24"/>
  <c r="I342" i="24"/>
  <c r="M1166" i="24"/>
  <c r="H283" i="24"/>
  <c r="D594" i="24"/>
  <c r="B1248" i="24"/>
  <c r="B1342" i="24"/>
  <c r="H1816" i="24"/>
  <c r="I982" i="24"/>
  <c r="D1337" i="24"/>
  <c r="H572" i="24"/>
  <c r="I1221" i="24"/>
  <c r="H173" i="24"/>
  <c r="D813" i="24"/>
  <c r="M736" i="24"/>
  <c r="I1061" i="24"/>
  <c r="H1469" i="24"/>
  <c r="B302" i="24"/>
  <c r="B497" i="24"/>
  <c r="D440" i="24"/>
  <c r="B1302" i="24"/>
  <c r="H638" i="24"/>
  <c r="D652" i="24"/>
  <c r="D1210" i="24"/>
  <c r="I551" i="24"/>
  <c r="D863" i="24"/>
  <c r="D1709" i="24"/>
  <c r="D1712" i="24"/>
  <c r="I532" i="24"/>
  <c r="I638" i="24"/>
  <c r="H1883" i="24"/>
  <c r="B1047" i="24"/>
  <c r="D29" i="24"/>
  <c r="B1582" i="24"/>
  <c r="B1136" i="24"/>
  <c r="D1318" i="24"/>
  <c r="B1570" i="24"/>
  <c r="I1069" i="24"/>
  <c r="B1196" i="24"/>
  <c r="M1005" i="24"/>
  <c r="B1489" i="24"/>
  <c r="D785" i="24"/>
  <c r="D296" i="24"/>
  <c r="B1385" i="24"/>
  <c r="D975" i="24"/>
  <c r="D585" i="24"/>
  <c r="M1891" i="24"/>
  <c r="M1377" i="24"/>
  <c r="B409" i="24"/>
  <c r="I1120" i="24"/>
  <c r="H546" i="24"/>
  <c r="H1312" i="24"/>
  <c r="H1440" i="24"/>
  <c r="I969" i="24"/>
  <c r="M1529" i="24"/>
  <c r="D1214" i="24"/>
  <c r="I1487" i="24"/>
  <c r="B1343" i="24"/>
  <c r="H925" i="24"/>
  <c r="D1323" i="24"/>
  <c r="I519" i="24"/>
  <c r="B105" i="24"/>
  <c r="H198" i="24"/>
  <c r="D108" i="24"/>
  <c r="H566" i="24"/>
  <c r="D825" i="24"/>
  <c r="D512" i="24"/>
  <c r="D1898" i="24"/>
  <c r="H797" i="24"/>
  <c r="D324" i="24"/>
  <c r="D989" i="24"/>
  <c r="M755" i="24"/>
  <c r="B1752" i="24"/>
  <c r="H993" i="24"/>
  <c r="I1037" i="24"/>
  <c r="I1124" i="24"/>
  <c r="I976" i="24"/>
  <c r="D1497" i="24"/>
  <c r="I423" i="24"/>
  <c r="B860" i="24"/>
  <c r="D783" i="24"/>
  <c r="I813" i="24"/>
  <c r="M520" i="24"/>
  <c r="H632" i="24"/>
  <c r="H259" i="24"/>
  <c r="I247" i="24"/>
  <c r="B293" i="24"/>
  <c r="M463" i="24"/>
  <c r="B805" i="24"/>
  <c r="B1223" i="24"/>
  <c r="I1791" i="24"/>
  <c r="D19" i="24"/>
  <c r="H805" i="24"/>
  <c r="H195" i="24"/>
  <c r="D1312" i="24"/>
  <c r="D318" i="24"/>
  <c r="I344" i="24"/>
  <c r="H694" i="24"/>
  <c r="B911" i="24"/>
  <c r="I1126" i="24"/>
  <c r="I987" i="24"/>
  <c r="I1482" i="24"/>
  <c r="I1065" i="24"/>
  <c r="M223" i="24"/>
  <c r="H1578" i="24"/>
  <c r="H455" i="24"/>
  <c r="D1548" i="24"/>
  <c r="D1275" i="24"/>
  <c r="H1463" i="24"/>
  <c r="B438" i="24"/>
  <c r="B1869" i="24"/>
  <c r="D12" i="24"/>
  <c r="I401" i="24"/>
  <c r="D579" i="24"/>
  <c r="I622" i="24"/>
  <c r="B1035" i="24"/>
  <c r="H530" i="24"/>
  <c r="M600" i="24"/>
  <c r="H169" i="24"/>
  <c r="D598" i="24"/>
  <c r="B1598" i="24"/>
  <c r="D462" i="24"/>
  <c r="H742" i="24"/>
  <c r="B1298" i="24"/>
  <c r="H405" i="24"/>
  <c r="M1231" i="24"/>
  <c r="I146" i="24"/>
  <c r="D287" i="24"/>
  <c r="M150" i="24"/>
  <c r="B1799" i="24"/>
  <c r="I790" i="24"/>
  <c r="B161" i="24"/>
  <c r="B984" i="24"/>
  <c r="M1892" i="24"/>
  <c r="B226" i="24"/>
  <c r="M90" i="24"/>
  <c r="I830" i="24"/>
  <c r="H1267" i="24"/>
  <c r="D248" i="24"/>
  <c r="M363" i="24"/>
  <c r="H1583" i="24"/>
  <c r="H950" i="24"/>
  <c r="I1355" i="24"/>
  <c r="H1114" i="24"/>
  <c r="D425" i="24"/>
  <c r="M1904" i="24"/>
  <c r="M1105" i="24"/>
  <c r="B943" i="24"/>
  <c r="B1284" i="24"/>
  <c r="H726" i="24"/>
  <c r="H868" i="24"/>
  <c r="H150" i="24"/>
  <c r="I209" i="24"/>
  <c r="I769" i="24"/>
  <c r="H1291" i="24"/>
  <c r="H418" i="24"/>
  <c r="I1255" i="24"/>
  <c r="B739" i="24"/>
  <c r="B104" i="24"/>
  <c r="M857" i="24"/>
  <c r="I529" i="24"/>
  <c r="D1137" i="24"/>
  <c r="D1504" i="24"/>
  <c r="I945" i="24"/>
  <c r="H1010" i="24"/>
  <c r="B1427" i="24"/>
  <c r="H141" i="24"/>
  <c r="B992" i="24"/>
  <c r="H1158" i="24"/>
  <c r="H294" i="24"/>
  <c r="D303" i="24"/>
  <c r="D312" i="24"/>
  <c r="H1150" i="24"/>
  <c r="H1570" i="24"/>
  <c r="M1288" i="24"/>
  <c r="H510" i="24"/>
  <c r="I774" i="24"/>
  <c r="I1343" i="24"/>
  <c r="B1324" i="24"/>
  <c r="B23" i="24"/>
  <c r="I106" i="24"/>
  <c r="B1636" i="24"/>
  <c r="H368" i="24"/>
  <c r="H988" i="24"/>
  <c r="H1840" i="24"/>
  <c r="H1818" i="24"/>
  <c r="H1550" i="24"/>
  <c r="H272" i="24"/>
  <c r="B928" i="24"/>
  <c r="B972" i="24"/>
  <c r="B360" i="24"/>
  <c r="H1176" i="24"/>
  <c r="H393" i="24"/>
  <c r="M1609" i="24"/>
  <c r="D713" i="24"/>
  <c r="I102" i="24"/>
  <c r="M1337" i="24"/>
  <c r="H1224" i="24"/>
  <c r="I724" i="24"/>
  <c r="B126" i="24"/>
  <c r="I926" i="24"/>
  <c r="I20" i="24"/>
  <c r="D1139" i="24"/>
  <c r="H1481" i="24"/>
  <c r="H661" i="24"/>
  <c r="M1646" i="24"/>
  <c r="I610" i="24"/>
  <c r="H1457" i="24"/>
  <c r="B1712" i="24"/>
  <c r="B964" i="24"/>
  <c r="H1612" i="24"/>
  <c r="B1258" i="24"/>
  <c r="D526" i="24"/>
  <c r="D1708" i="24"/>
  <c r="I438" i="24"/>
  <c r="B603" i="24"/>
  <c r="H444" i="24"/>
  <c r="H754" i="24"/>
  <c r="I768" i="24"/>
  <c r="B1187" i="24"/>
  <c r="H792" i="24"/>
  <c r="I446" i="24"/>
  <c r="B1194" i="24"/>
  <c r="B948" i="24"/>
  <c r="D971" i="24"/>
  <c r="B1275" i="24"/>
  <c r="M1059" i="24"/>
  <c r="B1674" i="24"/>
  <c r="I1020" i="24"/>
  <c r="D649" i="24"/>
  <c r="H564" i="24"/>
  <c r="H123" i="24"/>
  <c r="D1175" i="24"/>
  <c r="H1058" i="24"/>
  <c r="H131" i="24"/>
  <c r="M1882" i="24"/>
  <c r="M770" i="24"/>
  <c r="M1202" i="24"/>
  <c r="H840" i="24"/>
  <c r="M1008" i="24"/>
  <c r="I1406" i="24"/>
  <c r="H1806" i="24"/>
  <c r="I1785" i="24"/>
  <c r="B1832" i="24"/>
  <c r="I476" i="24"/>
  <c r="B1319" i="24"/>
  <c r="I150" i="24"/>
  <c r="B89" i="24"/>
  <c r="I266" i="24"/>
  <c r="H4" i="24"/>
  <c r="H665" i="24"/>
  <c r="D473" i="24"/>
  <c r="I1575" i="24"/>
  <c r="D1573" i="24"/>
  <c r="D1038" i="24"/>
  <c r="M992" i="24"/>
  <c r="H1529" i="24"/>
  <c r="B1547" i="24"/>
  <c r="H1247" i="24"/>
  <c r="I1653" i="24"/>
  <c r="I935" i="24"/>
  <c r="I1207" i="24"/>
  <c r="H1356" i="24"/>
  <c r="B723" i="24"/>
  <c r="D158" i="24"/>
  <c r="M136" i="24"/>
  <c r="B1402" i="24"/>
  <c r="I373" i="24"/>
  <c r="H1388" i="24"/>
  <c r="M353" i="24"/>
  <c r="B829" i="24"/>
  <c r="D326" i="24"/>
  <c r="B421" i="24"/>
  <c r="H544" i="24"/>
  <c r="B477" i="24"/>
  <c r="D955" i="24"/>
  <c r="B795" i="24"/>
  <c r="I925" i="24"/>
  <c r="I1107" i="24"/>
  <c r="H1717" i="24"/>
  <c r="M895" i="24"/>
  <c r="I1612" i="24"/>
  <c r="B935" i="24"/>
  <c r="H938" i="24"/>
  <c r="H752" i="24"/>
  <c r="M1881" i="24"/>
  <c r="H1298" i="24"/>
  <c r="D917" i="24"/>
  <c r="I1846" i="24"/>
  <c r="I191" i="24"/>
  <c r="H822" i="24"/>
  <c r="H342" i="24"/>
  <c r="B701" i="24"/>
  <c r="D877" i="24"/>
  <c r="H729" i="24"/>
  <c r="H1379" i="24"/>
  <c r="D889" i="24"/>
  <c r="I1088" i="24"/>
  <c r="I868" i="24"/>
  <c r="M1373" i="24"/>
  <c r="I1535" i="24"/>
  <c r="B1224" i="24"/>
  <c r="D685" i="24"/>
  <c r="I923" i="24"/>
  <c r="H1064" i="24"/>
  <c r="D1198" i="24"/>
  <c r="H310" i="24"/>
  <c r="M1895" i="24"/>
  <c r="B1591" i="24"/>
  <c r="M1573" i="24"/>
  <c r="H594" i="24"/>
  <c r="H612" i="24"/>
  <c r="I499" i="24"/>
  <c r="I470" i="24"/>
  <c r="H31" i="24"/>
  <c r="B427" i="24"/>
  <c r="M1657" i="24"/>
  <c r="M228" i="24"/>
  <c r="I909" i="24"/>
  <c r="M1297" i="24"/>
  <c r="M1423" i="24"/>
  <c r="H598" i="24"/>
  <c r="B1447" i="24"/>
  <c r="B189" i="24"/>
  <c r="D141" i="24"/>
  <c r="M1877" i="24"/>
  <c r="I561" i="24"/>
  <c r="D1289" i="24"/>
  <c r="B1007" i="24"/>
  <c r="B885" i="24"/>
  <c r="H1128" i="24"/>
  <c r="B1512" i="24"/>
  <c r="B36" i="24"/>
  <c r="H1076" i="24"/>
  <c r="M467" i="24"/>
  <c r="I1212" i="24"/>
  <c r="I552" i="24"/>
  <c r="I616" i="24"/>
  <c r="H710" i="24"/>
  <c r="H26" i="24"/>
  <c r="B727" i="24"/>
  <c r="H1638" i="24"/>
  <c r="B899" i="24"/>
  <c r="D1705" i="24"/>
  <c r="B941" i="24"/>
  <c r="H1804" i="24"/>
  <c r="B390" i="24"/>
  <c r="H983" i="24"/>
  <c r="B136" i="24"/>
  <c r="I651" i="24"/>
  <c r="M829" i="24"/>
  <c r="D1110" i="24"/>
  <c r="I1391" i="24"/>
  <c r="D599" i="24"/>
  <c r="I341" i="24"/>
  <c r="I977" i="24"/>
  <c r="M576" i="24"/>
  <c r="D803" i="24"/>
  <c r="I140" i="24"/>
  <c r="H745" i="24"/>
  <c r="M1177" i="24"/>
  <c r="H884" i="24"/>
  <c r="I849" i="24"/>
  <c r="D459" i="24"/>
  <c r="D485" i="24"/>
  <c r="B732" i="24"/>
  <c r="D998" i="24"/>
  <c r="D504" i="24"/>
  <c r="H1201" i="24"/>
  <c r="M617" i="24"/>
  <c r="B969" i="24"/>
  <c r="B1577" i="24"/>
  <c r="B1169" i="24"/>
  <c r="H945" i="24"/>
  <c r="B1243" i="24"/>
  <c r="I461" i="24"/>
  <c r="H972" i="24"/>
  <c r="D642" i="24"/>
  <c r="H470" i="24"/>
  <c r="D1889" i="24"/>
  <c r="D1164" i="24"/>
  <c r="D1299" i="24"/>
  <c r="D1002" i="24"/>
  <c r="M1301" i="24"/>
  <c r="I1131" i="24"/>
  <c r="D1641" i="24"/>
  <c r="D266" i="24"/>
  <c r="B1493" i="24"/>
  <c r="I506" i="24"/>
  <c r="M1480" i="24"/>
  <c r="I204" i="24"/>
  <c r="B1667" i="24"/>
  <c r="I489" i="24"/>
  <c r="D138" i="24"/>
  <c r="B1360" i="24"/>
  <c r="M1578" i="24"/>
  <c r="D1874" i="24"/>
  <c r="H1198" i="24"/>
  <c r="I646" i="24"/>
  <c r="D1125" i="24"/>
  <c r="H487" i="24"/>
  <c r="I1091" i="24"/>
  <c r="I290" i="24"/>
  <c r="D1105" i="24"/>
  <c r="M345" i="24"/>
  <c r="H1409" i="24"/>
  <c r="I31" i="24"/>
  <c r="I1156" i="24"/>
  <c r="I1581" i="24"/>
  <c r="B978" i="24"/>
  <c r="I1862" i="24"/>
  <c r="H168" i="24"/>
  <c r="D1143" i="24"/>
  <c r="I37" i="24"/>
  <c r="B270" i="24"/>
  <c r="I515" i="24"/>
  <c r="I250" i="24"/>
  <c r="M1222" i="24"/>
  <c r="H1399" i="24"/>
  <c r="I1591" i="24"/>
  <c r="I93" i="24"/>
  <c r="M1595" i="24"/>
  <c r="H512" i="24"/>
  <c r="I820" i="24"/>
  <c r="D1107" i="24"/>
  <c r="M1396" i="24"/>
  <c r="B613" i="24"/>
  <c r="I1076" i="24"/>
  <c r="B615" i="24"/>
  <c r="M1304" i="24"/>
  <c r="I911" i="24"/>
  <c r="B897" i="24"/>
  <c r="I235" i="24"/>
  <c r="H942" i="24"/>
  <c r="H1904" i="24"/>
  <c r="D269" i="24"/>
  <c r="H892" i="24"/>
  <c r="H177" i="24"/>
  <c r="M129" i="24"/>
  <c r="H1237" i="24"/>
  <c r="D648" i="24"/>
  <c r="M918" i="24"/>
  <c r="B671" i="24"/>
  <c r="B453" i="24"/>
  <c r="M930" i="24"/>
  <c r="D216" i="24"/>
  <c r="H813" i="24"/>
  <c r="B1631" i="24"/>
  <c r="H1127" i="24"/>
  <c r="H74" i="24"/>
  <c r="I74" i="24"/>
  <c r="M1072" i="24"/>
  <c r="D1534" i="24"/>
  <c r="B688" i="24"/>
  <c r="H756" i="24"/>
  <c r="B1705" i="24"/>
  <c r="I707" i="24"/>
  <c r="M989" i="24"/>
  <c r="D498" i="24"/>
  <c r="I1795" i="24"/>
  <c r="H1694" i="24"/>
  <c r="D653" i="24"/>
  <c r="H1556" i="24"/>
  <c r="I193" i="24"/>
  <c r="M188" i="24"/>
  <c r="B1142" i="24"/>
  <c r="H877" i="24"/>
  <c r="D1279" i="24"/>
  <c r="D1568" i="24"/>
  <c r="H57" i="24"/>
  <c r="B472" i="24"/>
  <c r="I1609" i="24"/>
  <c r="I1137" i="24"/>
  <c r="B138" i="24"/>
  <c r="I1500" i="24"/>
  <c r="H206" i="24"/>
  <c r="B705" i="24"/>
  <c r="H957" i="24"/>
  <c r="I1721" i="24"/>
  <c r="D401" i="24"/>
  <c r="D419" i="24"/>
  <c r="B1334" i="24"/>
  <c r="M1395" i="24"/>
  <c r="B775" i="24"/>
  <c r="B1382" i="24"/>
  <c r="I824" i="24"/>
  <c r="B501" i="24"/>
  <c r="B1160" i="24"/>
  <c r="D615" i="24"/>
  <c r="D311" i="24"/>
  <c r="B1086" i="24"/>
  <c r="M910" i="24"/>
  <c r="M1563" i="24"/>
  <c r="D1261" i="24"/>
  <c r="B1659" i="24"/>
  <c r="I609" i="24"/>
  <c r="I1202" i="24"/>
  <c r="D1058" i="24"/>
  <c r="B1358" i="24"/>
  <c r="H969" i="24"/>
  <c r="I1542" i="24"/>
  <c r="H146" i="24"/>
  <c r="H385" i="24"/>
  <c r="M266" i="24"/>
  <c r="D941" i="24"/>
  <c r="M1422" i="24"/>
  <c r="D461" i="24"/>
  <c r="M1497" i="24"/>
  <c r="H374" i="24"/>
  <c r="D780" i="24"/>
  <c r="B513" i="24"/>
  <c r="D1600" i="24"/>
  <c r="H438" i="24"/>
  <c r="M1848" i="24"/>
  <c r="H435" i="24"/>
  <c r="I314" i="24"/>
  <c r="D352" i="24"/>
  <c r="B758" i="24"/>
  <c r="B735" i="24"/>
  <c r="I954" i="24"/>
  <c r="H1520" i="24"/>
  <c r="B1394" i="24"/>
  <c r="I808" i="24"/>
  <c r="B798" i="24"/>
  <c r="H445" i="24"/>
  <c r="H1149" i="24"/>
  <c r="I695" i="24"/>
  <c r="M1905" i="24"/>
  <c r="H1146" i="24"/>
  <c r="D654" i="24"/>
  <c r="B103" i="24"/>
  <c r="I823" i="24"/>
  <c r="H252" i="24"/>
  <c r="I445" i="24"/>
  <c r="B22" i="24"/>
  <c r="I668" i="24"/>
  <c r="M489" i="24"/>
  <c r="I1323" i="24"/>
  <c r="B869" i="24"/>
  <c r="M514" i="24"/>
  <c r="I733" i="24"/>
  <c r="H317" i="24"/>
  <c r="H449" i="24"/>
  <c r="I201" i="24"/>
  <c r="M91" i="24"/>
  <c r="D1246" i="24"/>
  <c r="H1658" i="24"/>
  <c r="M632" i="24"/>
  <c r="I1121" i="24"/>
  <c r="H64" i="24"/>
  <c r="I614" i="24"/>
  <c r="B1660" i="24"/>
  <c r="B1442" i="24"/>
  <c r="M1628" i="24"/>
  <c r="M441" i="24"/>
  <c r="D1039" i="24"/>
  <c r="B761" i="24"/>
  <c r="M1369" i="24"/>
  <c r="D163" i="24"/>
  <c r="B1702" i="24"/>
  <c r="H242" i="24"/>
  <c r="M120" i="24"/>
  <c r="H1175" i="24"/>
  <c r="D1195" i="24"/>
  <c r="D1174" i="24"/>
  <c r="H1326" i="24"/>
  <c r="D1326" i="24"/>
  <c r="I885" i="24"/>
  <c r="H1762" i="24"/>
  <c r="D398" i="24"/>
  <c r="I801" i="24"/>
  <c r="D336" i="24"/>
  <c r="D1474" i="24"/>
  <c r="I1307" i="24"/>
  <c r="D1200" i="24"/>
  <c r="M1362" i="24"/>
  <c r="I411" i="24"/>
  <c r="I872" i="24"/>
  <c r="D1155" i="24"/>
  <c r="H780" i="24"/>
  <c r="I238" i="24"/>
  <c r="B1325" i="24"/>
  <c r="H1229" i="24"/>
  <c r="H93" i="24"/>
  <c r="I789" i="24"/>
  <c r="B1568" i="24"/>
  <c r="B1391" i="24"/>
  <c r="B1635" i="24"/>
  <c r="I781" i="24"/>
  <c r="H1275" i="24"/>
  <c r="H1209" i="24"/>
  <c r="H1062" i="24"/>
  <c r="B155" i="24"/>
  <c r="B596" i="24"/>
  <c r="D669" i="24"/>
  <c r="I1578" i="24"/>
  <c r="B327" i="24"/>
  <c r="D1626" i="24"/>
  <c r="B4" i="24"/>
  <c r="I1899" i="24"/>
  <c r="B598" i="24"/>
  <c r="B1560" i="24"/>
  <c r="H1138" i="24"/>
  <c r="H1177" i="24"/>
  <c r="D1238" i="24"/>
  <c r="D1357" i="24"/>
  <c r="I1319" i="24"/>
  <c r="I1271" i="24"/>
  <c r="D1841" i="24"/>
  <c r="D1806" i="24"/>
  <c r="H521" i="24"/>
  <c r="H499" i="24"/>
  <c r="I1688" i="24"/>
  <c r="H838" i="24"/>
  <c r="D1740" i="24"/>
  <c r="I1298" i="24"/>
  <c r="B1573" i="24"/>
  <c r="B1253" i="24"/>
  <c r="M145" i="24"/>
  <c r="H132" i="24"/>
  <c r="M14" i="24"/>
  <c r="D741" i="24"/>
  <c r="I1174" i="24"/>
  <c r="B119" i="24"/>
  <c r="B1124" i="24"/>
  <c r="M324" i="24"/>
  <c r="B109" i="24"/>
  <c r="H12" i="24"/>
  <c r="B12" i="24"/>
  <c r="I1103" i="24"/>
  <c r="D168" i="24"/>
  <c r="H1615" i="24"/>
  <c r="B1171" i="24"/>
  <c r="M21" i="24"/>
  <c r="M118" i="24"/>
  <c r="D1904" i="24"/>
  <c r="M394" i="24"/>
  <c r="D1313" i="24"/>
  <c r="B1088" i="24"/>
  <c r="D1298" i="24"/>
  <c r="B437" i="24"/>
  <c r="I118" i="24"/>
  <c r="D435" i="24"/>
  <c r="I715" i="24"/>
  <c r="I566" i="24"/>
  <c r="I432" i="24"/>
  <c r="M1489" i="24"/>
  <c r="H32" i="24"/>
  <c r="D1374" i="24"/>
  <c r="D1259" i="24"/>
  <c r="D756" i="24"/>
  <c r="B120" i="24"/>
  <c r="I983" i="24"/>
  <c r="B1420" i="24"/>
  <c r="H1293" i="24"/>
  <c r="H1092" i="24"/>
  <c r="M414" i="24"/>
  <c r="D1276" i="24"/>
  <c r="D1375" i="24"/>
  <c r="B307" i="24"/>
  <c r="I636" i="24"/>
  <c r="B1263" i="24"/>
  <c r="I677" i="24"/>
  <c r="M593" i="24"/>
  <c r="D1721" i="24"/>
  <c r="H967" i="24"/>
  <c r="H1099" i="24"/>
  <c r="I1589" i="24"/>
  <c r="D1783" i="24"/>
  <c r="D6" i="24"/>
  <c r="H243" i="24"/>
  <c r="I938" i="24"/>
  <c r="I951" i="24"/>
  <c r="D1635" i="24"/>
  <c r="H931" i="24"/>
  <c r="B370" i="24"/>
  <c r="D770" i="24"/>
  <c r="H832" i="24"/>
  <c r="H777" i="24"/>
  <c r="H34" i="24"/>
  <c r="D1204" i="24"/>
  <c r="H1542" i="24"/>
  <c r="D650" i="24"/>
  <c r="I409" i="24"/>
  <c r="D1256" i="24"/>
  <c r="D206" i="24"/>
  <c r="I604" i="24"/>
  <c r="H1273" i="24"/>
  <c r="B1893" i="24"/>
  <c r="D751" i="24"/>
  <c r="H672" i="24"/>
  <c r="M1859" i="24"/>
  <c r="H891" i="24"/>
  <c r="B1569" i="24"/>
  <c r="B1515" i="24"/>
  <c r="B977" i="24"/>
  <c r="I1330" i="24"/>
  <c r="B488" i="24"/>
  <c r="B1496" i="24"/>
  <c r="H1496" i="24"/>
  <c r="B917" i="24"/>
  <c r="H315" i="24"/>
  <c r="I544" i="24"/>
  <c r="H1254" i="24"/>
  <c r="M72" i="24"/>
  <c r="I1265" i="24"/>
  <c r="H300" i="24"/>
  <c r="H1116" i="24"/>
  <c r="M1416" i="24"/>
  <c r="B378" i="24"/>
  <c r="M1233" i="24"/>
  <c r="H217" i="24"/>
  <c r="D285" i="24"/>
  <c r="H1195" i="24"/>
  <c r="M350" i="24"/>
  <c r="M226" i="24"/>
  <c r="B218" i="24"/>
  <c r="H422" i="24"/>
  <c r="B529" i="24"/>
  <c r="B1641" i="24"/>
  <c r="B204" i="24"/>
  <c r="I569" i="24"/>
  <c r="B21" i="24"/>
  <c r="M722" i="24"/>
  <c r="H1400" i="24"/>
  <c r="D1005" i="24"/>
  <c r="D911" i="24"/>
  <c r="B160" i="24"/>
  <c r="H1426" i="24"/>
  <c r="H896" i="24"/>
  <c r="D792" i="24"/>
  <c r="H519" i="24"/>
  <c r="H490" i="24"/>
  <c r="M316" i="24"/>
  <c r="I1463" i="24"/>
  <c r="B76" i="24"/>
  <c r="D1301" i="24"/>
  <c r="D636" i="24"/>
  <c r="D161" i="24"/>
  <c r="B1456" i="24"/>
  <c r="M183" i="24"/>
  <c r="I697" i="24"/>
  <c r="I484" i="24"/>
  <c r="I319" i="24"/>
  <c r="D232" i="24"/>
  <c r="M1580" i="24"/>
  <c r="M1087" i="24"/>
  <c r="H1514" i="24"/>
  <c r="B1076" i="24"/>
  <c r="H238" i="24"/>
  <c r="I1029" i="24"/>
  <c r="B1141" i="24"/>
  <c r="M1003" i="24"/>
  <c r="D782" i="24"/>
  <c r="D1596" i="24"/>
  <c r="H101" i="24"/>
  <c r="B474" i="24"/>
  <c r="B893" i="24"/>
  <c r="D931" i="24"/>
  <c r="H194" i="24"/>
  <c r="I1231" i="24"/>
  <c r="H48" i="24"/>
  <c r="I1095" i="24"/>
  <c r="I200" i="24"/>
  <c r="I433" i="24"/>
  <c r="I336" i="24"/>
  <c r="H1124" i="24"/>
  <c r="I420" i="24"/>
  <c r="D172" i="24"/>
  <c r="D784" i="24"/>
  <c r="B82" i="24"/>
  <c r="I1422" i="24"/>
  <c r="B262" i="24"/>
  <c r="D736" i="24"/>
  <c r="H885" i="24"/>
  <c r="M1408" i="24"/>
  <c r="B387" i="24"/>
  <c r="H94" i="24"/>
  <c r="B1072" i="24"/>
  <c r="I33" i="24"/>
  <c r="M683" i="24"/>
  <c r="M1151" i="24"/>
  <c r="D1118" i="24"/>
  <c r="M671" i="24"/>
  <c r="B1497" i="24"/>
  <c r="H1657" i="24"/>
  <c r="H1272" i="24"/>
  <c r="I1218" i="24"/>
  <c r="D974" i="24"/>
  <c r="H328" i="24"/>
  <c r="I807" i="24"/>
  <c r="H1318" i="24"/>
  <c r="B253" i="24"/>
  <c r="H651" i="24"/>
  <c r="B1309" i="24"/>
  <c r="H220" i="24"/>
  <c r="I113" i="24"/>
  <c r="I1351" i="24"/>
  <c r="H232" i="24"/>
  <c r="B1197" i="24"/>
  <c r="M1570" i="24"/>
  <c r="B417" i="24"/>
  <c r="B1611" i="24"/>
  <c r="I1192" i="24"/>
  <c r="H1072" i="24"/>
  <c r="H429" i="24"/>
  <c r="D566" i="24"/>
  <c r="H1447" i="24"/>
  <c r="B1154" i="24"/>
  <c r="D1839" i="24"/>
  <c r="I178" i="24"/>
  <c r="B1557" i="24"/>
  <c r="M620" i="24"/>
  <c r="I1569" i="24"/>
  <c r="B476" i="24"/>
  <c r="M511" i="24"/>
  <c r="D1696" i="24"/>
  <c r="M1230" i="24"/>
  <c r="I360" i="24"/>
  <c r="I928" i="24"/>
  <c r="M1382" i="24"/>
  <c r="D637" i="24"/>
  <c r="D313" i="24"/>
  <c r="D1239" i="24"/>
  <c r="M161" i="24"/>
  <c r="H60" i="24"/>
  <c r="D587" i="24"/>
  <c r="D1676" i="24"/>
  <c r="H189" i="24"/>
  <c r="B830" i="24"/>
  <c r="I1082" i="24"/>
  <c r="M1194" i="24"/>
  <c r="H1164" i="24"/>
  <c r="B1339" i="24"/>
  <c r="B1027" i="24"/>
  <c r="M1872" i="24"/>
  <c r="I77" i="24"/>
  <c r="B1145" i="24"/>
  <c r="M341" i="24"/>
  <c r="D335" i="24"/>
  <c r="D1280" i="24"/>
  <c r="D1087" i="24"/>
  <c r="H532" i="24"/>
  <c r="I364" i="24"/>
  <c r="B1784" i="24"/>
  <c r="B1828" i="24"/>
  <c r="B125" i="24"/>
  <c r="D809" i="24"/>
  <c r="I1180" i="24"/>
  <c r="I1314" i="24"/>
  <c r="I1710" i="24"/>
  <c r="H1144" i="24"/>
  <c r="D837" i="24"/>
  <c r="D30" i="24"/>
  <c r="I778" i="24"/>
  <c r="D978" i="24"/>
  <c r="H1080" i="24"/>
  <c r="M203" i="24"/>
  <c r="I521" i="24"/>
  <c r="I1018" i="24"/>
  <c r="B353" i="24"/>
  <c r="B780" i="24"/>
  <c r="D1150" i="24"/>
  <c r="M666" i="24"/>
  <c r="I1722" i="24"/>
  <c r="M512" i="24"/>
  <c r="B406" i="24"/>
  <c r="H833" i="24"/>
  <c r="H749" i="24"/>
  <c r="B556" i="24"/>
  <c r="I1187" i="24"/>
  <c r="B1314" i="24"/>
  <c r="M1555" i="24"/>
  <c r="H1724" i="24"/>
  <c r="D47" i="24"/>
  <c r="I1424" i="24"/>
  <c r="M1517" i="24"/>
  <c r="I1002" i="24"/>
  <c r="H718" i="24"/>
  <c r="H253" i="24"/>
  <c r="B1226" i="24"/>
  <c r="I686" i="24"/>
  <c r="D810" i="24"/>
  <c r="I333" i="24"/>
  <c r="B1566" i="24"/>
  <c r="B349" i="24"/>
  <c r="B62" i="24"/>
  <c r="H645" i="24"/>
  <c r="B1094" i="24"/>
  <c r="D304" i="24"/>
  <c r="B1683" i="24"/>
  <c r="B278" i="24"/>
  <c r="D1603" i="24"/>
  <c r="B734" i="24"/>
  <c r="D1079" i="24"/>
  <c r="M1383" i="24"/>
  <c r="H1422" i="24"/>
  <c r="D1786" i="24"/>
  <c r="I1804" i="24"/>
  <c r="I836" i="24"/>
  <c r="D943" i="24"/>
  <c r="I256" i="24"/>
  <c r="H415" i="24"/>
  <c r="M1012" i="24"/>
  <c r="B1536" i="24"/>
  <c r="B121" i="24"/>
  <c r="B572" i="24"/>
  <c r="M172" i="24"/>
  <c r="D1717" i="24"/>
  <c r="B1594" i="24"/>
  <c r="B1023" i="24"/>
  <c r="B72" i="24"/>
  <c r="D85" i="24"/>
  <c r="I682" i="24"/>
  <c r="I512" i="24"/>
  <c r="D128" i="24"/>
  <c r="D1355" i="24"/>
  <c r="I218" i="24"/>
  <c r="B539" i="24"/>
  <c r="D1270" i="24"/>
  <c r="H688" i="24"/>
  <c r="D723" i="24"/>
  <c r="B1113" i="24"/>
  <c r="I1580" i="24"/>
  <c r="M790" i="24"/>
  <c r="B1262" i="24"/>
  <c r="H943" i="24"/>
  <c r="I1172" i="24"/>
  <c r="B180" i="24"/>
  <c r="D1523" i="24"/>
  <c r="I1640" i="24"/>
  <c r="I683" i="24"/>
  <c r="M385" i="24"/>
  <c r="M1153" i="24"/>
  <c r="M1149" i="24"/>
  <c r="I455" i="24"/>
  <c r="D475" i="24"/>
  <c r="M1511" i="24"/>
  <c r="H1196" i="24"/>
  <c r="H677" i="24"/>
  <c r="I1157" i="24"/>
  <c r="D1309" i="24"/>
  <c r="B424" i="24"/>
  <c r="H333" i="24"/>
  <c r="M554" i="24"/>
  <c r="H1732" i="24"/>
  <c r="B1071" i="24"/>
  <c r="I1045" i="24"/>
  <c r="I799" i="24"/>
  <c r="D1286" i="24"/>
  <c r="M900" i="24"/>
  <c r="I285" i="24"/>
  <c r="I962" i="24"/>
  <c r="M1439" i="24"/>
  <c r="I1729" i="24"/>
  <c r="I1706" i="24"/>
  <c r="H1304" i="24"/>
  <c r="I243" i="24"/>
  <c r="I1308" i="24"/>
  <c r="M44" i="24"/>
  <c r="M1053" i="24"/>
  <c r="B492" i="24"/>
  <c r="I571" i="24"/>
  <c r="D1403" i="24"/>
  <c r="H1864" i="24"/>
  <c r="M1095" i="24"/>
  <c r="I1681" i="24"/>
  <c r="B1473" i="24"/>
  <c r="I380" i="24"/>
  <c r="B396" i="24"/>
  <c r="B443" i="24"/>
  <c r="B1790" i="24"/>
  <c r="B1378" i="24"/>
  <c r="M1509" i="24"/>
  <c r="B1426" i="24"/>
  <c r="D948" i="24"/>
  <c r="I752" i="24"/>
  <c r="I694" i="24"/>
  <c r="H85" i="24"/>
  <c r="D1082" i="24"/>
  <c r="D679" i="24"/>
  <c r="H1397" i="24"/>
  <c r="B855" i="24"/>
  <c r="H806" i="24"/>
  <c r="D788" i="24"/>
  <c r="H520" i="24"/>
  <c r="B535" i="24"/>
  <c r="B1606" i="24"/>
  <c r="B1107" i="24"/>
  <c r="D97" i="24"/>
  <c r="H617" i="24"/>
  <c r="M1576" i="24"/>
  <c r="D154" i="24"/>
  <c r="H588" i="24"/>
  <c r="H503" i="24"/>
  <c r="B26" i="24"/>
  <c r="H407" i="24"/>
  <c r="B1761" i="24"/>
  <c r="B635" i="24"/>
  <c r="I800" i="24"/>
  <c r="B771" i="24"/>
  <c r="H1352" i="24"/>
  <c r="B1120" i="24"/>
  <c r="I1251" i="24"/>
  <c r="D412" i="24"/>
  <c r="M301" i="24"/>
  <c r="M185" i="24"/>
  <c r="I637" i="24"/>
  <c r="D574" i="24"/>
  <c r="D497" i="24"/>
  <c r="B616" i="24"/>
  <c r="D1030" i="24"/>
  <c r="B1482" i="24"/>
  <c r="H396" i="24"/>
  <c r="I979" i="24"/>
  <c r="H66" i="24"/>
  <c r="H1346" i="24"/>
  <c r="D543" i="24"/>
  <c r="M1637" i="24"/>
  <c r="I391" i="24"/>
  <c r="B783" i="24"/>
  <c r="H803" i="24"/>
  <c r="D793" i="24"/>
  <c r="M35" i="24"/>
  <c r="D1634" i="24"/>
  <c r="H378" i="24"/>
  <c r="D1467" i="24"/>
  <c r="H1054" i="24"/>
  <c r="I1690" i="24"/>
  <c r="I253" i="24"/>
  <c r="M521" i="24"/>
  <c r="D205" i="24"/>
  <c r="B195" i="24"/>
  <c r="D807" i="24"/>
  <c r="I786" i="24"/>
  <c r="D37" i="24"/>
  <c r="D660" i="24"/>
  <c r="H1437" i="24"/>
  <c r="H419" i="24"/>
  <c r="B618" i="24"/>
  <c r="I500" i="24"/>
  <c r="H304" i="24"/>
  <c r="H461" i="24"/>
  <c r="D390" i="24"/>
  <c r="D1493" i="24"/>
  <c r="B404" i="24"/>
  <c r="I1410" i="24"/>
  <c r="D627" i="24"/>
  <c r="H1903" i="24"/>
  <c r="D735" i="24"/>
  <c r="H105" i="24"/>
  <c r="M237" i="24"/>
  <c r="D1436" i="24"/>
  <c r="D327" i="24"/>
  <c r="I403" i="24"/>
  <c r="I159" i="24"/>
  <c r="B831" i="24"/>
  <c r="H795" i="24"/>
  <c r="M1185" i="24"/>
  <c r="B888" i="24"/>
  <c r="B1579" i="24"/>
  <c r="H1305" i="24"/>
  <c r="B1632" i="24"/>
  <c r="I1119" i="24"/>
  <c r="B166" i="24"/>
  <c r="D400" i="24"/>
  <c r="I1670" i="24"/>
  <c r="H439" i="24"/>
  <c r="B706" i="24"/>
  <c r="M1579" i="24"/>
  <c r="D1042" i="24"/>
  <c r="I971" i="24"/>
  <c r="B953" i="24"/>
  <c r="I528" i="24"/>
  <c r="H903" i="24"/>
  <c r="B940" i="24"/>
  <c r="B570" i="24"/>
  <c r="D937" i="24"/>
  <c r="M1627" i="24"/>
  <c r="M277" i="24"/>
  <c r="H1000" i="24"/>
  <c r="I1448" i="24"/>
  <c r="D581" i="24"/>
  <c r="D101" i="24"/>
  <c r="I350" i="24"/>
  <c r="I69" i="24"/>
  <c r="D1364" i="24"/>
  <c r="I1593" i="24"/>
  <c r="B1328" i="24"/>
  <c r="H286" i="24"/>
  <c r="I1843" i="24"/>
  <c r="D630" i="24"/>
  <c r="D626" i="24"/>
  <c r="I48" i="24"/>
  <c r="B46" i="24"/>
  <c r="D1605" i="24"/>
  <c r="B606" i="24"/>
  <c r="M29" i="24"/>
  <c r="B581" i="24"/>
  <c r="I1011" i="24"/>
  <c r="H962" i="24"/>
  <c r="B1730" i="24"/>
  <c r="I690" i="24"/>
  <c r="D164" i="24"/>
  <c r="B1336" i="24"/>
  <c r="B1467" i="24"/>
  <c r="I1637" i="24"/>
  <c r="B393" i="24"/>
  <c r="H766" i="24"/>
  <c r="B1464" i="24"/>
  <c r="H100" i="24"/>
  <c r="I237" i="24"/>
  <c r="B158" i="24"/>
  <c r="D121" i="24"/>
  <c r="D612" i="24"/>
  <c r="B976" i="24"/>
  <c r="I468" i="24"/>
  <c r="D536" i="24"/>
  <c r="M1029" i="24"/>
  <c r="D450" i="24"/>
  <c r="H433" i="24"/>
  <c r="H714" i="24"/>
  <c r="H717" i="24"/>
  <c r="D915" i="24"/>
  <c r="I318" i="24"/>
  <c r="M276" i="24"/>
  <c r="H1182" i="24"/>
  <c r="H1227" i="24"/>
  <c r="H1207" i="24"/>
  <c r="M1629" i="24"/>
  <c r="M806" i="24"/>
  <c r="D130" i="24"/>
  <c r="D48" i="24"/>
  <c r="I249" i="24"/>
  <c r="I633" i="24"/>
  <c r="D1586" i="24"/>
  <c r="I1566" i="24"/>
  <c r="B227" i="24"/>
  <c r="B1511" i="24"/>
  <c r="I49" i="24"/>
  <c r="H1357" i="24"/>
  <c r="D992" i="24"/>
  <c r="D1113" i="24"/>
  <c r="B464" i="24"/>
  <c r="I361" i="24"/>
  <c r="B755" i="24"/>
  <c r="B1728" i="24"/>
  <c r="B676" i="24"/>
  <c r="M1368" i="24"/>
  <c r="H1636" i="24"/>
  <c r="H35" i="24"/>
  <c r="I1386" i="24"/>
  <c r="B1283" i="24"/>
  <c r="H1755" i="24"/>
  <c r="I1050" i="24"/>
  <c r="M38" i="24"/>
  <c r="B1864" i="24"/>
  <c r="H997" i="24"/>
  <c r="D1873" i="24"/>
  <c r="H119" i="24"/>
  <c r="D1349" i="24"/>
  <c r="H349" i="24"/>
  <c r="D502" i="24"/>
  <c r="M1404" i="24"/>
  <c r="M1292" i="24"/>
  <c r="B1839" i="24"/>
  <c r="D531" i="24"/>
  <c r="I685" i="24"/>
  <c r="D150" i="24"/>
  <c r="M947" i="24"/>
  <c r="B487" i="24"/>
  <c r="B1067" i="24"/>
  <c r="D267" i="24"/>
  <c r="I509" i="24"/>
  <c r="D1165" i="24"/>
  <c r="D1211" i="24"/>
  <c r="B498" i="24"/>
  <c r="M814" i="24"/>
  <c r="B1504" i="24"/>
  <c r="H557" i="24"/>
  <c r="B14" i="24"/>
  <c r="D1348" i="24"/>
  <c r="I794" i="24"/>
  <c r="B233" i="24"/>
  <c r="I1292" i="24"/>
  <c r="H1184" i="24"/>
  <c r="B1294" i="24"/>
  <c r="B605" i="24"/>
  <c r="I1096" i="24"/>
  <c r="M1852" i="24"/>
  <c r="B1185" i="24"/>
  <c r="H79" i="24"/>
  <c r="D1473" i="24"/>
  <c r="I1110" i="24"/>
  <c r="I1857" i="24"/>
  <c r="D1291" i="24"/>
  <c r="B1443" i="24"/>
  <c r="B489" i="24"/>
  <c r="D103" i="24"/>
  <c r="I63" i="24"/>
  <c r="B674" i="24"/>
  <c r="B1359" i="24"/>
  <c r="B657" i="24"/>
  <c r="I1818" i="24"/>
  <c r="B729" i="24"/>
  <c r="B939" i="24"/>
  <c r="M1303" i="24"/>
  <c r="I1241" i="24"/>
  <c r="H901" i="24"/>
  <c r="M1345" i="24"/>
  <c r="B1607" i="24"/>
  <c r="H866" i="24"/>
  <c r="M1207" i="24"/>
  <c r="H850" i="24"/>
  <c r="B1781" i="24"/>
  <c r="I1458" i="24"/>
  <c r="M668" i="24"/>
  <c r="B1390" i="24"/>
  <c r="D1792" i="24"/>
  <c r="H106" i="24"/>
  <c r="D1713" i="24"/>
  <c r="B1219" i="24"/>
  <c r="H1753" i="24"/>
  <c r="I9" i="24"/>
  <c r="M1496" i="24"/>
  <c r="I914" i="24"/>
  <c r="M904" i="24"/>
  <c r="H114" i="24"/>
  <c r="I1222" i="24"/>
  <c r="D965" i="24"/>
  <c r="B540" i="24"/>
  <c r="B208" i="24"/>
  <c r="D1728" i="24"/>
  <c r="D307" i="24"/>
  <c r="M1037" i="24"/>
  <c r="D555" i="24"/>
  <c r="B703" i="24"/>
  <c r="B871" i="24"/>
  <c r="H11" i="24"/>
  <c r="B388" i="24"/>
  <c r="D238" i="24"/>
  <c r="I701" i="24"/>
  <c r="I267" i="24"/>
  <c r="H113" i="24"/>
  <c r="H476" i="24"/>
  <c r="D1805" i="24"/>
  <c r="I441" i="24"/>
  <c r="H377" i="24"/>
  <c r="I866" i="24"/>
  <c r="B1282" i="24"/>
  <c r="M16" i="24"/>
  <c r="M1560" i="24"/>
  <c r="H700" i="24"/>
  <c r="I1208" i="24"/>
  <c r="D1046" i="24"/>
  <c r="H524" i="24"/>
  <c r="D517" i="24"/>
  <c r="H918" i="24"/>
  <c r="B989" i="24"/>
  <c r="B574" i="24"/>
  <c r="D604" i="24"/>
  <c r="I355" i="24"/>
  <c r="H1331" i="24"/>
  <c r="H1205" i="24"/>
  <c r="H258" i="24"/>
  <c r="I119" i="24"/>
  <c r="H978" i="24"/>
  <c r="H812" i="24"/>
  <c r="B1129" i="24"/>
  <c r="I472" i="24"/>
  <c r="D1414" i="24"/>
  <c r="D204" i="24"/>
  <c r="M740" i="24"/>
  <c r="H453" i="24"/>
  <c r="I1262" i="24"/>
  <c r="D1104" i="24"/>
  <c r="B10" i="24"/>
  <c r="D1490" i="24"/>
  <c r="B49" i="24"/>
  <c r="B1554" i="24"/>
  <c r="I203" i="24"/>
  <c r="I876" i="24"/>
  <c r="H946" i="24"/>
  <c r="H977" i="24"/>
  <c r="H1637" i="24"/>
  <c r="B847" i="24"/>
  <c r="B1331" i="24"/>
  <c r="D234" i="24"/>
  <c r="I17" i="24"/>
  <c r="I582" i="24"/>
  <c r="H869" i="24"/>
  <c r="B1698" i="24"/>
  <c r="B15" i="24"/>
  <c r="I1370" i="24"/>
  <c r="B609" i="24"/>
  <c r="I1190" i="24"/>
  <c r="D1742" i="24"/>
  <c r="D1307" i="24"/>
  <c r="B1737" i="24"/>
  <c r="D949" i="24"/>
  <c r="B685" i="24"/>
  <c r="I466" i="24"/>
  <c r="H347" i="24"/>
  <c r="D347" i="24"/>
  <c r="B1747" i="24"/>
  <c r="D1123" i="24"/>
  <c r="M428" i="24"/>
  <c r="M1526" i="24"/>
  <c r="M1241" i="24"/>
  <c r="B1830" i="24"/>
  <c r="D1697" i="24"/>
  <c r="I578" i="24"/>
  <c r="I973" i="24"/>
  <c r="H550" i="24"/>
  <c r="H447" i="24"/>
  <c r="D1460" i="24"/>
  <c r="B1252" i="24"/>
  <c r="D1520" i="24"/>
  <c r="I1200" i="24"/>
  <c r="D726" i="24"/>
  <c r="H1073" i="24"/>
  <c r="D1556" i="24"/>
  <c r="I1250" i="24"/>
  <c r="I328" i="24"/>
  <c r="B562" i="24"/>
  <c r="M1861" i="24"/>
  <c r="I1671" i="24"/>
  <c r="H156" i="24"/>
  <c r="I775" i="24"/>
  <c r="B342" i="24"/>
  <c r="H1052" i="24"/>
  <c r="D1124" i="24"/>
  <c r="B764" i="24"/>
  <c r="I492" i="24"/>
  <c r="I861" i="24"/>
  <c r="I273" i="24"/>
  <c r="M71" i="24"/>
  <c r="B954" i="24"/>
  <c r="B1452" i="24"/>
  <c r="I1147" i="24"/>
  <c r="D728" i="24"/>
  <c r="H406" i="24"/>
  <c r="M375" i="24"/>
  <c r="I1089" i="24"/>
  <c r="B1865" i="24"/>
  <c r="D1791" i="24"/>
  <c r="D1732" i="24"/>
  <c r="D1026" i="24"/>
  <c r="I1194" i="24"/>
  <c r="D1133" i="24"/>
  <c r="B564" i="24"/>
  <c r="M612" i="24"/>
  <c r="H1180" i="24"/>
  <c r="D1426" i="24"/>
  <c r="I1861" i="24"/>
  <c r="D1756" i="24"/>
  <c r="I783" i="24"/>
  <c r="H902" i="24"/>
  <c r="M252" i="24"/>
  <c r="I887" i="24"/>
  <c r="H1446" i="24"/>
  <c r="M1584" i="24"/>
  <c r="D1607" i="24"/>
  <c r="I1105" i="24"/>
  <c r="D893" i="24"/>
  <c r="M127" i="24"/>
  <c r="H56" i="24"/>
  <c r="D1158" i="24"/>
  <c r="I675" i="24"/>
  <c r="H1035" i="24"/>
  <c r="I357" i="24"/>
  <c r="D1880" i="24"/>
  <c r="M1195" i="24"/>
  <c r="I244" i="24"/>
  <c r="D148" i="24"/>
  <c r="D40" i="24"/>
  <c r="B919" i="24"/>
  <c r="D727" i="24"/>
  <c r="I1023" i="24"/>
  <c r="M638" i="24"/>
  <c r="H47" i="24"/>
  <c r="B1417" i="24"/>
  <c r="B669" i="24"/>
  <c r="H1360" i="24"/>
  <c r="H1635" i="24"/>
  <c r="B779" i="24"/>
  <c r="H1013" i="24"/>
  <c r="H1166" i="24"/>
  <c r="M1875" i="24"/>
  <c r="M225" i="24"/>
  <c r="I1273" i="24"/>
  <c r="I584" i="24"/>
  <c r="M1553" i="24"/>
  <c r="B362" i="24"/>
  <c r="H573" i="24"/>
  <c r="I931" i="24"/>
  <c r="D207" i="24"/>
  <c r="B1433" i="24"/>
  <c r="H16" i="24"/>
  <c r="B1070" i="24"/>
  <c r="B1529" i="24"/>
  <c r="M1873" i="24"/>
  <c r="D1103" i="24"/>
  <c r="B749" i="24"/>
  <c r="D1410" i="24"/>
  <c r="I908" i="24"/>
  <c r="H279" i="24"/>
  <c r="M877" i="24"/>
  <c r="B306" i="24"/>
  <c r="B372" i="24"/>
  <c r="I347" i="24"/>
  <c r="I217" i="24"/>
  <c r="D1148" i="24"/>
  <c r="I1168" i="24"/>
  <c r="D1300" i="24"/>
  <c r="B150" i="24"/>
  <c r="I176" i="24"/>
  <c r="B523" i="24"/>
  <c r="H667" i="24"/>
  <c r="B1856" i="24"/>
  <c r="M1666" i="24"/>
  <c r="M942" i="24"/>
  <c r="B1608" i="24"/>
  <c r="I996" i="24"/>
  <c r="D334" i="24"/>
  <c r="D1240" i="24"/>
  <c r="H696" i="24"/>
  <c r="D1266" i="24"/>
  <c r="I663" i="24"/>
  <c r="B1217" i="24"/>
  <c r="I1547" i="24"/>
  <c r="D643" i="24"/>
  <c r="I1084" i="24"/>
  <c r="M1663" i="24"/>
  <c r="I518" i="24"/>
  <c r="I1436" i="24"/>
  <c r="D242" i="24"/>
  <c r="B1346" i="24"/>
  <c r="B3" i="24"/>
  <c r="H373" i="24"/>
  <c r="M1274" i="24"/>
  <c r="I632" i="24"/>
  <c r="D966" i="24"/>
  <c r="B1387" i="24"/>
  <c r="H906" i="24"/>
  <c r="H746" i="24"/>
  <c r="B1680" i="24"/>
  <c r="D1086" i="24"/>
  <c r="B1508" i="24"/>
  <c r="M1901" i="24"/>
  <c r="D3" i="24"/>
  <c r="H927" i="24"/>
  <c r="M126" i="24"/>
  <c r="B774" i="24"/>
  <c r="I1519" i="24"/>
  <c r="D1197" i="24"/>
  <c r="D896" i="24"/>
  <c r="B838" i="24"/>
  <c r="M852" i="24"/>
  <c r="H291" i="24"/>
  <c r="D1830" i="24"/>
  <c r="M1897" i="24"/>
  <c r="D1020" i="24"/>
  <c r="B1840" i="24"/>
  <c r="H228" i="24"/>
  <c r="B966" i="24"/>
  <c r="B1820" i="24"/>
  <c r="M8" i="24"/>
  <c r="M445" i="24"/>
  <c r="B1742" i="24"/>
  <c r="B1458" i="24"/>
  <c r="B1584" i="24"/>
  <c r="M300" i="24"/>
  <c r="B799" i="24"/>
  <c r="I1765" i="24"/>
  <c r="D1747" i="24"/>
  <c r="M242" i="24"/>
  <c r="D1235" i="24"/>
  <c r="H420" i="24"/>
  <c r="B638" i="24"/>
  <c r="I76" i="24"/>
  <c r="D592" i="24"/>
  <c r="D894" i="24"/>
  <c r="H990" i="24"/>
  <c r="H267" i="24"/>
  <c r="I723" i="24"/>
  <c r="D1854" i="24"/>
  <c r="B431" i="24"/>
  <c r="B1041" i="24"/>
  <c r="H735" i="24"/>
  <c r="H1798" i="24"/>
  <c r="D1612" i="24"/>
  <c r="M1457" i="24"/>
  <c r="M1445" i="24"/>
  <c r="H831" i="24"/>
  <c r="I1497" i="24"/>
  <c r="D916" i="24"/>
  <c r="M1853" i="24"/>
  <c r="H230" i="24"/>
  <c r="I607" i="24"/>
  <c r="H372" i="24"/>
  <c r="B1851" i="24"/>
  <c r="M529" i="24"/>
  <c r="M110" i="24"/>
  <c r="I1654" i="24"/>
  <c r="M376" i="24"/>
  <c r="I770" i="24"/>
  <c r="H1470" i="24"/>
  <c r="B39" i="24"/>
  <c r="I1616" i="24"/>
  <c r="D1290" i="24"/>
  <c r="I338" i="24"/>
  <c r="H1543" i="24"/>
  <c r="M1273" i="24"/>
  <c r="M1437" i="24"/>
  <c r="M1254" i="24"/>
  <c r="H213" i="24"/>
  <c r="D747" i="24"/>
  <c r="D286" i="24"/>
  <c r="D275" i="24"/>
  <c r="D1021" i="24"/>
  <c r="B794" i="24"/>
  <c r="M1007" i="24"/>
  <c r="M1390" i="24"/>
  <c r="D50" i="24"/>
  <c r="B141" i="24"/>
  <c r="D1411" i="24"/>
  <c r="D775" i="24"/>
  <c r="I1133" i="24"/>
  <c r="B43" i="24"/>
  <c r="I1305" i="24"/>
  <c r="B1338" i="24"/>
  <c r="H221" i="24"/>
  <c r="D1390" i="24"/>
  <c r="B1232" i="24"/>
  <c r="B677" i="24"/>
  <c r="H783" i="24"/>
  <c r="D1850" i="24"/>
  <c r="B856" i="24"/>
  <c r="D174" i="24"/>
  <c r="B1423" i="24"/>
  <c r="M672" i="24"/>
  <c r="B835" i="24"/>
  <c r="D655" i="24"/>
  <c r="D1336" i="24"/>
  <c r="H1023" i="24"/>
  <c r="M522" i="24"/>
  <c r="I1087" i="24"/>
  <c r="D149" i="24"/>
  <c r="B1004" i="24"/>
  <c r="I608" i="24"/>
  <c r="D1707" i="24"/>
  <c r="B1716" i="24"/>
  <c r="H837" i="24"/>
  <c r="M1661" i="24"/>
  <c r="H233" i="24"/>
  <c r="H549" i="24"/>
  <c r="D438" i="24"/>
  <c r="D467" i="24"/>
  <c r="B1477" i="24"/>
  <c r="I394" i="24"/>
  <c r="D472" i="24"/>
  <c r="B1421" i="24"/>
  <c r="H1257" i="24"/>
  <c r="H874" i="24"/>
  <c r="I1478" i="24"/>
  <c r="B1112" i="24"/>
  <c r="M1351" i="24"/>
  <c r="M417" i="24"/>
  <c r="B442" i="24"/>
  <c r="D616" i="24"/>
  <c r="I507" i="24"/>
  <c r="H1853" i="24"/>
  <c r="B559" i="24"/>
  <c r="D321" i="24"/>
  <c r="I1175" i="24"/>
  <c r="H1661" i="24"/>
  <c r="D1106" i="24"/>
  <c r="B398" i="24"/>
  <c r="D1281" i="24"/>
  <c r="D1209" i="24"/>
  <c r="M1107" i="24"/>
  <c r="H381" i="24"/>
  <c r="M251" i="24"/>
  <c r="M939" i="24"/>
  <c r="D1511" i="24"/>
  <c r="I1766" i="24"/>
  <c r="I32" i="24"/>
  <c r="M1278" i="24"/>
  <c r="H3" i="24"/>
  <c r="D1727" i="24"/>
  <c r="D1048" i="24"/>
  <c r="B1260" i="24"/>
  <c r="D1201" i="24"/>
  <c r="M336" i="24"/>
  <c r="D1126" i="24"/>
  <c r="H1832" i="24"/>
  <c r="I1154" i="24"/>
  <c r="I1035" i="24"/>
  <c r="M1239" i="24"/>
  <c r="M1252" i="24"/>
  <c r="M626" i="24"/>
  <c r="M940" i="24"/>
  <c r="I197" i="24"/>
  <c r="M84" i="24"/>
  <c r="I809" i="24"/>
  <c r="I600" i="24"/>
  <c r="M665" i="24"/>
  <c r="B330" i="24"/>
  <c r="D392" i="24"/>
  <c r="M603" i="24"/>
  <c r="M217" i="24"/>
  <c r="H1540" i="24"/>
  <c r="D1415" i="24"/>
  <c r="I478" i="24"/>
  <c r="H628" i="24"/>
  <c r="B1190" i="24"/>
  <c r="H1004" i="24"/>
  <c r="B18" i="24"/>
  <c r="M1533" i="24"/>
  <c r="H1108" i="24"/>
  <c r="B400" i="24"/>
  <c r="D268" i="24"/>
  <c r="B1363" i="24"/>
  <c r="D1257" i="24"/>
  <c r="M1633" i="24"/>
  <c r="B545" i="24"/>
  <c r="D31" i="24"/>
  <c r="H1125" i="24"/>
  <c r="I1457" i="24"/>
  <c r="M13" i="24"/>
  <c r="I1694" i="24"/>
  <c r="D1025" i="24"/>
  <c r="I1140" i="24"/>
  <c r="D960" i="24"/>
  <c r="B1474" i="24"/>
  <c r="B1617" i="24"/>
  <c r="B602" i="24"/>
  <c r="D316" i="24"/>
  <c r="B41" i="24"/>
  <c r="I375" i="24"/>
  <c r="D1397" i="24"/>
  <c r="I1039" i="24"/>
  <c r="I930" i="24"/>
  <c r="B73" i="24"/>
  <c r="I1792" i="24"/>
  <c r="B551" i="24"/>
  <c r="D1088" i="24"/>
  <c r="D421" i="24"/>
  <c r="D455" i="24"/>
  <c r="H846" i="24"/>
  <c r="B395" i="24"/>
  <c r="D613" i="24"/>
  <c r="I726" i="24"/>
  <c r="B1143" i="24"/>
  <c r="B301" i="24"/>
  <c r="D938" i="24"/>
  <c r="B1239" i="24"/>
  <c r="M729" i="24"/>
  <c r="B468" i="24"/>
  <c r="D152" i="24"/>
  <c r="H622" i="24"/>
  <c r="B1021" i="24"/>
  <c r="D819" i="24"/>
  <c r="D344" i="24"/>
  <c r="M1899" i="24"/>
  <c r="I782" i="24"/>
  <c r="B1354" i="24"/>
  <c r="D180" i="24"/>
  <c r="M207" i="24"/>
  <c r="D1505" i="24"/>
  <c r="I1901" i="24"/>
  <c r="M1854" i="24"/>
  <c r="H825" i="24"/>
  <c r="D118" i="24"/>
  <c r="M1865" i="24"/>
  <c r="I1093" i="24"/>
  <c r="H247" i="24"/>
  <c r="B692" i="24"/>
  <c r="D944" i="24"/>
  <c r="H316" i="24"/>
  <c r="H73" i="24"/>
  <c r="M1243" i="24"/>
  <c r="D1563" i="24"/>
  <c r="D120" i="24"/>
  <c r="B949" i="24"/>
  <c r="D851" i="24"/>
  <c r="H1089" i="24"/>
  <c r="D1267" i="24"/>
  <c r="I1577" i="24"/>
  <c r="B1853" i="24"/>
  <c r="D1109" i="24"/>
  <c r="H1169" i="24"/>
  <c r="H352" i="24"/>
  <c r="M1446" i="24"/>
  <c r="B1707" i="24"/>
  <c r="B29" i="24"/>
  <c r="D71" i="24"/>
  <c r="I1248" i="24"/>
  <c r="D1799" i="24"/>
  <c r="I1117" i="24"/>
  <c r="D564" i="24"/>
  <c r="H740" i="24"/>
  <c r="H1887" i="24"/>
  <c r="I124" i="24"/>
  <c r="I889" i="24"/>
  <c r="H1659" i="24"/>
  <c r="I892" i="24"/>
  <c r="B1416" i="24"/>
  <c r="I14" i="24"/>
  <c r="B1609" i="24"/>
  <c r="B1780" i="24"/>
  <c r="I854" i="24"/>
  <c r="I673" i="24"/>
  <c r="I594" i="24"/>
  <c r="I744" i="24"/>
  <c r="D533" i="24"/>
  <c r="D1071" i="24"/>
  <c r="D859" i="24"/>
  <c r="I366" i="24"/>
  <c r="H68" i="24"/>
  <c r="B1903" i="24"/>
  <c r="I599" i="24"/>
  <c r="H1361" i="24"/>
  <c r="H382" i="24"/>
  <c r="D239" i="24"/>
  <c r="D409" i="24"/>
  <c r="B931" i="24"/>
  <c r="M1456" i="24"/>
  <c r="H181" i="24"/>
  <c r="I703" i="24"/>
  <c r="B408" i="24"/>
  <c r="M215" i="24"/>
  <c r="I1531" i="24"/>
  <c r="I1630" i="24"/>
  <c r="M605" i="24"/>
  <c r="B1039" i="24"/>
  <c r="B1211" i="24"/>
  <c r="M299" i="24"/>
  <c r="I612" i="24"/>
  <c r="B401" i="24"/>
  <c r="I1032" i="24"/>
  <c r="B447" i="24"/>
  <c r="B1374" i="24"/>
  <c r="M1328" i="24"/>
  <c r="I641" i="24"/>
  <c r="I439" i="24"/>
  <c r="I721" i="24"/>
  <c r="D658" i="24"/>
  <c r="B37" i="24"/>
  <c r="B1687" i="24"/>
  <c r="I1068" i="24"/>
  <c r="I271" i="24"/>
  <c r="D682" i="24"/>
  <c r="H733" i="24"/>
  <c r="B1519" i="24"/>
  <c r="I717" i="24"/>
  <c r="H465" i="24"/>
  <c r="I330" i="24"/>
  <c r="H1598" i="24"/>
  <c r="B1872" i="24"/>
  <c r="H1889" i="24"/>
  <c r="I522" i="24"/>
  <c r="D1750" i="24"/>
  <c r="H1181" i="24"/>
  <c r="D746" i="24"/>
  <c r="B691" i="24"/>
  <c r="B471" i="24"/>
  <c r="D258" i="24"/>
  <c r="D623" i="24"/>
  <c r="B809" i="24"/>
  <c r="D693" i="24"/>
  <c r="B1118" i="24"/>
  <c r="I1193" i="24"/>
  <c r="I879" i="24"/>
  <c r="I1306" i="24"/>
  <c r="B1499" i="24"/>
  <c r="D240" i="24"/>
  <c r="D539" i="24"/>
  <c r="H474" i="24"/>
  <c r="B1725" i="24"/>
  <c r="D1216" i="24"/>
  <c r="B946" i="24"/>
  <c r="D607" i="24"/>
  <c r="D1153" i="24"/>
  <c r="H551" i="24"/>
  <c r="I970" i="24"/>
  <c r="H364" i="24"/>
  <c r="D1095" i="24"/>
  <c r="I1380" i="24"/>
  <c r="B740" i="24"/>
  <c r="I321" i="24"/>
  <c r="M589" i="24"/>
  <c r="D1599" i="24"/>
  <c r="M1360" i="24"/>
  <c r="D1463" i="24"/>
  <c r="M1132" i="24"/>
  <c r="D69" i="24"/>
  <c r="B1329" i="24"/>
  <c r="D404" i="24"/>
  <c r="B683" i="24"/>
  <c r="D1041" i="24"/>
  <c r="H434" i="24"/>
  <c r="M801" i="24"/>
  <c r="B827" i="24"/>
  <c r="H1750" i="24"/>
  <c r="B502" i="24"/>
  <c r="I910" i="24"/>
  <c r="B1090" i="24"/>
  <c r="H357" i="24"/>
  <c r="I746" i="24"/>
  <c r="I957" i="24"/>
  <c r="D909" i="24"/>
  <c r="B441" i="24"/>
  <c r="H790" i="24"/>
  <c r="M184" i="24"/>
  <c r="M1173" i="24"/>
  <c r="I592" i="24"/>
  <c r="D261" i="24"/>
  <c r="M1603" i="24"/>
  <c r="I1132" i="24"/>
  <c r="B1287" i="24"/>
  <c r="I1885" i="24"/>
  <c r="I315" i="24"/>
  <c r="H899" i="24"/>
  <c r="I611" i="24"/>
  <c r="H1274" i="24"/>
  <c r="I776" i="24"/>
  <c r="B787" i="24"/>
  <c r="B1405" i="24"/>
  <c r="M10" i="24"/>
  <c r="M909" i="24"/>
  <c r="D490" i="24"/>
  <c r="D639" i="24"/>
  <c r="B462" i="24"/>
  <c r="M568" i="24"/>
  <c r="B152" i="24"/>
  <c r="B1549" i="24"/>
  <c r="B1133" i="24"/>
  <c r="D1508" i="24"/>
  <c r="D591" i="24"/>
  <c r="I1553" i="24"/>
  <c r="D84" i="24"/>
  <c r="I440" i="24"/>
  <c r="D1376" i="24"/>
  <c r="I1317" i="24"/>
  <c r="I1085" i="24"/>
  <c r="M717" i="24"/>
  <c r="M1313" i="24"/>
  <c r="B1553" i="24"/>
  <c r="M275" i="24"/>
  <c r="H570" i="24"/>
  <c r="D914" i="24"/>
  <c r="B1890" i="24"/>
  <c r="D994" i="24"/>
  <c r="H620" i="24"/>
  <c r="M784" i="24"/>
  <c r="H634" i="24"/>
  <c r="B1034" i="24"/>
  <c r="D107" i="24"/>
  <c r="H344" i="24"/>
  <c r="M1464" i="24"/>
  <c r="D1070" i="24"/>
  <c r="D1185" i="24"/>
  <c r="I1022" i="24"/>
  <c r="B499" i="24"/>
  <c r="M1625" i="24"/>
  <c r="D950" i="24"/>
  <c r="D1378" i="24"/>
  <c r="D1893" i="24"/>
  <c r="B143" i="24"/>
  <c r="H1378" i="24"/>
  <c r="D716" i="24"/>
  <c r="H495" i="24"/>
  <c r="B845" i="24"/>
  <c r="H450" i="24"/>
  <c r="D717" i="24"/>
  <c r="D1650" i="24"/>
  <c r="I1136" i="24"/>
  <c r="D983" i="24"/>
  <c r="H824" i="24"/>
  <c r="H1041" i="24"/>
  <c r="B32" i="24"/>
  <c r="H1374" i="24"/>
  <c r="D487" i="24"/>
  <c r="H1754" i="24"/>
  <c r="M4" i="24"/>
  <c r="D740" i="24"/>
  <c r="I567" i="24"/>
  <c r="D980" i="24"/>
  <c r="B957" i="24"/>
  <c r="B1854" i="24"/>
  <c r="H536" i="24"/>
  <c r="M1598" i="24"/>
  <c r="H452" i="24"/>
  <c r="B587" i="24"/>
  <c r="H404" i="24"/>
  <c r="H929" i="24"/>
  <c r="I1623" i="24"/>
  <c r="I871" i="24"/>
  <c r="M532" i="24"/>
  <c r="B900" i="24"/>
  <c r="M1508" i="24"/>
  <c r="D829" i="24"/>
  <c r="D1402" i="24"/>
  <c r="H7" i="24"/>
  <c r="B110" i="24"/>
  <c r="B1523" i="24"/>
  <c r="H27" i="24"/>
  <c r="D1736" i="24"/>
  <c r="I1904" i="24"/>
  <c r="D927" i="24"/>
  <c r="I1215" i="24"/>
  <c r="I1455" i="24"/>
  <c r="D1585" i="24"/>
  <c r="B979" i="24"/>
  <c r="D1145" i="24"/>
  <c r="I1716" i="24"/>
  <c r="H1248" i="24"/>
  <c r="I491" i="24"/>
  <c r="M1079" i="24"/>
  <c r="D689" i="24"/>
  <c r="B886" i="24"/>
  <c r="D451" i="24"/>
  <c r="D1296" i="24"/>
  <c r="B1572" i="24"/>
  <c r="D1693" i="24"/>
  <c r="B363" i="24"/>
  <c r="H865" i="24"/>
  <c r="I1342" i="24"/>
  <c r="H464" i="24"/>
  <c r="I1760" i="24"/>
  <c r="D645" i="24"/>
  <c r="I851" i="24"/>
  <c r="M1397" i="24"/>
  <c r="H137" i="24"/>
  <c r="H331" i="24"/>
  <c r="H991" i="24"/>
  <c r="D254" i="24"/>
  <c r="D470" i="24"/>
  <c r="D1680" i="24"/>
  <c r="H1329" i="24"/>
  <c r="I1291" i="24"/>
  <c r="H501" i="24"/>
  <c r="D1781" i="24"/>
  <c r="M1001" i="24"/>
  <c r="B1639" i="24"/>
  <c r="D1389" i="24"/>
  <c r="B1018" i="24"/>
  <c r="I1239" i="24"/>
  <c r="D11" i="24"/>
  <c r="B1621" i="24"/>
  <c r="H475" i="24"/>
  <c r="H879" i="24"/>
  <c r="B1826" i="24"/>
  <c r="H1044" i="24"/>
  <c r="H958" i="24"/>
  <c r="I1797" i="24"/>
  <c r="H994" i="24"/>
  <c r="M498" i="24"/>
  <c r="I844" i="24"/>
  <c r="D429" i="24"/>
  <c r="H1451" i="24"/>
  <c r="I1714" i="24"/>
  <c r="I1109" i="24"/>
  <c r="I841" i="24"/>
  <c r="D1006" i="24"/>
  <c r="D695" i="24"/>
  <c r="D288" i="24"/>
  <c r="I1152" i="24"/>
  <c r="H1611" i="24"/>
  <c r="H508" i="24"/>
  <c r="B1471" i="24"/>
  <c r="B1733" i="24"/>
  <c r="H1452" i="24"/>
  <c r="B834" i="24"/>
  <c r="H190" i="24"/>
  <c r="B1270" i="24"/>
  <c r="H440" i="24"/>
  <c r="M1283" i="24"/>
  <c r="M1040" i="24"/>
  <c r="H816" i="24"/>
  <c r="H1380" i="24"/>
  <c r="D375" i="24"/>
  <c r="I669" i="24"/>
  <c r="I483" i="24"/>
  <c r="B1758" i="24"/>
  <c r="I912" i="24"/>
  <c r="D279" i="24"/>
  <c r="B560" i="24"/>
  <c r="B1031" i="24"/>
  <c r="B915" i="24"/>
  <c r="H1017" i="24"/>
  <c r="H1060" i="24"/>
  <c r="M1622" i="24"/>
  <c r="I1384" i="24"/>
  <c r="B721" i="24"/>
  <c r="B1272" i="24"/>
  <c r="M1491" i="24"/>
  <c r="I495" i="24"/>
  <c r="B1132" i="24"/>
  <c r="M1142" i="24"/>
  <c r="M1363" i="24"/>
  <c r="H853" i="24"/>
  <c r="B494" i="24"/>
  <c r="B385" i="24"/>
  <c r="B178" i="24"/>
  <c r="H784" i="24"/>
  <c r="I1668" i="24"/>
  <c r="D876" i="24"/>
  <c r="I720" i="24"/>
  <c r="M870" i="24"/>
  <c r="D1024" i="24"/>
  <c r="B1779" i="24"/>
  <c r="B199" i="24"/>
  <c r="B796" i="24"/>
  <c r="I1769" i="24"/>
  <c r="B171" i="24"/>
  <c r="M403" i="24"/>
  <c r="H523" i="24"/>
  <c r="D1340" i="24"/>
  <c r="I456" i="24"/>
  <c r="D1272" i="24"/>
  <c r="D731" i="24"/>
  <c r="B975" i="24"/>
  <c r="H437" i="24"/>
  <c r="I1508" i="24"/>
  <c r="B1236" i="24"/>
  <c r="I408" i="24"/>
  <c r="I869" i="24"/>
  <c r="H1740" i="24"/>
  <c r="D380" i="24"/>
  <c r="H1660" i="24"/>
  <c r="H561" i="24"/>
  <c r="D1344" i="24"/>
  <c r="I1064" i="24"/>
  <c r="I430" i="24"/>
  <c r="H844" i="24"/>
  <c r="M1846" i="24"/>
  <c r="I295" i="24"/>
  <c r="M99" i="24"/>
  <c r="B1250" i="24"/>
  <c r="B1613" i="24"/>
  <c r="B1649" i="24"/>
  <c r="I1627" i="24"/>
  <c r="D361" i="24"/>
  <c r="M208" i="24"/>
  <c r="B1586" i="24"/>
  <c r="I29" i="24"/>
  <c r="B1419" i="24"/>
  <c r="H363" i="24"/>
  <c r="D1247" i="24"/>
  <c r="D1097" i="24"/>
  <c r="I1336" i="24"/>
  <c r="M1620" i="24"/>
  <c r="H565" i="24"/>
  <c r="B988" i="24"/>
  <c r="H953" i="24"/>
  <c r="D815" i="24"/>
  <c r="H526" i="24"/>
  <c r="H387" i="24"/>
  <c r="I310" i="24"/>
  <c r="B1801" i="24"/>
  <c r="I422" i="24"/>
  <c r="I706" i="24"/>
  <c r="D387" i="24"/>
  <c r="M274" i="24"/>
  <c r="H1350" i="24"/>
  <c r="B322" i="24"/>
  <c r="D847" i="24"/>
  <c r="M11" i="24"/>
  <c r="I1549" i="24"/>
  <c r="B1104" i="24"/>
  <c r="M33" i="24"/>
  <c r="M232" i="24"/>
  <c r="M1562" i="24"/>
  <c r="B354" i="24"/>
  <c r="D1500" i="24"/>
  <c r="M972" i="24"/>
  <c r="D752" i="24"/>
  <c r="D309" i="24"/>
  <c r="H1289" i="24"/>
  <c r="B1051" i="24"/>
  <c r="B214" i="24"/>
  <c r="B752" i="24"/>
  <c r="I1348" i="24"/>
  <c r="D657" i="24"/>
  <c r="I1860" i="24"/>
  <c r="M285" i="24"/>
  <c r="D80" i="24"/>
  <c r="B1290" i="24"/>
  <c r="H1214" i="24"/>
  <c r="B1615" i="24"/>
  <c r="I1719" i="24"/>
  <c r="B725" i="24"/>
  <c r="M886" i="24"/>
  <c r="D1458" i="24"/>
  <c r="I1042" i="24"/>
  <c r="M1109" i="24"/>
  <c r="H577" i="24"/>
  <c r="I463" i="24"/>
  <c r="D1498" i="24"/>
  <c r="H619" i="24"/>
  <c r="H183" i="24"/>
  <c r="B1514" i="24"/>
  <c r="D388" i="24"/>
  <c r="I563" i="24"/>
  <c r="H398" i="24"/>
  <c r="H1851" i="24"/>
  <c r="H616" i="24"/>
  <c r="I174" i="24"/>
  <c r="M1191" i="24"/>
  <c r="B510" i="24"/>
  <c r="H133" i="24"/>
  <c r="H567" i="24"/>
  <c r="B1795" i="24"/>
  <c r="D589" i="24"/>
  <c r="H538" i="24"/>
  <c r="B1213" i="24"/>
  <c r="D337" i="24"/>
  <c r="B1492" i="24"/>
  <c r="B280" i="24"/>
  <c r="M1898" i="24"/>
  <c r="M1372" i="24"/>
  <c r="D1252" i="24"/>
  <c r="D1094" i="24"/>
  <c r="H391" i="24"/>
  <c r="I739" i="24"/>
  <c r="M715" i="24"/>
  <c r="M1208" i="24"/>
  <c r="M655" i="24"/>
  <c r="H472" i="24"/>
  <c r="I322" i="24"/>
  <c r="B1139" i="24"/>
  <c r="H1630" i="24"/>
  <c r="D1189" i="24"/>
  <c r="I362" i="24"/>
  <c r="H188" i="24"/>
  <c r="H1189" i="24"/>
  <c r="D153" i="24"/>
  <c r="H278" i="24"/>
  <c r="H785" i="24"/>
  <c r="B1315" i="24"/>
  <c r="H1510" i="24"/>
  <c r="H1560" i="24"/>
  <c r="D160" i="24"/>
  <c r="B1166" i="24"/>
  <c r="M1524" i="24"/>
  <c r="H15" i="24"/>
  <c r="I560" i="24"/>
  <c r="M1318" i="24"/>
  <c r="M484" i="24"/>
  <c r="D1218" i="24"/>
  <c r="I213" i="24"/>
  <c r="M987" i="24"/>
  <c r="D609" i="24"/>
  <c r="I1774" i="24"/>
  <c r="I1142" i="24"/>
  <c r="D554" i="24"/>
  <c r="I1086" i="24"/>
  <c r="M450" i="24"/>
  <c r="D1863" i="24"/>
  <c r="H144" i="24"/>
  <c r="I904" i="24"/>
  <c r="D1572" i="24"/>
  <c r="B146" i="24"/>
  <c r="B1183" i="24"/>
  <c r="H558" i="24"/>
  <c r="M1116" i="24"/>
  <c r="H1587" i="24"/>
  <c r="B1461" i="24"/>
  <c r="I1183" i="24"/>
  <c r="H1119" i="24"/>
  <c r="B520" i="24"/>
  <c r="D480" i="24"/>
  <c r="B228" i="24"/>
  <c r="I1783" i="24"/>
  <c r="H1085" i="24"/>
  <c r="I865" i="24"/>
  <c r="B555" i="24"/>
  <c r="D865" i="24"/>
  <c r="D1368" i="24"/>
  <c r="H693" i="24"/>
  <c r="D721" i="24"/>
  <c r="H1886" i="24"/>
  <c r="H1211" i="24"/>
  <c r="B981" i="24"/>
  <c r="B108" i="24"/>
  <c r="H1011" i="24"/>
  <c r="M378" i="24"/>
  <c r="B1727" i="24"/>
  <c r="M88" i="24"/>
  <c r="B665" i="24"/>
  <c r="D1578" i="24"/>
  <c r="D571" i="24"/>
  <c r="D1838" i="24"/>
  <c r="I1324" i="24"/>
  <c r="B937" i="24"/>
  <c r="D823" i="24"/>
  <c r="D129" i="24"/>
  <c r="I1525" i="24"/>
  <c r="B412" i="24"/>
  <c r="H1097" i="24"/>
  <c r="H1703" i="24"/>
  <c r="D369" i="24"/>
  <c r="B394" i="24"/>
  <c r="B1303" i="24"/>
  <c r="B728" i="24"/>
  <c r="D686" i="24"/>
  <c r="H50" i="24"/>
  <c r="H1716" i="24"/>
  <c r="H599" i="24"/>
  <c r="D923" i="24"/>
  <c r="D1538" i="24"/>
  <c r="D888" i="24"/>
  <c r="H782" i="24"/>
  <c r="I1649" i="24"/>
  <c r="D374" i="24"/>
  <c r="I1449" i="24"/>
  <c r="B493" i="24"/>
  <c r="H715" i="24"/>
  <c r="H1830" i="24"/>
  <c r="M265" i="24"/>
  <c r="H880" i="24"/>
  <c r="B730" i="24"/>
  <c r="B467" i="24"/>
  <c r="B1558" i="24"/>
  <c r="B1765" i="24"/>
  <c r="M1641" i="24"/>
  <c r="M891" i="24"/>
  <c r="M1659" i="24"/>
  <c r="I856" i="24"/>
  <c r="D220" i="24"/>
  <c r="D1688" i="24"/>
  <c r="B1500" i="24"/>
  <c r="B1350" i="24"/>
  <c r="D56" i="24"/>
  <c r="H371" i="24"/>
  <c r="I1125" i="24"/>
  <c r="D95" i="24"/>
  <c r="B912" i="24"/>
  <c r="D210" i="24"/>
  <c r="M1206" i="24"/>
  <c r="M483" i="24"/>
  <c r="M1482" i="24"/>
  <c r="M1248" i="24"/>
  <c r="I1432" i="24"/>
  <c r="H682" i="24"/>
  <c r="M1169" i="24"/>
  <c r="B1620" i="24"/>
  <c r="D62" i="24"/>
  <c r="D1587" i="24"/>
  <c r="H1471" i="24"/>
  <c r="B1847" i="24"/>
  <c r="H1557" i="24"/>
  <c r="D1643" i="24"/>
  <c r="I1730" i="24"/>
  <c r="D257" i="24"/>
  <c r="D515" i="24"/>
  <c r="H126" i="24"/>
  <c r="H802" i="24"/>
  <c r="M913" i="24"/>
  <c r="H589" i="24"/>
  <c r="I151" i="24"/>
  <c r="D179" i="24"/>
  <c r="I104" i="24"/>
  <c r="I352" i="24"/>
  <c r="H787" i="24"/>
  <c r="B84" i="24"/>
  <c r="I1339" i="24"/>
  <c r="B2" i="24"/>
  <c r="D110" i="24"/>
  <c r="H1782" i="24"/>
  <c r="D1752" i="24"/>
  <c r="B48" i="24"/>
  <c r="I734" i="24"/>
  <c r="I105" i="24"/>
  <c r="M506" i="24"/>
  <c r="B628" i="24"/>
  <c r="B790" i="24"/>
  <c r="B541" i="24"/>
  <c r="M210" i="24"/>
  <c r="H1159" i="24"/>
  <c r="B1860" i="24"/>
  <c r="D1421" i="24"/>
  <c r="I730" i="24"/>
  <c r="B1633" i="24"/>
  <c r="D343" i="24"/>
  <c r="H1713" i="24"/>
  <c r="H1714" i="24"/>
  <c r="B682" i="24"/>
  <c r="M107" i="24"/>
  <c r="D106" i="24"/>
  <c r="D507" i="24"/>
  <c r="H1723" i="24"/>
  <c r="B40" i="24"/>
  <c r="D373" i="24"/>
  <c r="B1484" i="24"/>
  <c r="M1893" i="24"/>
  <c r="M97" i="24"/>
  <c r="B1082" i="24"/>
  <c r="M1394" i="24"/>
  <c r="B257" i="24"/>
  <c r="H848" i="24"/>
  <c r="M510" i="24"/>
  <c r="D1446" i="24"/>
  <c r="D70" i="24"/>
  <c r="I895" i="24"/>
  <c r="I1031" i="24"/>
  <c r="M707" i="24"/>
  <c r="I148" i="24"/>
  <c r="H944" i="24"/>
  <c r="D1325" i="24"/>
  <c r="H1563" i="24"/>
  <c r="H280" i="24"/>
  <c r="I1726" i="24"/>
  <c r="D764" i="24"/>
  <c r="H1002" i="24"/>
  <c r="M123" i="24"/>
  <c r="H1006" i="24"/>
  <c r="H471" i="24"/>
  <c r="I43" i="24"/>
  <c r="B789" i="24"/>
  <c r="H781" i="24"/>
  <c r="H1488" i="24"/>
  <c r="H923" i="24"/>
  <c r="B843" i="24"/>
  <c r="H191" i="24"/>
  <c r="D492" i="24"/>
  <c r="I305" i="24"/>
  <c r="I598" i="24"/>
  <c r="I704" i="24"/>
  <c r="D558" i="24"/>
  <c r="B718" i="24"/>
  <c r="D1180" i="24"/>
  <c r="M903" i="24"/>
  <c r="M1343" i="24"/>
  <c r="M1101" i="24"/>
  <c r="I1203" i="24"/>
  <c r="D1190" i="24"/>
  <c r="B122" i="24"/>
  <c r="B1293" i="24"/>
  <c r="H1858" i="24"/>
  <c r="B1271" i="24"/>
  <c r="I92" i="24"/>
  <c r="D1849" i="24"/>
  <c r="B1563" i="24"/>
  <c r="B1440" i="24"/>
  <c r="I1548" i="24"/>
  <c r="I1812" i="24"/>
  <c r="D1092" i="24"/>
  <c r="D488" i="24"/>
  <c r="I760" i="24"/>
  <c r="B1191" i="24"/>
  <c r="B383" i="24"/>
  <c r="D1892" i="24"/>
  <c r="D1565" i="24"/>
  <c r="I1540" i="24"/>
  <c r="I1048" i="24"/>
  <c r="H237" i="24"/>
  <c r="H281" i="24"/>
  <c r="M46" i="24"/>
  <c r="B1751" i="24"/>
  <c r="M507" i="24"/>
  <c r="B1388" i="24"/>
  <c r="D115" i="24"/>
  <c r="B1138" i="24"/>
  <c r="M54" i="24"/>
  <c r="B1127" i="24"/>
  <c r="B1873" i="24"/>
  <c r="H663" i="24"/>
  <c r="D1067" i="24"/>
  <c r="H1322" i="24"/>
  <c r="D706" i="24"/>
  <c r="H76" i="24"/>
  <c r="I858" i="24"/>
  <c r="D253" i="24"/>
  <c r="B770" i="24"/>
  <c r="I1377" i="24"/>
  <c r="I436" i="24"/>
  <c r="I1878" i="24"/>
  <c r="I1007" i="24"/>
  <c r="M1024" i="24"/>
  <c r="I1097" i="24"/>
  <c r="H841" i="24"/>
  <c r="B1053" i="24"/>
  <c r="I257" i="24"/>
  <c r="I103" i="24"/>
  <c r="H900" i="24"/>
  <c r="B1709" i="24"/>
  <c r="D280" i="24"/>
  <c r="I1128" i="24"/>
  <c r="M344" i="24"/>
  <c r="I894" i="24"/>
  <c r="B101" i="24"/>
  <c r="B35" i="24"/>
  <c r="D1396" i="24"/>
  <c r="H604" i="24"/>
  <c r="M552" i="24"/>
  <c r="I1233" i="24"/>
  <c r="D1099" i="24"/>
  <c r="H1268" i="24"/>
  <c r="B1883" i="24"/>
  <c r="D1019" i="24"/>
  <c r="D610" i="24"/>
  <c r="B24" i="24"/>
  <c r="I1803" i="24"/>
  <c r="I627" i="24"/>
  <c r="D79" i="24"/>
  <c r="B243" i="24"/>
  <c r="D1610" i="24"/>
  <c r="H1504" i="24"/>
  <c r="B1310" i="24"/>
  <c r="M280" i="24"/>
  <c r="H1160" i="24"/>
  <c r="H1296" i="24"/>
  <c r="H1123" i="24"/>
  <c r="B1135" i="24"/>
  <c r="D987" i="24"/>
  <c r="B1403" i="24"/>
  <c r="D24" i="24"/>
  <c r="M321" i="24"/>
  <c r="D838" i="24"/>
  <c r="H424" i="24"/>
  <c r="D350" i="24"/>
  <c r="I1699" i="24"/>
  <c r="I960" i="24"/>
  <c r="M1519" i="24"/>
  <c r="I25" i="24"/>
  <c r="H956" i="24"/>
  <c r="D249" i="24"/>
  <c r="B710" i="24"/>
  <c r="H1476" i="24"/>
  <c r="D1035" i="24"/>
  <c r="B1259" i="24"/>
  <c r="B294" i="24"/>
  <c r="B74" i="24"/>
  <c r="H1341" i="24"/>
  <c r="B245" i="24"/>
  <c r="I1311" i="24"/>
  <c r="I1047" i="24"/>
  <c r="B1595" i="24"/>
  <c r="B1075" i="24"/>
  <c r="D525" i="24"/>
  <c r="B1859" i="24"/>
  <c r="B881" i="24"/>
  <c r="H568" i="24"/>
  <c r="D1507" i="24"/>
  <c r="I1102" i="24"/>
  <c r="D858" i="24"/>
  <c r="B380" i="24"/>
  <c r="M1866" i="24"/>
  <c r="H1670" i="24"/>
  <c r="D1663" i="24"/>
  <c r="D1007" i="24"/>
  <c r="B175" i="24"/>
  <c r="H1347" i="24"/>
  <c r="H81" i="24"/>
  <c r="M876" i="24"/>
  <c r="B298" i="24"/>
  <c r="M1665" i="24"/>
  <c r="B567" i="24"/>
  <c r="H528" i="24"/>
  <c r="H1139" i="24"/>
  <c r="B1749" i="24"/>
  <c r="H463" i="24"/>
  <c r="B1767" i="24"/>
  <c r="B514" i="24"/>
  <c r="D1151" i="24"/>
  <c r="B999" i="24"/>
  <c r="H341" i="24"/>
  <c r="D1228" i="24"/>
  <c r="I211" i="24"/>
  <c r="M200" i="24"/>
  <c r="M880" i="24"/>
  <c r="D1063" i="24"/>
  <c r="H1633" i="24"/>
  <c r="B942" i="24"/>
  <c r="H1875" i="24"/>
  <c r="H1056" i="24"/>
  <c r="D977" i="24"/>
  <c r="D471" i="24"/>
  <c r="D985" i="24"/>
  <c r="I1378" i="24"/>
  <c r="H1793" i="24"/>
  <c r="H196" i="24"/>
  <c r="H1081" i="24"/>
  <c r="I588" i="24"/>
  <c r="I1282" i="24"/>
  <c r="B1824" i="24"/>
  <c r="M500" i="24"/>
  <c r="D1134" i="24"/>
  <c r="B694" i="24"/>
  <c r="M713" i="24"/>
  <c r="I1383" i="24"/>
  <c r="B1077" i="24"/>
  <c r="H562" i="24"/>
  <c r="M1257" i="24"/>
  <c r="D973" i="24"/>
  <c r="M953" i="24"/>
  <c r="H531" i="24"/>
  <c r="M764" i="24"/>
  <c r="B1101" i="24"/>
  <c r="I1196" i="24"/>
  <c r="M1056" i="24"/>
  <c r="H1208" i="24"/>
  <c r="B321" i="24"/>
  <c r="H1483" i="24"/>
  <c r="D94" i="24"/>
  <c r="H1789" i="24"/>
  <c r="M727" i="24"/>
  <c r="I505" i="24"/>
  <c r="I725" i="24"/>
  <c r="D156" i="24"/>
  <c r="M122" i="24"/>
  <c r="B357" i="24"/>
  <c r="B1902" i="24"/>
  <c r="M815" i="24"/>
  <c r="M547" i="24"/>
  <c r="D936" i="24"/>
  <c r="D802" i="24"/>
  <c r="M149" i="24"/>
  <c r="B148" i="24"/>
  <c r="H193" i="24"/>
  <c r="I289" i="24"/>
  <c r="H314" i="24"/>
  <c r="I1209" i="24"/>
  <c r="I1104" i="24"/>
  <c r="I385" i="24"/>
  <c r="B507" i="24"/>
  <c r="B184" i="24"/>
  <c r="B925" i="24"/>
  <c r="B1176" i="24"/>
  <c r="H8" i="24"/>
  <c r="H922" i="24"/>
  <c r="B1717" i="24"/>
  <c r="I1734" i="24"/>
  <c r="M1227" i="24"/>
  <c r="B223" i="24"/>
  <c r="I1381" i="24"/>
  <c r="B971" i="24"/>
  <c r="I812" i="24"/>
  <c r="D1141" i="24"/>
  <c r="H863" i="24"/>
  <c r="H1826" i="24"/>
  <c r="I1520" i="24"/>
  <c r="H1266" i="24"/>
  <c r="D918" i="24"/>
  <c r="B808" i="24"/>
  <c r="H1223" i="24"/>
  <c r="B907" i="24"/>
  <c r="H1495" i="24"/>
  <c r="B927" i="24"/>
  <c r="H1193" i="24"/>
  <c r="D1265" i="24"/>
  <c r="B1231" i="24"/>
  <c r="M20" i="24"/>
  <c r="H367" i="24"/>
  <c r="H1252" i="24"/>
  <c r="D434" i="24"/>
  <c r="M820" i="24"/>
  <c r="D167" i="24"/>
  <c r="D633" i="24"/>
  <c r="H751" i="24"/>
  <c r="D407" i="24"/>
  <c r="M1664" i="24"/>
  <c r="B267" i="24"/>
  <c r="M1189" i="24"/>
  <c r="I688" i="24"/>
  <c r="M963" i="24"/>
  <c r="B145" i="24"/>
  <c r="D570" i="24"/>
  <c r="I1903" i="24"/>
  <c r="M446" i="24"/>
  <c r="H1516" i="24"/>
  <c r="D1353" i="24"/>
  <c r="B861" i="24"/>
  <c r="D1215" i="24"/>
  <c r="M749" i="24"/>
  <c r="H681" i="24"/>
  <c r="D1536" i="24"/>
  <c r="B1782" i="24"/>
  <c r="D1771" i="24"/>
  <c r="M457" i="24"/>
  <c r="B1157" i="24"/>
  <c r="M1399" i="24"/>
  <c r="H578" i="24"/>
  <c r="B517" i="24"/>
  <c r="B586" i="24"/>
  <c r="B1900" i="24"/>
  <c r="I831" i="24"/>
  <c r="D961" i="24"/>
  <c r="B1897" i="24"/>
  <c r="I722" i="24"/>
  <c r="I573" i="24"/>
  <c r="I297" i="24"/>
  <c r="D1065" i="24"/>
  <c r="D647" i="24"/>
  <c r="B1524" i="24"/>
  <c r="H22" i="24"/>
  <c r="M816" i="24"/>
  <c r="B1278" i="24"/>
  <c r="M171" i="24"/>
  <c r="B96" i="24"/>
  <c r="B1087" i="24"/>
  <c r="I1353" i="24"/>
  <c r="I1235" i="24"/>
  <c r="D1831" i="24"/>
  <c r="I1164" i="24"/>
  <c r="D417" i="24"/>
  <c r="M602" i="24"/>
  <c r="D1263" i="24"/>
  <c r="M186" i="24"/>
  <c r="M981" i="24"/>
  <c r="B1108" i="24"/>
  <c r="I90" i="24"/>
  <c r="B526" i="24"/>
  <c r="H1651" i="24"/>
  <c r="B1469" i="24"/>
  <c r="D196" i="24"/>
  <c r="D1152" i="24"/>
  <c r="D1751" i="24"/>
  <c r="I793" i="24"/>
  <c r="B985" i="24"/>
  <c r="D935" i="24"/>
  <c r="H1088" i="24"/>
  <c r="I288" i="24"/>
  <c r="I110" i="24"/>
  <c r="I1704" i="24"/>
  <c r="D697" i="24"/>
  <c r="M1527" i="24"/>
  <c r="D237" i="24"/>
  <c r="I619" i="24"/>
  <c r="M1621" i="24"/>
  <c r="D755" i="24"/>
  <c r="D1045" i="24"/>
  <c r="D1271" i="24"/>
  <c r="B1228" i="24"/>
  <c r="I1669" i="24"/>
  <c r="H1323" i="24"/>
  <c r="B1009" i="24"/>
  <c r="B849" i="24"/>
  <c r="I1394" i="24"/>
  <c r="H1233" i="24"/>
  <c r="B1209" i="24"/>
  <c r="D314" i="24"/>
  <c r="H1880" i="24"/>
  <c r="I1844" i="24"/>
  <c r="I1473" i="24"/>
  <c r="I493" i="24"/>
  <c r="B986" i="24"/>
  <c r="M1510" i="24"/>
  <c r="H1232" i="24"/>
  <c r="D377" i="24"/>
  <c r="M650" i="24"/>
  <c r="I1469" i="24"/>
  <c r="H403" i="24"/>
  <c r="H369" i="24"/>
  <c r="I771" i="24"/>
  <c r="D1833" i="24"/>
  <c r="H1049" i="24"/>
  <c r="H309" i="24"/>
  <c r="B87" i="24"/>
  <c r="M1547" i="24"/>
  <c r="D345" i="24"/>
  <c r="M1440" i="24"/>
  <c r="H936" i="24"/>
  <c r="D962" i="24"/>
  <c r="D1108" i="24"/>
  <c r="D933" i="24"/>
  <c r="B884" i="24"/>
  <c r="H1261" i="24"/>
  <c r="I1055" i="24"/>
  <c r="I555" i="24"/>
  <c r="M923" i="24"/>
  <c r="M1499" i="24"/>
  <c r="D1692" i="24"/>
  <c r="H1317" i="24"/>
  <c r="B345" i="24"/>
  <c r="D1902" i="24"/>
  <c r="I966" i="24"/>
  <c r="D668" i="24"/>
  <c r="H1067" i="24"/>
  <c r="B566" i="24"/>
  <c r="D359" i="24"/>
  <c r="D778" i="24"/>
  <c r="M711" i="24"/>
  <c r="M669" i="24"/>
  <c r="M306" i="24"/>
  <c r="B340" i="24"/>
  <c r="M1459" i="24"/>
  <c r="B716" i="24"/>
  <c r="D709" i="24"/>
  <c r="M194" i="24"/>
  <c r="B1662" i="24"/>
  <c r="I47" i="24"/>
  <c r="M1251" i="24"/>
  <c r="B1542" i="24"/>
  <c r="H425" i="24"/>
  <c r="M851" i="24"/>
  <c r="D1036" i="24"/>
  <c r="D1129" i="24"/>
  <c r="D297" i="24"/>
  <c r="H1836" i="24"/>
  <c r="H919" i="24"/>
  <c r="D618" i="24"/>
  <c r="D1236" i="24"/>
  <c r="H556" i="24"/>
  <c r="B851" i="24"/>
  <c r="H36" i="24"/>
  <c r="H660" i="24"/>
  <c r="M1267" i="24"/>
  <c r="M70" i="24"/>
  <c r="M1013" i="24"/>
  <c r="M247" i="24"/>
  <c r="H354" i="24"/>
  <c r="B1265" i="24"/>
  <c r="H1021" i="24"/>
  <c r="I1686" i="24"/>
  <c r="B1451" i="24"/>
  <c r="H514" i="24"/>
  <c r="I57" i="24"/>
  <c r="M1336" i="24"/>
  <c r="I75" i="24"/>
  <c r="D1784" i="24"/>
  <c r="D967" i="24"/>
  <c r="D353" i="24"/>
  <c r="B712" i="24"/>
  <c r="I1626" i="24"/>
  <c r="M1205" i="24"/>
  <c r="D202" i="24"/>
  <c r="H657" i="24"/>
  <c r="M760" i="24"/>
  <c r="I502" i="24"/>
  <c r="B242" i="24"/>
  <c r="B717" i="24"/>
  <c r="B295" i="24"/>
  <c r="H888" i="24"/>
  <c r="H1805" i="24"/>
  <c r="B239" i="24"/>
  <c r="H1738" i="24"/>
  <c r="D1890" i="24"/>
  <c r="D1203" i="24"/>
  <c r="H1391" i="24"/>
  <c r="B1407" i="24"/>
  <c r="B675" i="24"/>
  <c r="I402" i="24"/>
  <c r="M721" i="24"/>
  <c r="B1000" i="24"/>
  <c r="I792" i="24"/>
  <c r="B1887" i="24"/>
  <c r="H666" i="24"/>
  <c r="I369" i="24"/>
  <c r="B386" i="24"/>
  <c r="H1263" i="24"/>
  <c r="I1479" i="24"/>
  <c r="M809" i="24"/>
  <c r="H1662" i="24"/>
  <c r="I486" i="24"/>
  <c r="I429" i="24"/>
  <c r="H250" i="24"/>
  <c r="H1848" i="24"/>
  <c r="B190" i="24"/>
  <c r="H809" i="24"/>
  <c r="I728" i="24"/>
  <c r="M906" i="24"/>
  <c r="B1778" i="24"/>
  <c r="H1019" i="24"/>
  <c r="H563" i="24"/>
  <c r="D1225" i="24"/>
  <c r="H1122" i="24"/>
  <c r="B1459" i="24"/>
  <c r="H1286" i="24"/>
  <c r="D294" i="24"/>
  <c r="I1894" i="24"/>
  <c r="I1123" i="24"/>
  <c r="M229" i="24"/>
  <c r="I1247" i="24"/>
  <c r="M27" i="24"/>
  <c r="H214" i="24"/>
  <c r="B1561" i="24"/>
  <c r="M596" i="24"/>
  <c r="H828" i="24"/>
  <c r="I16" i="24"/>
  <c r="B678" i="24"/>
  <c r="B1439" i="24"/>
  <c r="M1463" i="24"/>
  <c r="H1590" i="24"/>
  <c r="D1733" i="24"/>
  <c r="D1486" i="24"/>
  <c r="D140" i="24"/>
  <c r="H249" i="24"/>
  <c r="B1825" i="24"/>
  <c r="H998" i="24"/>
  <c r="B1543" i="24"/>
  <c r="H642" i="24"/>
  <c r="M1543" i="24"/>
  <c r="H1441" i="24"/>
  <c r="D1243" i="24"/>
  <c r="B167" i="24"/>
  <c r="D1495" i="24"/>
  <c r="M517" i="24"/>
  <c r="B413" i="24"/>
  <c r="H1849" i="24"/>
  <c r="D1637" i="24"/>
  <c r="H1377" i="24"/>
  <c r="H1106" i="24"/>
  <c r="D1406" i="24"/>
  <c r="D1049" i="24"/>
  <c r="B841" i="24"/>
  <c r="D298" i="24"/>
  <c r="M1279" i="24"/>
  <c r="D779" i="24"/>
  <c r="I376" i="24"/>
  <c r="M921" i="24"/>
  <c r="H1854" i="24"/>
  <c r="B94" i="24"/>
  <c r="M821" i="24"/>
  <c r="D808" i="24"/>
  <c r="H160" i="24"/>
  <c r="H338" i="24"/>
  <c r="B1037" i="24"/>
  <c r="M449" i="24"/>
  <c r="M1485" i="24"/>
  <c r="B896" i="24"/>
  <c r="I38" i="24"/>
  <c r="I393" i="24"/>
  <c r="I1127" i="24"/>
  <c r="M1091" i="24"/>
  <c r="M535" i="24"/>
  <c r="B1483" i="24"/>
  <c r="H241" i="24"/>
  <c r="D290" i="24"/>
  <c r="B872" i="24"/>
  <c r="B666" i="24"/>
  <c r="M577" i="24"/>
  <c r="H600" i="24"/>
  <c r="H1332" i="24"/>
  <c r="H1568" i="24"/>
  <c r="D493" i="24"/>
  <c r="D263" i="24"/>
  <c r="D1011" i="24"/>
  <c r="B1724" i="24"/>
  <c r="D1400" i="24"/>
  <c r="I806" i="24"/>
  <c r="D464" i="24"/>
  <c r="I1586" i="24"/>
  <c r="I1081" i="24"/>
  <c r="D223" i="24"/>
  <c r="B508" i="24"/>
  <c r="M1567" i="24"/>
  <c r="H1297" i="24"/>
  <c r="H1328" i="24"/>
  <c r="D226" i="24"/>
  <c r="I1602" i="24"/>
  <c r="I467" i="24"/>
  <c r="B133" i="24"/>
  <c r="H477" i="24"/>
  <c r="B568" i="24"/>
  <c r="I795" i="24"/>
  <c r="B641" i="24"/>
  <c r="B1247" i="24"/>
  <c r="M582" i="24"/>
  <c r="M798" i="24"/>
  <c r="I992" i="24"/>
  <c r="H739" i="24"/>
  <c r="I964" i="24"/>
  <c r="I36" i="24"/>
  <c r="H494" i="24"/>
  <c r="B867" i="24"/>
  <c r="H1607" i="24"/>
  <c r="D1797" i="24"/>
  <c r="M392" i="24"/>
  <c r="D177" i="24"/>
  <c r="M693" i="24"/>
  <c r="H648" i="24"/>
  <c r="H1722" i="24"/>
  <c r="H755" i="24"/>
  <c r="H847" i="24"/>
  <c r="B85" i="24"/>
  <c r="I1426" i="24"/>
  <c r="M1272" i="24"/>
  <c r="D776" i="24"/>
  <c r="H1402" i="24"/>
  <c r="B1481" i="24"/>
  <c r="I828" i="24"/>
  <c r="B219" i="24"/>
  <c r="B573" i="24"/>
  <c r="H460" i="24"/>
  <c r="I1584" i="24"/>
  <c r="B1208" i="24"/>
  <c r="B374" i="24"/>
  <c r="I343" i="24"/>
  <c r="H713" i="24"/>
  <c r="M98" i="24"/>
  <c r="B254" i="24"/>
  <c r="D1138" i="24"/>
  <c r="I995" i="24"/>
  <c r="M372" i="24"/>
  <c r="B355" i="24"/>
  <c r="I645" i="24"/>
  <c r="D21" i="24"/>
  <c r="B1634" i="24"/>
  <c r="B684" i="24"/>
  <c r="D283" i="24"/>
  <c r="B313" i="24"/>
  <c r="H662" i="24"/>
  <c r="H1689" i="24"/>
  <c r="D1442" i="24"/>
  <c r="B235" i="24"/>
  <c r="D1444" i="24"/>
  <c r="B1186" i="24"/>
  <c r="I1530" i="24"/>
  <c r="H597" i="24"/>
  <c r="D638" i="24"/>
  <c r="B1216" i="24"/>
  <c r="M938" i="24"/>
  <c r="D919" i="24"/>
  <c r="D691" i="24"/>
  <c r="D866" i="24"/>
  <c r="B1531" i="24"/>
  <c r="D402" i="24"/>
  <c r="D469" i="24"/>
  <c r="M236" i="24"/>
  <c r="H1547" i="24"/>
  <c r="H904" i="24"/>
  <c r="M1031" i="24"/>
  <c r="I754" i="24"/>
  <c r="H1644" i="24"/>
  <c r="H684" i="24"/>
  <c r="H916" i="24"/>
  <c r="I1450" i="24"/>
  <c r="I1748" i="24"/>
  <c r="H928" i="24"/>
  <c r="I242" i="24"/>
  <c r="D1381" i="24"/>
  <c r="D1398" i="24"/>
  <c r="B1146" i="24"/>
  <c r="D834" i="24"/>
  <c r="D1172" i="24"/>
  <c r="B169" i="24"/>
  <c r="M802" i="24"/>
  <c r="I98" i="24"/>
  <c r="H37" i="24"/>
  <c r="I1693" i="24"/>
  <c r="M884" i="24"/>
  <c r="D750" i="24"/>
  <c r="D246" i="24"/>
  <c r="B1786" i="24"/>
  <c r="I1189" i="24"/>
  <c r="H989" i="24"/>
  <c r="D547" i="24"/>
  <c r="B165" i="24"/>
  <c r="D25" i="24"/>
  <c r="H1024" i="24"/>
  <c r="M41" i="24"/>
  <c r="D1001" i="24"/>
  <c r="H1142" i="24"/>
  <c r="H375" i="24"/>
  <c r="H1221" i="24"/>
  <c r="D634" i="24"/>
  <c r="I395" i="24"/>
  <c r="H340" i="24"/>
  <c r="B1156" i="24"/>
  <c r="H1709" i="24"/>
  <c r="I1570" i="24"/>
  <c r="M405" i="24"/>
  <c r="B68" i="24"/>
  <c r="H1007" i="24"/>
  <c r="B241" i="24"/>
  <c r="B1800" i="24"/>
  <c r="H266" i="24"/>
  <c r="I1205" i="24"/>
  <c r="D1317" i="24"/>
  <c r="H1033" i="24"/>
  <c r="B382" i="24"/>
  <c r="I984" i="24"/>
  <c r="B686" i="24"/>
  <c r="H992" i="24"/>
  <c r="D1528" i="24"/>
  <c r="I819" i="24"/>
  <c r="B1875" i="24"/>
  <c r="I846" i="24"/>
  <c r="M690" i="24"/>
  <c r="M1075" i="24"/>
  <c r="H1249" i="24"/>
  <c r="I1746" i="24"/>
  <c r="M1596" i="24"/>
  <c r="I485" i="24"/>
  <c r="I1101" i="24"/>
  <c r="H261" i="24"/>
  <c r="D199" i="24"/>
  <c r="M1391" i="24"/>
  <c r="I857" i="24"/>
  <c r="H89" i="24"/>
  <c r="D843" i="24"/>
  <c r="D14" i="24"/>
  <c r="D332" i="24"/>
  <c r="B264" i="24"/>
  <c r="B296" i="24"/>
  <c r="B116" i="24"/>
  <c r="H1069" i="24"/>
  <c r="I1618" i="24"/>
  <c r="D185" i="24"/>
  <c r="B286" i="24"/>
  <c r="B765" i="24"/>
  <c r="D393" i="24"/>
  <c r="D320" i="24"/>
  <c r="H358" i="24"/>
  <c r="D956" i="24"/>
  <c r="B1516" i="24"/>
  <c r="H149" i="24"/>
  <c r="H553" i="24"/>
  <c r="I1358" i="24"/>
  <c r="D1018" i="24"/>
  <c r="D4" i="24"/>
  <c r="H995" i="24"/>
  <c r="B469" i="24"/>
  <c r="B607" i="24"/>
  <c r="M676" i="24"/>
  <c r="I435" i="24"/>
  <c r="H1213" i="24"/>
  <c r="B127" i="24"/>
  <c r="D777" i="24"/>
  <c r="B299" i="24"/>
  <c r="D460" i="24"/>
  <c r="I263" i="24"/>
  <c r="B261" i="24"/>
  <c r="B1513" i="24"/>
  <c r="I859" i="24"/>
  <c r="M180" i="24"/>
  <c r="B317" i="24"/>
  <c r="D527" i="24"/>
  <c r="M337" i="24"/>
  <c r="B185" i="24"/>
  <c r="I764" i="24"/>
  <c r="H1664" i="24"/>
  <c r="H618" i="24"/>
  <c r="H311" i="24"/>
  <c r="I1895" i="24"/>
  <c r="B129" i="24"/>
  <c r="H284" i="24"/>
  <c r="I649" i="24"/>
  <c r="H1156" i="24"/>
  <c r="D331" i="24"/>
  <c r="M607" i="24"/>
  <c r="M434" i="24"/>
  <c r="B430" i="24"/>
  <c r="I13" i="24"/>
  <c r="D506" i="24"/>
  <c r="M1449" i="24"/>
  <c r="D521" i="24"/>
  <c r="H264" i="24"/>
  <c r="B1148" i="24"/>
  <c r="H323" i="24"/>
  <c r="D516" i="24"/>
  <c r="I870" i="24"/>
  <c r="I1807" i="24"/>
  <c r="H723" i="24"/>
  <c r="I1151" i="24"/>
  <c r="B1567" i="24"/>
  <c r="H909" i="24"/>
  <c r="D1773" i="24"/>
  <c r="D781" i="24"/>
  <c r="D354" i="24"/>
  <c r="H227" i="24"/>
  <c r="D1000" i="24"/>
  <c r="B491" i="24"/>
  <c r="M1599" i="24"/>
  <c r="B1834" i="24"/>
  <c r="D1529" i="24"/>
  <c r="M307" i="24"/>
  <c r="D1128" i="24"/>
  <c r="D358" i="24"/>
  <c r="H297" i="24"/>
  <c r="I994" i="24"/>
  <c r="M291" i="24"/>
  <c r="B422" i="24"/>
  <c r="M314" i="24"/>
  <c r="B480" i="24"/>
  <c r="H1190" i="24"/>
  <c r="H65" i="24"/>
  <c r="H1034" i="24"/>
  <c r="B1206" i="24"/>
  <c r="M1660" i="24"/>
  <c r="I383" i="24"/>
  <c r="H1239" i="24"/>
  <c r="M1612" i="24"/>
  <c r="I880" i="24"/>
  <c r="D1328" i="24"/>
  <c r="D676" i="24"/>
  <c r="M684" i="24"/>
  <c r="H1702" i="24"/>
  <c r="I1217" i="24"/>
  <c r="H574" i="24"/>
  <c r="B711" i="24"/>
  <c r="I1863" i="24"/>
  <c r="M1096" i="24"/>
  <c r="I377" i="24"/>
  <c r="M881" i="24"/>
  <c r="D1433" i="24"/>
  <c r="M17" i="24"/>
  <c r="H1102" i="24"/>
  <c r="I634" i="24"/>
  <c r="B1164" i="24"/>
  <c r="D672" i="24"/>
  <c r="M1401" i="24"/>
  <c r="B707" i="24"/>
  <c r="H582" i="24"/>
  <c r="I1514" i="24"/>
  <c r="M1407" i="24"/>
  <c r="I260" i="24"/>
  <c r="D397" i="24"/>
  <c r="I53" i="24"/>
  <c r="D1870" i="24"/>
  <c r="B486" i="24"/>
  <c r="B1182" i="24"/>
  <c r="D379" i="24"/>
  <c r="D1494" i="24"/>
  <c r="B864" i="24"/>
  <c r="H353" i="24"/>
  <c r="H890" i="24"/>
  <c r="H1121" i="24"/>
  <c r="H640" i="24"/>
  <c r="H203" i="24"/>
  <c r="I1700" i="24"/>
  <c r="B1026" i="24"/>
  <c r="M473" i="24"/>
  <c r="D1089" i="24"/>
  <c r="M1168" i="24"/>
  <c r="I1012" i="24"/>
  <c r="I1078" i="24"/>
  <c r="I296" i="24"/>
  <c r="M1448" i="24"/>
  <c r="D499" i="24"/>
  <c r="B563" i="24"/>
  <c r="M1384" i="24"/>
  <c r="B1193" i="24"/>
  <c r="D1253" i="24"/>
  <c r="B336" i="24"/>
  <c r="H709" i="24"/>
  <c r="D1112" i="24"/>
  <c r="M22" i="24"/>
  <c r="M1062" i="24"/>
  <c r="B250" i="24"/>
  <c r="B376" i="24"/>
  <c r="H1546" i="24"/>
  <c r="D159" i="24"/>
  <c r="M339" i="24"/>
  <c r="D1425" i="24"/>
  <c r="M1038" i="24"/>
  <c r="H1111" i="24"/>
  <c r="B1276" i="24"/>
  <c r="H1220" i="24"/>
  <c r="D890" i="24"/>
  <c r="I62" i="24"/>
  <c r="D139" i="24"/>
  <c r="D208" i="24"/>
  <c r="I1325" i="24"/>
  <c r="D674" i="24"/>
  <c r="M1022" i="24"/>
  <c r="B1061" i="24"/>
  <c r="H1065" i="24"/>
  <c r="D322" i="24"/>
  <c r="H1315" i="24"/>
  <c r="B1434" i="24"/>
  <c r="I543" i="24"/>
  <c r="H823" i="24"/>
  <c r="M797" i="24"/>
  <c r="H324" i="24"/>
  <c r="I680" i="24"/>
  <c r="B200" i="24"/>
  <c r="H1120" i="24"/>
  <c r="B1764" i="24"/>
  <c r="H55" i="24"/>
  <c r="H1601" i="24"/>
  <c r="D10" i="24"/>
  <c r="H1316" i="24"/>
  <c r="I101" i="24"/>
  <c r="I412" i="24"/>
  <c r="B1855" i="24"/>
  <c r="I254" i="24"/>
  <c r="B687" i="24"/>
  <c r="H361" i="24"/>
  <c r="D632" i="24"/>
  <c r="B521" i="24"/>
  <c r="B1375" i="24"/>
  <c r="D1694" i="24"/>
  <c r="B1510" i="24"/>
  <c r="I1054" i="24"/>
  <c r="H67" i="24"/>
  <c r="D157" i="24"/>
  <c r="H753" i="24"/>
  <c r="B118" i="24"/>
  <c r="B1559" i="24"/>
  <c r="H23" i="24"/>
  <c r="H484" i="24"/>
  <c r="H1868" i="24"/>
  <c r="D1826" i="24"/>
  <c r="D1285" i="24"/>
  <c r="I1257" i="24"/>
  <c r="D1760" i="24"/>
  <c r="I654" i="24"/>
  <c r="B1741" i="24"/>
  <c r="B1734" i="24"/>
  <c r="M553" i="24"/>
  <c r="B647" i="24"/>
  <c r="B826" i="24"/>
  <c r="I332" i="24"/>
  <c r="B548" i="24"/>
  <c r="I4" i="24"/>
  <c r="I643" i="24"/>
  <c r="I457" i="24"/>
  <c r="H223" i="24"/>
  <c r="M1615" i="24"/>
  <c r="D573" i="24"/>
  <c r="D1591" i="24"/>
  <c r="M43" i="24"/>
  <c r="M1424" i="24"/>
  <c r="D617" i="24"/>
  <c r="I630" i="24"/>
  <c r="B17" i="24"/>
  <c r="D1661" i="24"/>
  <c r="D678" i="24"/>
  <c r="D1472" i="24"/>
  <c r="B203" i="24"/>
  <c r="M382" i="24"/>
  <c r="D556" i="24"/>
  <c r="I349" i="24"/>
  <c r="H14" i="24"/>
  <c r="H1835" i="24"/>
  <c r="H1827" i="24"/>
  <c r="H609" i="24"/>
  <c r="H1779" i="24"/>
  <c r="M834" i="24"/>
  <c r="B1580" i="24"/>
  <c r="H318" i="24"/>
  <c r="H704" i="24"/>
  <c r="H135" i="24"/>
  <c r="M101" i="24"/>
  <c r="I1537" i="24"/>
  <c r="B339" i="24"/>
  <c r="B1838" i="24"/>
  <c r="H1731" i="24"/>
  <c r="I1598" i="24"/>
  <c r="I215" i="24"/>
  <c r="D946" i="24"/>
  <c r="B1205" i="24"/>
  <c r="H421" i="24"/>
  <c r="I1568" i="24"/>
  <c r="M443" i="24"/>
  <c r="H479" i="24"/>
  <c r="I696" i="24"/>
  <c r="D1894" i="24"/>
  <c r="H774" i="24"/>
  <c r="H1384" i="24"/>
  <c r="M830" i="24"/>
  <c r="B1410" i="24"/>
  <c r="D1777" i="24"/>
  <c r="D250" i="24"/>
  <c r="D423" i="24"/>
  <c r="I23" i="24"/>
  <c r="H1129" i="24"/>
  <c r="I149" i="24"/>
  <c r="D1828" i="24"/>
  <c r="M34" i="24"/>
  <c r="I699" i="24"/>
  <c r="B1172" i="24"/>
  <c r="B990" i="24"/>
  <c r="D588" i="24"/>
  <c r="M1385" i="24"/>
  <c r="B1180" i="24"/>
  <c r="I145" i="24"/>
  <c r="B1898" i="24"/>
  <c r="D1687" i="24"/>
  <c r="H1393" i="24"/>
  <c r="B131" i="24"/>
  <c r="B452" i="24"/>
  <c r="M1883" i="24"/>
  <c r="B1625" i="24"/>
  <c r="D356" i="24"/>
  <c r="H789" i="24"/>
  <c r="I978" i="24"/>
  <c r="I1374" i="24"/>
  <c r="B1297" i="24"/>
  <c r="I327" i="24"/>
  <c r="M692" i="24"/>
  <c r="B38" i="24"/>
  <c r="D842" i="24"/>
  <c r="B1370" i="24"/>
  <c r="D1147" i="24"/>
  <c r="H829" i="24"/>
  <c r="B1637" i="24"/>
  <c r="D1671" i="24"/>
  <c r="H478" i="24"/>
  <c r="I475" i="24"/>
  <c r="B1422" i="24"/>
  <c r="B1874" i="24"/>
  <c r="I1388" i="24"/>
  <c r="B1806" i="24"/>
  <c r="I100" i="24"/>
  <c r="I639" i="24"/>
  <c r="D1060" i="24"/>
  <c r="H1104" i="24"/>
  <c r="H1449" i="24"/>
  <c r="B1794" i="24"/>
  <c r="M290" i="24"/>
  <c r="H273" i="24"/>
  <c r="H1186" i="24"/>
  <c r="H1071" i="24"/>
  <c r="H345" i="24"/>
  <c r="H118" i="24"/>
  <c r="H659" i="24"/>
  <c r="B1647" i="24"/>
  <c r="D1401" i="24"/>
  <c r="B1703" i="24"/>
  <c r="I474" i="24"/>
  <c r="B1437" i="24"/>
  <c r="D113" i="24"/>
  <c r="H706" i="24"/>
  <c r="B1377" i="24"/>
  <c r="B1485" i="24"/>
  <c r="D1780" i="24"/>
  <c r="D227" i="24"/>
  <c r="D1159" i="24"/>
  <c r="I1404" i="24"/>
  <c r="H775" i="24"/>
  <c r="D272" i="24"/>
  <c r="M907" i="24"/>
  <c r="M365" i="24"/>
  <c r="H1243" i="24"/>
  <c r="D1205" i="24"/>
  <c r="B1371" i="24"/>
  <c r="B1389" i="24"/>
  <c r="I487" i="24"/>
  <c r="B1384" i="24"/>
  <c r="D1186" i="24"/>
  <c r="I1643" i="24"/>
  <c r="B534" i="24"/>
  <c r="B1804" i="24"/>
  <c r="D1443" i="24"/>
  <c r="H585" i="24"/>
  <c r="B753" i="24"/>
  <c r="H255" i="24"/>
  <c r="I365" i="24"/>
  <c r="H1800" i="24"/>
  <c r="B1144" i="24"/>
  <c r="B690" i="24"/>
  <c r="H1040" i="24"/>
  <c r="H110" i="24"/>
  <c r="I950" i="24"/>
  <c r="I1814" i="24"/>
  <c r="D1428" i="24"/>
  <c r="H72" i="24"/>
  <c r="I1201" i="24"/>
  <c r="D132" i="24"/>
  <c r="D13" i="24"/>
  <c r="M546" i="24"/>
  <c r="D1670" i="24"/>
  <c r="D1487" i="24"/>
  <c r="B580" i="24"/>
  <c r="I141" i="24"/>
  <c r="H560" i="24"/>
  <c r="I1340" i="24"/>
  <c r="D701" i="24"/>
  <c r="B1274" i="24"/>
  <c r="D1254" i="24"/>
  <c r="M1370" i="24"/>
  <c r="B1763" i="24"/>
  <c r="H842" i="24"/>
  <c r="M413" i="24"/>
  <c r="D856" i="24"/>
  <c r="M719" i="24"/>
  <c r="H1725" i="24"/>
  <c r="M928" i="24"/>
  <c r="M1650" i="24"/>
  <c r="I448" i="24"/>
  <c r="I44" i="24"/>
  <c r="B944" i="24"/>
  <c r="M48" i="24"/>
  <c r="I144" i="24"/>
  <c r="H1697" i="24"/>
  <c r="B644" i="24"/>
  <c r="I1446" i="24"/>
  <c r="D44" i="24"/>
  <c r="I917" i="24"/>
  <c r="H330" i="24"/>
  <c r="H1819" i="24"/>
  <c r="B1177" i="24"/>
  <c r="B1030" i="24"/>
  <c r="B1368" i="24"/>
  <c r="H430" i="24"/>
  <c r="D441" i="24"/>
  <c r="M1871" i="24"/>
  <c r="I1288" i="24"/>
  <c r="I1145" i="24"/>
  <c r="H1649" i="24"/>
  <c r="M1312" i="24"/>
  <c r="H240" i="24"/>
  <c r="D445" i="24"/>
  <c r="B1653" i="24"/>
  <c r="I780" i="24"/>
  <c r="B448" i="24"/>
  <c r="M1886" i="24"/>
  <c r="H1857" i="24"/>
  <c r="M862" i="24"/>
  <c r="B756" i="24"/>
  <c r="B415" i="24"/>
  <c r="H1683" i="24"/>
  <c r="H817" i="24"/>
  <c r="B552" i="24"/>
  <c r="B1550" i="24"/>
  <c r="I264" i="24"/>
  <c r="H1799" i="24"/>
  <c r="H671" i="24"/>
  <c r="D428" i="24"/>
  <c r="B54" i="24"/>
  <c r="B1330" i="24"/>
  <c r="B1029" i="24"/>
  <c r="M1426" i="24"/>
  <c r="D1131" i="24"/>
  <c r="B1501" i="24"/>
  <c r="M800" i="24"/>
  <c r="M1406" i="24"/>
  <c r="I1365" i="24"/>
  <c r="D513" i="24"/>
  <c r="D1188" i="24"/>
  <c r="H507" i="24"/>
  <c r="M430" i="24"/>
  <c r="D1031" i="24"/>
  <c r="M1330" i="24"/>
  <c r="B1333" i="24"/>
  <c r="D786" i="24"/>
  <c r="I1077" i="24"/>
  <c r="B458" i="24"/>
  <c r="I613" i="24"/>
  <c r="B1264" i="24"/>
  <c r="I811" i="24"/>
  <c r="B1038" i="24"/>
  <c r="B980" i="24"/>
  <c r="I277" i="24"/>
  <c r="B1054" i="24"/>
  <c r="H947" i="24"/>
  <c r="H554" i="24"/>
  <c r="M73" i="24"/>
  <c r="I1645" i="24"/>
  <c r="H262" i="24"/>
  <c r="D170" i="24"/>
  <c r="M1431" i="24"/>
  <c r="I678" i="24"/>
  <c r="B1373" i="24"/>
  <c r="I1646" i="24"/>
  <c r="H1759" i="24"/>
  <c r="H1307" i="24"/>
  <c r="H179" i="24"/>
  <c r="I974" i="24"/>
  <c r="B955" i="24"/>
  <c r="H1053" i="24"/>
  <c r="H175" i="24"/>
  <c r="I1705" i="24"/>
  <c r="B924" i="24"/>
  <c r="H397" i="24"/>
  <c r="D675" i="24"/>
  <c r="B1805" i="24"/>
  <c r="M288" i="24"/>
  <c r="B1530" i="24"/>
  <c r="D1576" i="24"/>
  <c r="D999" i="24"/>
  <c r="I136" i="24"/>
  <c r="M583" i="24"/>
  <c r="B1311" i="24"/>
  <c r="H690" i="24"/>
  <c r="H912" i="24"/>
  <c r="B1785" i="24"/>
  <c r="D1114" i="24"/>
  <c r="H152" i="24"/>
  <c r="B933" i="24"/>
  <c r="M1572" i="24"/>
  <c r="D26" i="24"/>
  <c r="H308" i="24"/>
  <c r="M673" i="24"/>
  <c r="D1769" i="24"/>
  <c r="D478" i="24"/>
  <c r="H786" i="24"/>
  <c r="M1614" i="24"/>
  <c r="H855" i="24"/>
  <c r="M1613" i="24"/>
  <c r="D928" i="24"/>
  <c r="M490" i="24"/>
  <c r="D743" i="24"/>
  <c r="M1276" i="24"/>
  <c r="B6" i="24"/>
  <c r="I714" i="24"/>
  <c r="I1112" i="24"/>
  <c r="I61" i="24"/>
  <c r="B961" i="24"/>
  <c r="D1081" i="24"/>
  <c r="M248" i="24"/>
  <c r="H1192" i="24"/>
  <c r="B248" i="24"/>
  <c r="B533" i="24"/>
  <c r="D1741" i="24"/>
  <c r="I671" i="24"/>
  <c r="D1230" i="24"/>
  <c r="M1623" i="24"/>
  <c r="D816" i="24"/>
  <c r="B246" i="24"/>
  <c r="H416" i="24"/>
  <c r="B1812" i="24"/>
  <c r="M1655" i="24"/>
  <c r="H1029" i="24"/>
  <c r="M1045" i="24"/>
  <c r="M289" i="24"/>
  <c r="D1022" i="24"/>
  <c r="M1334" i="24"/>
  <c r="M218" i="24"/>
  <c r="D1865" i="24"/>
  <c r="D1034" i="24"/>
  <c r="B1787" i="24"/>
  <c r="I940" i="24"/>
  <c r="M1608" i="24"/>
  <c r="B1317" i="24"/>
  <c r="I988" i="24"/>
  <c r="M140" i="24"/>
  <c r="H741" i="24"/>
  <c r="M864" i="24"/>
  <c r="D584" i="24"/>
  <c r="H1614" i="24"/>
  <c r="I233" i="24"/>
  <c r="B538" i="24"/>
  <c r="B1397" i="24"/>
  <c r="M298" i="24"/>
  <c r="H596" i="24"/>
  <c r="H1785" i="24"/>
  <c r="D1119" i="24"/>
  <c r="M1583" i="24"/>
  <c r="I453" i="24"/>
  <c r="D1853" i="24"/>
  <c r="D1438" i="24"/>
  <c r="D415" i="24"/>
  <c r="I524" i="24"/>
  <c r="B720" i="24"/>
  <c r="H1364" i="24"/>
  <c r="I1867" i="24"/>
  <c r="M1371" i="24"/>
  <c r="I246" i="24"/>
  <c r="B769" i="24"/>
  <c r="D1571" i="24"/>
  <c r="D477" i="24"/>
  <c r="D1809" i="24"/>
  <c r="B1813" i="24"/>
  <c r="H502" i="24"/>
  <c r="M1147" i="24"/>
  <c r="M1074" i="24"/>
  <c r="H288" i="24"/>
  <c r="H1421" i="24"/>
  <c r="H505" i="24"/>
  <c r="M846" i="24"/>
  <c r="I1363" i="24"/>
  <c r="D1222" i="24"/>
  <c r="M822" i="24"/>
  <c r="I864" i="24"/>
  <c r="M724" i="24"/>
  <c r="H1204" i="24"/>
  <c r="M1532" i="24"/>
  <c r="D762" i="24"/>
  <c r="I847" i="24"/>
  <c r="I597" i="24"/>
  <c r="M1453" i="24"/>
  <c r="M128" i="24"/>
  <c r="M971" i="24"/>
  <c r="H683" i="24"/>
  <c r="M111" i="24"/>
  <c r="H124" i="24"/>
  <c r="D1047" i="24"/>
  <c r="M130" i="24"/>
  <c r="M1469" i="24"/>
  <c r="M190" i="24"/>
  <c r="M936" i="24"/>
  <c r="D483" i="24"/>
  <c r="M437" i="24"/>
  <c r="I1759" i="24"/>
  <c r="H432" i="24"/>
  <c r="D1701" i="24"/>
  <c r="M343" i="24"/>
  <c r="D886" i="24"/>
  <c r="D904" i="24"/>
  <c r="I924" i="24"/>
  <c r="I1216" i="24"/>
  <c r="M1084" i="24"/>
  <c r="D1111" i="24"/>
  <c r="B597" i="24"/>
  <c r="H1606" i="24"/>
  <c r="B128" i="24"/>
  <c r="D1766" i="24"/>
  <c r="H1082" i="24"/>
  <c r="M563" i="24"/>
  <c r="H1838" i="24"/>
  <c r="H999" i="24"/>
  <c r="H1500" i="24"/>
  <c r="D734" i="24"/>
  <c r="M169" i="24"/>
  <c r="H1030" i="24"/>
  <c r="I116" i="24"/>
  <c r="B1411" i="24"/>
  <c r="M1548" i="24"/>
  <c r="B83" i="24"/>
  <c r="D761" i="24"/>
  <c r="H120" i="24"/>
  <c r="M1212" i="24"/>
  <c r="B662" i="24"/>
  <c r="M513" i="24"/>
  <c r="I163" i="24"/>
  <c r="M737" i="24"/>
  <c r="D986" i="24"/>
  <c r="D333" i="24"/>
  <c r="B1103" i="24"/>
  <c r="B828" i="24"/>
  <c r="D947" i="24"/>
  <c r="B633" i="24"/>
  <c r="M1624" i="24"/>
  <c r="B1858" i="24"/>
  <c r="B898" i="24"/>
  <c r="H1404" i="24"/>
  <c r="I899" i="24"/>
  <c r="B1498" i="24"/>
  <c r="H1112" i="24"/>
  <c r="I886" i="24"/>
  <c r="I513" i="24"/>
  <c r="M550" i="24"/>
  <c r="I1865" i="24"/>
  <c r="D247" i="24"/>
  <c r="B1040" i="24"/>
  <c r="M269" i="24"/>
  <c r="B139" i="24"/>
  <c r="I591" i="24"/>
  <c r="B593" i="24"/>
  <c r="H920" i="24"/>
  <c r="M976" i="24"/>
  <c r="B236" i="24"/>
  <c r="I226" i="24"/>
  <c r="D1304" i="24"/>
  <c r="M79" i="24"/>
  <c r="M819" i="24"/>
  <c r="D399" i="24"/>
  <c r="M1057" i="24"/>
  <c r="M1201" i="24"/>
  <c r="B1348" i="24"/>
  <c r="D1221" i="24"/>
  <c r="M734" i="24"/>
  <c r="D42" i="24"/>
  <c r="M1870" i="24"/>
  <c r="H1385" i="24"/>
  <c r="M685" i="24"/>
  <c r="H595" i="24"/>
  <c r="M785" i="24"/>
  <c r="M398" i="24"/>
  <c r="B803" i="24"/>
  <c r="B297" i="24"/>
  <c r="D769" i="24"/>
  <c r="I1396" i="24"/>
  <c r="M1122" i="24"/>
  <c r="I417" i="24"/>
  <c r="M614" i="24"/>
  <c r="M1309" i="24"/>
  <c r="I153" i="24"/>
  <c r="M482" i="24"/>
  <c r="I85" i="24"/>
  <c r="D1422" i="24"/>
  <c r="B144" i="24"/>
  <c r="M1073" i="24"/>
  <c r="D544" i="24"/>
  <c r="D1177" i="24"/>
  <c r="B619" i="24"/>
  <c r="H376" i="24"/>
  <c r="I1143" i="24"/>
  <c r="B1188" i="24"/>
  <c r="H388" i="24"/>
  <c r="H1493" i="24"/>
  <c r="B1506" i="24"/>
  <c r="B816" i="24"/>
  <c r="B1444" i="24"/>
  <c r="I1318" i="24"/>
  <c r="M832" i="24"/>
  <c r="B1491" i="24"/>
  <c r="D1450" i="24"/>
  <c r="D921" i="24"/>
  <c r="H1187" i="24"/>
  <c r="I1287" i="24"/>
  <c r="D416" i="24"/>
  <c r="I1555" i="24"/>
  <c r="M644" i="24"/>
  <c r="B1689" i="24"/>
  <c r="I202" i="24"/>
  <c r="H1544" i="24"/>
  <c r="M268" i="24"/>
  <c r="D176" i="24"/>
  <c r="M1537" i="24"/>
  <c r="I1371" i="24"/>
  <c r="D561" i="24"/>
  <c r="I1528" i="24"/>
  <c r="B102" i="24"/>
  <c r="M865" i="24"/>
  <c r="I1557" i="24"/>
  <c r="M1896" i="24"/>
  <c r="M969" i="24"/>
  <c r="M435" i="24"/>
  <c r="I368" i="24"/>
  <c r="D714" i="24"/>
  <c r="B1656" i="24"/>
  <c r="B760" i="24"/>
  <c r="I1214" i="24"/>
  <c r="I1179" i="24"/>
  <c r="I131" i="24"/>
  <c r="H356" i="24"/>
  <c r="B1816" i="24"/>
  <c r="B1848" i="24"/>
  <c r="D1570" i="24"/>
  <c r="B1836" i="24"/>
  <c r="B1100" i="24"/>
  <c r="D754" i="24"/>
  <c r="D1423" i="24"/>
  <c r="I893" i="24"/>
  <c r="B350" i="24"/>
  <c r="I117" i="24"/>
  <c r="I1673" i="24"/>
  <c r="D186" i="24"/>
  <c r="H1141" i="24"/>
  <c r="D1394" i="24"/>
  <c r="D1341" i="24"/>
  <c r="B962" i="24"/>
  <c r="I1253" i="24"/>
  <c r="M112" i="24"/>
  <c r="D1282" i="24"/>
  <c r="D173" i="24"/>
  <c r="B315" i="24"/>
  <c r="D1613" i="24"/>
  <c r="D532" i="24"/>
  <c r="I1708" i="24"/>
  <c r="H1051" i="24"/>
  <c r="M1471" i="24"/>
  <c r="H818" i="24"/>
  <c r="H1905" i="24"/>
  <c r="B762" i="24"/>
  <c r="M1170" i="24"/>
  <c r="H248" i="24"/>
  <c r="I745" i="24"/>
  <c r="B279" i="24"/>
  <c r="I843" i="24"/>
  <c r="H1027" i="24"/>
  <c r="D1237" i="24"/>
  <c r="B620" i="24"/>
  <c r="B1552" i="24"/>
  <c r="H517" i="24"/>
  <c r="I1825" i="24"/>
  <c r="M421" i="24"/>
  <c r="B359" i="24"/>
  <c r="M1874" i="24"/>
  <c r="H1179" i="24"/>
  <c r="I1608" i="24"/>
  <c r="D1009" i="24"/>
  <c r="D959" i="24"/>
  <c r="H212" i="24"/>
  <c r="D1499" i="24"/>
  <c r="I1356" i="24"/>
  <c r="I1195" i="24"/>
  <c r="H1844" i="24"/>
  <c r="H845" i="24"/>
  <c r="H1432" i="24"/>
  <c r="I1169" i="24"/>
  <c r="M796" i="24"/>
  <c r="M1314" i="24"/>
  <c r="D957" i="24"/>
  <c r="H1031" i="24"/>
  <c r="I618" i="24"/>
  <c r="H1168" i="24"/>
  <c r="D768" i="24"/>
  <c r="H886" i="24"/>
  <c r="I68" i="24"/>
  <c r="D1683" i="24"/>
  <c r="B1597" i="24"/>
  <c r="D551" i="24"/>
  <c r="D123" i="24"/>
  <c r="M347" i="24"/>
  <c r="M917" i="24"/>
  <c r="B1404" i="24"/>
  <c r="H99" i="24"/>
  <c r="I648" i="24"/>
  <c r="B947" i="24"/>
  <c r="I1789" i="24"/>
  <c r="M412" i="24"/>
  <c r="I1038" i="24"/>
  <c r="D457" i="24"/>
  <c r="H1336" i="24"/>
  <c r="M990" i="24"/>
  <c r="D1857" i="24"/>
  <c r="B346" i="24"/>
  <c r="B132" i="24"/>
  <c r="D463" i="24"/>
  <c r="M776" i="24"/>
  <c r="B1162" i="24"/>
  <c r="B1008" i="24"/>
  <c r="M611" i="24"/>
  <c r="M219" i="24"/>
  <c r="M702" i="24"/>
  <c r="D1449" i="24"/>
  <c r="D1085" i="24"/>
  <c r="I275" i="24"/>
  <c r="I572" i="24"/>
  <c r="I1715" i="24"/>
  <c r="D330" i="24"/>
  <c r="M753" i="24"/>
  <c r="B1114" i="24"/>
  <c r="I313" i="24"/>
  <c r="I1350" i="24"/>
  <c r="I158" i="24"/>
  <c r="D1775" i="24"/>
  <c r="H90" i="24"/>
  <c r="M1414" i="24"/>
  <c r="M899" i="24"/>
  <c r="D1288" i="24"/>
  <c r="M499" i="24"/>
  <c r="H1620" i="24"/>
  <c r="B1418" i="24"/>
  <c r="H13" i="24"/>
  <c r="B33" i="24"/>
  <c r="H1859" i="24"/>
  <c r="H5" i="24"/>
  <c r="D1564" i="24"/>
  <c r="D1655" i="24"/>
  <c r="B857" i="24"/>
  <c r="H29" i="24"/>
  <c r="D1409" i="24"/>
  <c r="B134" i="24"/>
  <c r="M1259" i="24"/>
  <c r="B1010" i="24"/>
  <c r="I324" i="24"/>
  <c r="M68" i="24"/>
  <c r="I1347" i="24"/>
  <c r="H1831" i="24"/>
  <c r="H469" i="24"/>
  <c r="H301" i="24"/>
  <c r="B292" i="24"/>
  <c r="B1214" i="24"/>
  <c r="D1535" i="24"/>
  <c r="B878" i="24"/>
  <c r="I177" i="24"/>
  <c r="M1218" i="24"/>
  <c r="H468" i="24"/>
  <c r="D183" i="24"/>
  <c r="I852" i="24"/>
  <c r="H1171" i="24"/>
  <c r="H157" i="24"/>
  <c r="B451" i="24"/>
  <c r="B1159" i="24"/>
  <c r="I547" i="24"/>
  <c r="D1424" i="24"/>
  <c r="H336" i="24"/>
  <c r="I1504" i="24"/>
  <c r="I221" i="24"/>
  <c r="D619" i="24"/>
  <c r="M955" i="24"/>
  <c r="B1463" i="24"/>
  <c r="D1620" i="24"/>
  <c r="I579" i="24"/>
  <c r="B1357" i="24"/>
  <c r="M458" i="24"/>
  <c r="I628" i="24"/>
  <c r="M282" i="24"/>
  <c r="M1434" i="24"/>
  <c r="H542" i="24"/>
  <c r="B1406" i="24"/>
  <c r="H293" i="24"/>
  <c r="B1748" i="24"/>
  <c r="I1057" i="24"/>
  <c r="M1286" i="24"/>
  <c r="M159" i="24"/>
  <c r="I1657" i="24"/>
  <c r="I462" i="24"/>
  <c r="D1618" i="24"/>
  <c r="I855" i="24"/>
  <c r="H826" i="24"/>
  <c r="I363" i="24"/>
  <c r="H504" i="24"/>
  <c r="D1135" i="24"/>
  <c r="H533" i="24"/>
  <c r="D1120" i="24"/>
  <c r="H1595" i="24"/>
  <c r="I281" i="24"/>
  <c r="H51" i="24"/>
  <c r="H1821" i="24"/>
  <c r="I230" i="24"/>
  <c r="D854" i="24"/>
  <c r="H987" i="24"/>
  <c r="I845" i="24"/>
  <c r="I160" i="24"/>
  <c r="H529" i="24"/>
  <c r="D982" i="24"/>
  <c r="I1518" i="24"/>
  <c r="H1487" i="24"/>
  <c r="H30" i="24"/>
  <c r="M637" i="24"/>
  <c r="B679" i="24"/>
  <c r="B695" i="24"/>
  <c r="M103" i="24"/>
  <c r="I181" i="24"/>
  <c r="I527" i="24"/>
  <c r="B229" i="24"/>
  <c r="D370" i="24"/>
  <c r="M1466" i="24"/>
  <c r="D1187" i="24"/>
  <c r="M1388" i="24"/>
  <c r="H1313" i="24"/>
  <c r="M427" i="24"/>
  <c r="I464" i="24"/>
  <c r="I659" i="24"/>
  <c r="B1877" i="24"/>
  <c r="I1828" i="24"/>
  <c r="D550" i="24"/>
  <c r="H1561" i="24"/>
  <c r="H867" i="24"/>
  <c r="B1165" i="24"/>
  <c r="I56" i="24"/>
  <c r="B505" i="24"/>
  <c r="H441" i="24"/>
  <c r="D683" i="24"/>
  <c r="B1227" i="24"/>
  <c r="I135" i="24"/>
  <c r="B1791" i="24"/>
  <c r="M890" i="24"/>
  <c r="H631" i="24"/>
  <c r="B1901" i="24"/>
  <c r="I1421" i="24"/>
  <c r="D1598" i="24"/>
  <c r="B369" i="24"/>
  <c r="B449" i="24"/>
  <c r="M1088" i="24"/>
  <c r="M1077" i="24"/>
  <c r="M1234" i="24"/>
  <c r="I1148" i="24"/>
  <c r="D302" i="24"/>
  <c r="B1711" i="24"/>
  <c r="M258" i="24"/>
  <c r="D116" i="24"/>
  <c r="D1455" i="24"/>
  <c r="H1133" i="24"/>
  <c r="D510" i="24"/>
  <c r="H1552" i="24"/>
  <c r="M1522" i="24"/>
  <c r="I1677" i="24"/>
  <c r="I1227" i="24"/>
  <c r="H59" i="24"/>
  <c r="M1085" i="24"/>
  <c r="B1073" i="24"/>
  <c r="B1308" i="24"/>
  <c r="D1284" i="24"/>
  <c r="H1530" i="24"/>
  <c r="D1066" i="24"/>
  <c r="D1330" i="24"/>
  <c r="D1656" i="24"/>
  <c r="B819" i="24"/>
  <c r="H1773" i="24"/>
  <c r="B45" i="24"/>
  <c r="M1512" i="24"/>
  <c r="B56" i="24"/>
  <c r="B1150" i="24"/>
  <c r="H97" i="24"/>
  <c r="D63" i="24"/>
  <c r="M515" i="24"/>
  <c r="I652" i="24"/>
  <c r="M788" i="24"/>
  <c r="I1398" i="24"/>
  <c r="M452" i="24"/>
  <c r="B1085" i="24"/>
  <c r="H40" i="24"/>
  <c r="D1512" i="24"/>
  <c r="I1588" i="24"/>
  <c r="M1619" i="24"/>
  <c r="I1544" i="24"/>
  <c r="M170" i="24"/>
  <c r="M1495" i="24"/>
  <c r="I1178" i="24"/>
  <c r="B20" i="24"/>
  <c r="H1287" i="24"/>
  <c r="B1827" i="24"/>
  <c r="M706" i="24"/>
  <c r="I367" i="24"/>
  <c r="M1322" i="24"/>
  <c r="H224" i="24"/>
  <c r="H571" i="24"/>
  <c r="H728" i="24"/>
  <c r="H52" i="24"/>
  <c r="H1145" i="24"/>
  <c r="B215" i="24"/>
  <c r="H1572" i="24"/>
  <c r="H1390" i="24"/>
  <c r="H1624" i="24"/>
  <c r="M1381" i="24"/>
  <c r="H298" i="24"/>
  <c r="M631" i="24"/>
  <c r="I189" i="24"/>
  <c r="M1538" i="24"/>
  <c r="B1688" i="24"/>
  <c r="I884" i="24"/>
  <c r="H615" i="24"/>
  <c r="H1549" i="24"/>
  <c r="B1889" i="24"/>
  <c r="D631" i="24"/>
  <c r="M1127" i="24"/>
  <c r="M23" i="24"/>
  <c r="I337" i="24"/>
  <c r="H1009" i="24"/>
  <c r="B1518" i="24"/>
  <c r="B1056" i="24"/>
  <c r="I1474" i="24"/>
  <c r="B1016" i="24"/>
  <c r="H843" i="24"/>
  <c r="B1610" i="24"/>
  <c r="H804" i="24"/>
  <c r="B1316" i="24"/>
  <c r="B848" i="24"/>
  <c r="B1538" i="24"/>
  <c r="D73" i="24"/>
  <c r="H509" i="24"/>
  <c r="I379" i="24"/>
  <c r="I208" i="24"/>
  <c r="I326" i="24"/>
  <c r="H584" i="24"/>
  <c r="D593" i="24"/>
  <c r="I1099" i="24"/>
  <c r="M496" i="24"/>
  <c r="D1726" i="24"/>
  <c r="I1249" i="24"/>
  <c r="D262" i="24"/>
  <c r="H1259" i="24"/>
  <c r="D522" i="24"/>
  <c r="H793" i="24"/>
  <c r="I877" i="24"/>
  <c r="M875" i="24"/>
  <c r="H428" i="24"/>
  <c r="B1881" i="24"/>
  <c r="M1461" i="24"/>
  <c r="D102" i="24"/>
  <c r="M1635" i="24"/>
  <c r="I919" i="24"/>
  <c r="D264" i="24"/>
  <c r="I1427" i="24"/>
  <c r="B1335" i="24"/>
  <c r="B1904" i="24"/>
  <c r="B959" i="24"/>
  <c r="I1738" i="24"/>
  <c r="B1815" i="24"/>
  <c r="B588" i="24"/>
  <c r="M1903" i="24"/>
  <c r="M835" i="24"/>
  <c r="I1841" i="24"/>
  <c r="D1868" i="24"/>
  <c r="M426" i="24"/>
  <c r="B1032" i="24"/>
  <c r="I708" i="24"/>
  <c r="I1297" i="24"/>
  <c r="I50" i="24"/>
  <c r="D1648" i="24"/>
  <c r="B590" i="24"/>
  <c r="M479" i="24"/>
  <c r="H921" i="24"/>
  <c r="I1503" i="24"/>
  <c r="D241" i="24"/>
  <c r="D1012" i="24"/>
  <c r="B722" i="24"/>
  <c r="D1606" i="24"/>
  <c r="I867" i="24"/>
  <c r="I1815" i="24"/>
  <c r="H1775" i="24"/>
  <c r="H1231" i="24"/>
  <c r="M369" i="24"/>
  <c r="M1358" i="24"/>
  <c r="D348" i="24"/>
  <c r="H184" i="24"/>
  <c r="H158" i="24"/>
  <c r="M701" i="24"/>
  <c r="I1245" i="24"/>
  <c r="B1691" i="24"/>
  <c r="I1659" i="24"/>
  <c r="M156" i="24"/>
  <c r="H1823" i="24"/>
  <c r="I731" i="24"/>
  <c r="D1749" i="24"/>
  <c r="D1864" i="24"/>
  <c r="M1019" i="24"/>
  <c r="I1871" i="24"/>
  <c r="H1376" i="24"/>
  <c r="M812" i="24"/>
  <c r="D1363" i="24"/>
  <c r="M1130" i="24"/>
  <c r="M651" i="24"/>
  <c r="M267" i="24"/>
  <c r="M844" i="24"/>
  <c r="D1489" i="24"/>
  <c r="B411" i="24"/>
  <c r="I1254" i="24"/>
  <c r="M866" i="24"/>
  <c r="I1610" i="24"/>
  <c r="D1091" i="24"/>
  <c r="H592" i="24"/>
  <c r="I286" i="24"/>
  <c r="H112" i="24"/>
  <c r="M541" i="24"/>
  <c r="B1109" i="24"/>
  <c r="I397" i="24"/>
  <c r="B283" i="24"/>
  <c r="H334" i="24"/>
  <c r="B1322" i="24"/>
  <c r="I1332" i="24"/>
  <c r="M1552" i="24"/>
  <c r="B1413" i="24"/>
  <c r="D49" i="24"/>
  <c r="M932" i="24"/>
  <c r="B1723" i="24"/>
  <c r="D1294" i="24"/>
  <c r="B544" i="24"/>
  <c r="H799" i="24"/>
  <c r="D1319" i="24"/>
  <c r="I421" i="24"/>
  <c r="H1484" i="24"/>
  <c r="D39" i="24"/>
  <c r="I504" i="24"/>
  <c r="H1083" i="24"/>
  <c r="M1398" i="24"/>
  <c r="M885" i="24"/>
  <c r="D1320" i="24"/>
  <c r="H41" i="24"/>
  <c r="M585" i="24"/>
  <c r="M1528" i="24"/>
  <c r="D293" i="24"/>
  <c r="I676" i="24"/>
  <c r="H744" i="24"/>
  <c r="I1453" i="24"/>
  <c r="D644" i="24"/>
  <c r="B1281" i="24"/>
  <c r="D443" i="24"/>
  <c r="B273" i="24"/>
  <c r="B934" i="24"/>
  <c r="B916" i="24"/>
  <c r="H1619" i="24"/>
  <c r="B1174" i="24"/>
  <c r="B1789" i="24"/>
  <c r="B1327" i="24"/>
  <c r="H466" i="24"/>
  <c r="H1216" i="24"/>
  <c r="B1842" i="24"/>
  <c r="H871" i="24"/>
  <c r="D846" i="24"/>
  <c r="H457" i="24"/>
  <c r="D972" i="24"/>
  <c r="I1167" i="24"/>
  <c r="M1530" i="24"/>
  <c r="I621" i="24"/>
  <c r="H637" i="24"/>
  <c r="D1621" i="24"/>
  <c r="H675" i="24"/>
  <c r="D381" i="24"/>
  <c r="I325" i="24"/>
  <c r="D67" i="24"/>
  <c r="M709" i="24"/>
  <c r="I157" i="24"/>
  <c r="B232" i="24"/>
  <c r="I1674" i="24"/>
  <c r="M1587" i="24"/>
  <c r="I1866" i="24"/>
  <c r="M1261" i="24"/>
  <c r="B1203" i="24"/>
  <c r="I444" i="24"/>
  <c r="B1696" i="24"/>
  <c r="I1437" i="24"/>
  <c r="D1869" i="24"/>
  <c r="I785" i="24"/>
  <c r="M418" i="24"/>
  <c r="B1163" i="24"/>
  <c r="D1852" i="24"/>
  <c r="D52" i="24"/>
  <c r="D53" i="24"/>
  <c r="D820" i="24"/>
  <c r="M905" i="24"/>
  <c r="D1408" i="24"/>
  <c r="M1269" i="24"/>
  <c r="M1035" i="24"/>
  <c r="I1798" i="24"/>
  <c r="M1155" i="24"/>
  <c r="D699" i="24"/>
  <c r="H1655" i="24"/>
  <c r="I404" i="24"/>
  <c r="H1706" i="24"/>
  <c r="I788" i="24"/>
  <c r="H1524" i="24"/>
  <c r="B704" i="24"/>
  <c r="I223" i="24"/>
  <c r="D535" i="24"/>
  <c r="M660" i="24"/>
  <c r="B738" i="24"/>
  <c r="M1462" i="24"/>
  <c r="M1506" i="24"/>
  <c r="I1337" i="24"/>
  <c r="H1246" i="24"/>
  <c r="B1495" i="24"/>
  <c r="D1260" i="24"/>
  <c r="M682" i="24"/>
  <c r="B216" i="24"/>
  <c r="I292" i="24"/>
  <c r="I42" i="24"/>
  <c r="I1672" i="24"/>
  <c r="B547" i="24"/>
  <c r="D733" i="24"/>
  <c r="I615" i="24"/>
  <c r="B1361" i="24"/>
  <c r="H62" i="24"/>
  <c r="B1057" i="24"/>
  <c r="H1654" i="24"/>
  <c r="M1209" i="24"/>
  <c r="H423" i="24"/>
  <c r="I1753" i="24"/>
  <c r="D188" i="24"/>
  <c r="I437" i="24"/>
  <c r="H644" i="24"/>
  <c r="I165" i="24"/>
  <c r="H21" i="24"/>
  <c r="I1855" i="24"/>
  <c r="I143" i="24"/>
  <c r="H540" i="24"/>
  <c r="B982" i="24"/>
  <c r="H1438" i="24"/>
  <c r="M957" i="24"/>
  <c r="I1810" i="24"/>
  <c r="M1640" i="24"/>
  <c r="D1754" i="24"/>
  <c r="M680" i="24"/>
  <c r="B1818" i="24"/>
  <c r="D624" i="24"/>
  <c r="D1090" i="24"/>
  <c r="B842" i="24"/>
  <c r="M642" i="24"/>
  <c r="M843" i="24"/>
  <c r="B1066" i="24"/>
  <c r="D1405" i="24"/>
  <c r="B854" i="24"/>
  <c r="M1536" i="24"/>
  <c r="M1339" i="24"/>
  <c r="H359" i="24"/>
  <c r="H1282" i="24"/>
  <c r="B1630" i="24"/>
  <c r="D1847" i="24"/>
  <c r="I1848" i="24"/>
  <c r="I1696" i="24"/>
  <c r="D1549" i="24"/>
  <c r="B444" i="24"/>
  <c r="B750" i="24"/>
  <c r="D821" i="24"/>
  <c r="I860" i="24"/>
  <c r="I1698" i="24"/>
  <c r="I1629" i="24"/>
  <c r="I212" i="24"/>
  <c r="H716" i="24"/>
  <c r="B225" i="24"/>
  <c r="M181" i="24"/>
  <c r="I667" i="24"/>
  <c r="H1867" i="24"/>
  <c r="I570" i="24"/>
  <c r="B784" i="24"/>
  <c r="D1100" i="24"/>
  <c r="D1595" i="24"/>
  <c r="H1508" i="24"/>
  <c r="B1220" i="24"/>
  <c r="M1379" i="24"/>
  <c r="D605" i="24"/>
  <c r="D36" i="24"/>
  <c r="I542" i="24"/>
  <c r="I1897" i="24"/>
  <c r="D903" i="24"/>
  <c r="D274" i="24"/>
  <c r="I980" i="24"/>
  <c r="M358" i="24"/>
  <c r="B932" i="24"/>
  <c r="B1393" i="24"/>
  <c r="H1511" i="24"/>
  <c r="D225" i="24"/>
  <c r="M283" i="24"/>
  <c r="I378" i="24"/>
  <c r="D1800" i="24"/>
  <c r="H313" i="24"/>
  <c r="I1452" i="24"/>
  <c r="H955" i="24"/>
  <c r="M1634" i="24"/>
  <c r="B1105" i="24"/>
  <c r="M533" i="24"/>
  <c r="D1616" i="24"/>
  <c r="I546" i="24"/>
  <c r="D420" i="24"/>
  <c r="H1433" i="24"/>
  <c r="D368" i="24"/>
  <c r="H1022" i="24"/>
  <c r="M1324" i="24"/>
  <c r="B1280" i="24"/>
  <c r="H933" i="24"/>
  <c r="D1168" i="24"/>
  <c r="I1558" i="24"/>
  <c r="H20" i="24"/>
  <c r="H1161" i="24"/>
  <c r="B137" i="24"/>
  <c r="I681" i="24"/>
  <c r="H200" i="24"/>
  <c r="H674" i="24"/>
  <c r="M1311" i="24"/>
  <c r="I1264" i="24"/>
  <c r="B1122" i="24"/>
  <c r="D1452" i="24"/>
  <c r="I1354" i="24"/>
  <c r="D910" i="24"/>
  <c r="H204" i="24"/>
  <c r="B274" i="24"/>
  <c r="M1175" i="24"/>
  <c r="M1869" i="24"/>
  <c r="B414" i="24"/>
  <c r="I538" i="24"/>
  <c r="I1277" i="24"/>
  <c r="D1813" i="24"/>
  <c r="B914" i="24"/>
  <c r="H365" i="24"/>
  <c r="B1532" i="24"/>
  <c r="D1481" i="24"/>
  <c r="M861" i="24"/>
  <c r="M1467" i="24"/>
  <c r="B1245" i="24"/>
  <c r="I539" i="24"/>
  <c r="H1412" i="24"/>
  <c r="H629" i="24"/>
  <c r="B1195" i="24"/>
  <c r="B1466" i="24"/>
  <c r="I1162" i="24"/>
  <c r="M1285" i="24"/>
  <c r="H1681" i="24"/>
  <c r="B1168" i="24"/>
  <c r="H1771" i="24"/>
  <c r="H1185" i="24"/>
  <c r="B1760" i="24"/>
  <c r="B579" i="24"/>
  <c r="H698" i="24"/>
  <c r="M756" i="24"/>
  <c r="M1023" i="24"/>
  <c r="I762" i="24"/>
  <c r="M334" i="24"/>
  <c r="B428" i="24"/>
  <c r="D1901" i="24"/>
  <c r="D284" i="24"/>
  <c r="H1839" i="24"/>
  <c r="B627" i="24"/>
  <c r="M965" i="24"/>
  <c r="M246" i="24"/>
  <c r="H1256" i="24"/>
  <c r="D1074" i="24"/>
  <c r="I1741" i="24"/>
  <c r="D828" i="24"/>
  <c r="B1546" i="24"/>
  <c r="M1223" i="24"/>
  <c r="H275" i="24"/>
  <c r="I839" i="24"/>
  <c r="M571" i="24"/>
  <c r="M1386" i="24"/>
  <c r="B1408" i="24"/>
  <c r="I1822" i="24"/>
  <c r="H296" i="24"/>
  <c r="M86" i="24"/>
  <c r="D396" i="24"/>
  <c r="D1448" i="24"/>
  <c r="H1173" i="24"/>
  <c r="M966" i="24"/>
  <c r="D243" i="24"/>
  <c r="B1060" i="24"/>
  <c r="H1269" i="24"/>
  <c r="M999" i="24"/>
  <c r="I1642" i="24"/>
  <c r="D1669" i="24"/>
  <c r="I602" i="24"/>
  <c r="I691" i="24"/>
  <c r="M77" i="24"/>
  <c r="D1762" i="24"/>
  <c r="B202" i="24"/>
  <c r="M93" i="24"/>
  <c r="I185" i="24"/>
  <c r="B454" i="24"/>
  <c r="M558" i="24"/>
  <c r="D192" i="24"/>
  <c r="M1610" i="24"/>
  <c r="M468" i="24"/>
  <c r="M1097" i="24"/>
  <c r="M1353" i="24"/>
  <c r="I545" i="24"/>
  <c r="M92" i="24"/>
  <c r="B1215" i="24"/>
  <c r="B309" i="24"/>
  <c r="D1377" i="24"/>
  <c r="H389" i="24"/>
  <c r="M116" i="24"/>
  <c r="M1638" i="24"/>
  <c r="D501" i="24"/>
  <c r="D1441" i="24"/>
  <c r="I210" i="24"/>
  <c r="B356" i="24"/>
  <c r="B1479" i="24"/>
  <c r="H1704" i="24"/>
  <c r="M555" i="24"/>
  <c r="B832" i="24"/>
  <c r="H270" i="24"/>
  <c r="H1095" i="24"/>
  <c r="I1028" i="24"/>
  <c r="D1231" i="24"/>
  <c r="M1428" i="24"/>
  <c r="B1673" i="24"/>
  <c r="I1641" i="24"/>
  <c r="H1253" i="24"/>
  <c r="M18" i="24"/>
  <c r="M1240" i="24"/>
  <c r="M109" i="24"/>
  <c r="H858" i="24"/>
  <c r="D1668" i="24"/>
  <c r="D791" i="24"/>
  <c r="D720" i="24"/>
  <c r="M901" i="24"/>
  <c r="M493" i="24"/>
  <c r="H1760" i="24"/>
  <c r="B1664" i="24"/>
  <c r="I1840" i="24"/>
  <c r="I309" i="24"/>
  <c r="I1731" i="24"/>
  <c r="B766" i="24"/>
  <c r="H103" i="24"/>
  <c r="H762" i="24"/>
  <c r="B1618" i="24"/>
  <c r="H71" i="24"/>
  <c r="I482" i="24"/>
  <c r="I220" i="24"/>
  <c r="I164" i="24"/>
  <c r="H1386" i="24"/>
  <c r="H1882" i="24"/>
  <c r="B1627" i="24"/>
  <c r="D603" i="24"/>
  <c r="I1258" i="24"/>
  <c r="M178" i="24"/>
  <c r="H1059" i="24"/>
  <c r="B772" i="24"/>
  <c r="M1115" i="24"/>
  <c r="B1307" i="24"/>
  <c r="D600" i="24"/>
  <c r="H1423" i="24"/>
  <c r="B968" i="24"/>
  <c r="M838" i="24"/>
  <c r="H1829" i="24"/>
  <c r="D1552" i="24"/>
  <c r="M898" i="24"/>
  <c r="D1715" i="24"/>
  <c r="M15" i="24"/>
  <c r="I52" i="24"/>
  <c r="I875" i="24"/>
  <c r="D596" i="24"/>
  <c r="H1676" i="24"/>
  <c r="D981" i="24"/>
  <c r="B291" i="24"/>
  <c r="D1234" i="24"/>
  <c r="D1395" i="24"/>
  <c r="H1770" i="24"/>
  <c r="I284" i="24"/>
  <c r="B182" i="24"/>
  <c r="D1093" i="24"/>
  <c r="D1456" i="24"/>
  <c r="D317" i="24"/>
  <c r="B1896" i="24"/>
  <c r="I620" i="24"/>
  <c r="B60" i="24"/>
  <c r="I698" i="24"/>
  <c r="I1830" i="24"/>
  <c r="H719" i="24"/>
  <c r="H1373" i="24"/>
  <c r="I120" i="24"/>
  <c r="I1817" i="24"/>
  <c r="H446" i="24"/>
  <c r="B153" i="24"/>
  <c r="H1710" i="24"/>
  <c r="H1219" i="24"/>
  <c r="H545" i="24"/>
  <c r="M772" i="24"/>
  <c r="M674" i="24"/>
  <c r="B967" i="24"/>
  <c r="B191" i="24"/>
  <c r="M1890" i="24"/>
  <c r="M1148" i="24"/>
  <c r="B532" i="24"/>
  <c r="D1845" i="24"/>
  <c r="D990" i="24"/>
  <c r="I272" i="24"/>
  <c r="B1048" i="24"/>
  <c r="D824" i="24"/>
  <c r="B1036" i="24"/>
  <c r="I1615" i="24"/>
  <c r="I736" i="24"/>
  <c r="D1431" i="24"/>
  <c r="M297" i="24"/>
  <c r="M1544" i="24"/>
  <c r="D814" i="24"/>
  <c r="M803" i="24"/>
  <c r="M410" i="24"/>
  <c r="B713" i="24"/>
  <c r="D9" i="24"/>
  <c r="I536" i="24"/>
  <c r="M889" i="24"/>
  <c r="B1299" i="24"/>
  <c r="I575" i="24"/>
  <c r="B807" i="24"/>
  <c r="H1852" i="24"/>
  <c r="M850" i="24"/>
  <c r="D870" i="24"/>
  <c r="H1303" i="24"/>
  <c r="B140" i="24"/>
  <c r="D1207" i="24"/>
  <c r="D1611" i="24"/>
  <c r="B1455" i="24"/>
  <c r="H926" i="24"/>
  <c r="I779" i="24"/>
  <c r="B1735" i="24"/>
  <c r="D1862" i="24"/>
  <c r="D295" i="24"/>
  <c r="M1183" i="24"/>
  <c r="H555" i="24"/>
  <c r="D1551" i="24"/>
  <c r="M1235" i="24"/>
  <c r="B31" i="24"/>
  <c r="D1383" i="24"/>
  <c r="H1480" i="24"/>
  <c r="M1857" i="24"/>
  <c r="H1522" i="24"/>
  <c r="M153" i="24"/>
  <c r="D625" i="24"/>
  <c r="I228" i="24"/>
  <c r="B649" i="24"/>
  <c r="B745" i="24"/>
  <c r="I1552" i="24"/>
  <c r="M1099" i="24"/>
  <c r="D1627" i="24"/>
  <c r="D710" i="24"/>
  <c r="D628" i="24"/>
  <c r="B1589" i="24"/>
  <c r="M730" i="24"/>
  <c r="D1614" i="24"/>
  <c r="H1401" i="24"/>
  <c r="M326" i="24"/>
  <c r="H1472" i="24"/>
  <c r="I1443" i="24"/>
  <c r="I259" i="24"/>
  <c r="H1163" i="24"/>
  <c r="H1055" i="24"/>
  <c r="M1568" i="24"/>
  <c r="I452" i="24"/>
  <c r="D96" i="24"/>
  <c r="B1395" i="24"/>
  <c r="D1329" i="24"/>
  <c r="M87" i="24"/>
  <c r="H1152" i="24"/>
  <c r="I425" i="24"/>
  <c r="H42" i="24"/>
  <c r="M423" i="24"/>
  <c r="D1652" i="24"/>
  <c r="I581" i="24"/>
  <c r="M1653" i="24"/>
  <c r="I1808" i="24"/>
  <c r="D182" i="24"/>
  <c r="M322" i="24"/>
  <c r="M1447" i="24"/>
  <c r="M30" i="24"/>
  <c r="D1359" i="24"/>
  <c r="M896" i="24"/>
  <c r="B42" i="24"/>
  <c r="M393" i="24"/>
  <c r="H897" i="24"/>
  <c r="M1081" i="24"/>
  <c r="H75" i="24"/>
  <c r="M1326" i="24"/>
  <c r="I294" i="24"/>
  <c r="D1068" i="24"/>
  <c r="H1036" i="24"/>
  <c r="I312" i="24"/>
  <c r="H1492" i="24"/>
  <c r="B1256" i="24"/>
  <c r="D1434" i="24"/>
  <c r="I240" i="24"/>
  <c r="I416" i="24"/>
  <c r="M1477" i="24"/>
  <c r="B565" i="24"/>
  <c r="M548" i="24"/>
  <c r="H791" i="24"/>
  <c r="M1228" i="24"/>
  <c r="D1789" i="24"/>
  <c r="M397" i="24"/>
  <c r="H971" i="24"/>
  <c r="M465" i="24"/>
  <c r="I1744" i="24"/>
  <c r="B1323" i="24"/>
  <c r="H1110" i="24"/>
  <c r="D811" i="24"/>
  <c r="M1342" i="24"/>
  <c r="D1866" i="24"/>
  <c r="I59" i="24"/>
  <c r="H761" i="24"/>
  <c r="H1091" i="24"/>
  <c r="B591" i="24"/>
  <c r="D1817" i="24"/>
  <c r="B1520" i="24"/>
  <c r="M1246" i="24"/>
  <c r="B198" i="24"/>
  <c r="H814" i="24"/>
  <c r="B1098" i="24"/>
  <c r="M751" i="24"/>
  <c r="B1137" i="24"/>
  <c r="M926" i="24"/>
  <c r="M841" i="24"/>
  <c r="H1151" i="24"/>
  <c r="M988" i="24"/>
  <c r="D836" i="24"/>
  <c r="H481" i="24"/>
  <c r="D88" i="24"/>
  <c r="D1157" i="24"/>
  <c r="M524" i="24"/>
  <c r="I672" i="24"/>
  <c r="B1871" i="24"/>
  <c r="M703" i="24"/>
  <c r="M1498" i="24"/>
  <c r="M704" i="24"/>
  <c r="M542" i="24"/>
  <c r="M45" i="24"/>
  <c r="H1695" i="24"/>
  <c r="B25" i="24"/>
  <c r="B217" i="24"/>
  <c r="H1843" i="24"/>
  <c r="H1837" i="24"/>
  <c r="M708" i="24"/>
  <c r="I241" i="24"/>
  <c r="H948" i="24"/>
  <c r="M1178" i="24"/>
  <c r="I666" i="24"/>
  <c r="D1314" i="24"/>
  <c r="I173" i="24"/>
  <c r="B543" i="24"/>
  <c r="D151" i="24"/>
  <c r="D922" i="24"/>
  <c r="B767" i="24"/>
  <c r="D705" i="24"/>
  <c r="M1249" i="24"/>
  <c r="D383" i="24"/>
  <c r="M1654" i="24"/>
  <c r="I1565" i="24"/>
  <c r="I1838" i="24"/>
  <c r="B664" i="24"/>
  <c r="D794" i="24"/>
  <c r="M1150" i="24"/>
  <c r="I848" i="24"/>
  <c r="D1130" i="24"/>
  <c r="D1453" i="24"/>
  <c r="M1410" i="24"/>
  <c r="H159" i="24"/>
  <c r="M1648" i="24"/>
  <c r="D270" i="24"/>
  <c r="H1682" i="24"/>
  <c r="D126" i="24"/>
  <c r="B963" i="24"/>
  <c r="M1197" i="24"/>
  <c r="M625" i="24"/>
  <c r="M1310" i="24"/>
  <c r="I1707" i="24"/>
  <c r="B731" i="24"/>
  <c r="D413" i="24"/>
  <c r="H764" i="24"/>
  <c r="M125" i="24"/>
  <c r="H691" i="24"/>
  <c r="B416" i="24"/>
  <c r="B149" i="24"/>
  <c r="B71" i="24"/>
  <c r="B1184" i="24"/>
  <c r="H1403" i="24"/>
  <c r="B825" i="24"/>
  <c r="I941" i="24"/>
  <c r="I1665" i="24"/>
  <c r="B1189" i="24"/>
  <c r="I381" i="24"/>
  <c r="I1219" i="24"/>
  <c r="B1351" i="24"/>
  <c r="D1877" i="24"/>
  <c r="H1200" i="24"/>
  <c r="I1417" i="24"/>
  <c r="I626" i="24"/>
  <c r="B1110" i="24"/>
  <c r="M705" i="24"/>
  <c r="M199" i="24"/>
  <c r="M39" i="24"/>
  <c r="M362" i="24"/>
  <c r="M804" i="24"/>
  <c r="M494" i="24"/>
  <c r="B205" i="24"/>
  <c r="D1592" i="24"/>
  <c r="M758" i="24"/>
  <c r="I447" i="24"/>
  <c r="H473" i="24"/>
  <c r="M1262" i="24"/>
  <c r="B1130" i="24"/>
  <c r="H1416" i="24"/>
  <c r="M686" i="24"/>
  <c r="H821" i="24"/>
  <c r="D1413" i="24"/>
  <c r="M432" i="24"/>
  <c r="H722" i="24"/>
  <c r="I541" i="24"/>
  <c r="M654" i="24"/>
  <c r="B921" i="24"/>
  <c r="I520" i="24"/>
  <c r="I664" i="24"/>
  <c r="M402" i="24"/>
  <c r="D1821" i="24"/>
  <c r="I1053" i="24"/>
  <c r="M202" i="24"/>
  <c r="I323" i="24"/>
  <c r="M256" i="24"/>
  <c r="M244" i="24"/>
  <c r="H122" i="24"/>
  <c r="D1183" i="24"/>
  <c r="I1191" i="24"/>
  <c r="I308" i="24"/>
  <c r="H1517" i="24"/>
  <c r="B1863" i="24"/>
  <c r="M143" i="24"/>
  <c r="D66" i="24"/>
  <c r="M5" i="24"/>
  <c r="D1477" i="24"/>
  <c r="D466" i="24"/>
  <c r="M1321" i="24"/>
  <c r="I1034" i="24"/>
  <c r="M1636" i="24"/>
  <c r="H1355" i="24"/>
  <c r="H154" i="24"/>
  <c r="D892" i="24"/>
  <c r="I1274" i="24"/>
  <c r="B244" i="24"/>
  <c r="M1906" i="24"/>
  <c r="H1639" i="24"/>
  <c r="H1532" i="24"/>
  <c r="M893" i="24"/>
  <c r="H1744" i="24"/>
  <c r="H1070" i="24"/>
  <c r="B1022" i="24"/>
  <c r="D692" i="24"/>
  <c r="M610" i="24"/>
  <c r="M1316" i="24"/>
  <c r="M62" i="24"/>
  <c r="I629" i="24"/>
  <c r="H19" i="24"/>
  <c r="B247" i="24"/>
  <c r="D757" i="24"/>
  <c r="I1767" i="24"/>
  <c r="B938" i="24"/>
  <c r="B470" i="24"/>
  <c r="I991" i="24"/>
  <c r="I26" i="24"/>
  <c r="I1433" i="24"/>
  <c r="D112" i="24"/>
  <c r="M1900" i="24"/>
  <c r="M527" i="24"/>
  <c r="M791" i="24"/>
  <c r="I1480" i="24"/>
  <c r="I881" i="24"/>
  <c r="I562" i="24"/>
  <c r="I1597" i="24"/>
  <c r="B1857" i="24"/>
  <c r="M1458" i="24"/>
  <c r="I112" i="24"/>
  <c r="H1671" i="24"/>
  <c r="B335" i="24"/>
  <c r="D211" i="24"/>
  <c r="M996" i="24"/>
  <c r="D424" i="24"/>
  <c r="D1420" i="24"/>
  <c r="I1513" i="24"/>
  <c r="B578" i="24"/>
  <c r="B220" i="24"/>
  <c r="H1647" i="24"/>
  <c r="D1895" i="24"/>
  <c r="H1370" i="24"/>
  <c r="I1884" i="24"/>
  <c r="H569" i="24"/>
  <c r="I1013" i="24"/>
  <c r="I589" i="24"/>
  <c r="H1455" i="24"/>
  <c r="I1882" i="24"/>
  <c r="M253" i="24"/>
  <c r="M1287" i="24"/>
  <c r="I123" i="24"/>
  <c r="M516" i="24"/>
  <c r="B1116" i="24"/>
  <c r="I684" i="24"/>
  <c r="B1509" i="24"/>
  <c r="D661" i="24"/>
  <c r="I1770" i="24"/>
  <c r="M357" i="24"/>
  <c r="I647" i="24"/>
  <c r="M954" i="24"/>
  <c r="I351" i="24"/>
  <c r="M1594" i="24"/>
  <c r="M1429" i="24"/>
  <c r="I709" i="24"/>
  <c r="D1737" i="24"/>
  <c r="B1222" i="24"/>
  <c r="D376" i="24"/>
  <c r="M471" i="24"/>
  <c r="M142" i="24"/>
  <c r="D1640" i="24"/>
  <c r="I1802" i="24"/>
  <c r="D1823" i="24"/>
  <c r="D1718" i="24"/>
  <c r="I1587" i="24"/>
  <c r="M934" i="24"/>
  <c r="D1654" i="24"/>
  <c r="I1010" i="24"/>
  <c r="D1518" i="24"/>
  <c r="M1102" i="24"/>
  <c r="B1305" i="24"/>
  <c r="B1246" i="24"/>
  <c r="B1884" i="24"/>
  <c r="H1900" i="24"/>
  <c r="D996" i="24"/>
  <c r="I963" i="24"/>
  <c r="D767" i="24"/>
  <c r="D479" i="24"/>
  <c r="M897" i="24"/>
  <c r="H482" i="24"/>
  <c r="I1740" i="24"/>
  <c r="B1450" i="24"/>
  <c r="D1342" i="24"/>
  <c r="B1091" i="24"/>
  <c r="M330" i="24"/>
  <c r="H1147" i="24"/>
  <c r="B509" i="24"/>
  <c r="B1612" i="24"/>
  <c r="B887" i="24"/>
  <c r="D942" i="24"/>
  <c r="H1183" i="24"/>
  <c r="H1369" i="24"/>
  <c r="D300" i="24"/>
  <c r="H1884" i="24"/>
  <c r="M670" i="24"/>
  <c r="D1370" i="24"/>
  <c r="I232" i="24"/>
  <c r="D1163" i="24"/>
  <c r="B1663" i="24"/>
  <c r="I1368" i="24"/>
  <c r="B625" i="24"/>
  <c r="I1486" i="24"/>
  <c r="I1606" i="24"/>
  <c r="I1276" i="24"/>
  <c r="M1606" i="24"/>
  <c r="M1557" i="24"/>
  <c r="B352" i="24"/>
  <c r="I392" i="24"/>
  <c r="M304" i="24"/>
  <c r="M1281" i="24"/>
  <c r="D1519" i="24"/>
  <c r="B1829" i="24"/>
  <c r="I188" i="24"/>
  <c r="I72" i="24"/>
  <c r="B1429" i="24"/>
  <c r="B1619" i="24"/>
  <c r="B1679" i="24"/>
  <c r="B1013" i="24"/>
  <c r="H1340" i="24"/>
  <c r="M765" i="24"/>
  <c r="M1268" i="24"/>
  <c r="M1556" i="24"/>
  <c r="D1324" i="24"/>
  <c r="M355" i="24"/>
  <c r="I1407" i="24"/>
  <c r="M962" i="24"/>
  <c r="M1110" i="24"/>
  <c r="I1661" i="24"/>
  <c r="H1885" i="24"/>
  <c r="B1170" i="24"/>
  <c r="M106" i="24"/>
  <c r="B1155" i="24"/>
  <c r="D1672" i="24"/>
  <c r="H1474" i="24"/>
  <c r="M799" i="24"/>
  <c r="I1682" i="24"/>
  <c r="B630" i="24"/>
  <c r="I216" i="24"/>
  <c r="M619" i="24"/>
  <c r="B1480" i="24"/>
  <c r="I1679" i="24"/>
  <c r="D1332" i="24"/>
  <c r="M139" i="24"/>
  <c r="B1590" i="24"/>
  <c r="M356" i="24"/>
  <c r="M1054" i="24"/>
  <c r="M581" i="24"/>
  <c r="M658" i="24"/>
  <c r="M374" i="24"/>
  <c r="M1232" i="24"/>
  <c r="M492" i="24"/>
  <c r="D221" i="24"/>
  <c r="M1559" i="24"/>
  <c r="M63" i="24"/>
  <c r="I1778" i="24"/>
  <c r="M766" i="24"/>
  <c r="H44" i="24"/>
  <c r="D1116" i="24"/>
  <c r="I1484" i="24"/>
  <c r="I1429" i="24"/>
  <c r="B88" i="24"/>
  <c r="M615" i="24"/>
  <c r="H611" i="24"/>
  <c r="D1392" i="24"/>
  <c r="B1233" i="24"/>
  <c r="M1475" i="24"/>
  <c r="B1892" i="24"/>
  <c r="B338" i="24"/>
  <c r="I1532" i="24"/>
  <c r="M833" i="24"/>
  <c r="I1821" i="24"/>
  <c r="M1642" i="24"/>
  <c r="M1531" i="24"/>
  <c r="H1690" i="24"/>
  <c r="M1146" i="24"/>
  <c r="D218" i="24"/>
  <c r="M495" i="24"/>
  <c r="M354" i="24"/>
  <c r="B839" i="24"/>
  <c r="H215" i="24"/>
  <c r="D1475" i="24"/>
  <c r="D680" i="24"/>
  <c r="H1610" i="24"/>
  <c r="H720" i="24"/>
  <c r="D1659" i="24"/>
  <c r="H17" i="24"/>
  <c r="H1688" i="24"/>
  <c r="M566" i="24"/>
  <c r="M653" i="24"/>
  <c r="B726" i="24"/>
  <c r="H1134" i="24"/>
  <c r="B9" i="24"/>
  <c r="I965" i="24"/>
  <c r="M1258" i="24"/>
  <c r="I480" i="24"/>
  <c r="B549" i="24"/>
  <c r="I99" i="24"/>
  <c r="M206" i="24"/>
  <c r="H1118" i="24"/>
  <c r="H1764" i="24"/>
  <c r="B86" i="24"/>
  <c r="M1137" i="24"/>
  <c r="B1882" i="24"/>
  <c r="D1617" i="24"/>
  <c r="I1360" i="24"/>
  <c r="D722" i="24"/>
  <c r="B1295" i="24"/>
  <c r="D622" i="24"/>
  <c r="B530" i="24"/>
  <c r="D1876" i="24"/>
  <c r="I516" i="24"/>
  <c r="I1389" i="24"/>
  <c r="D1057" i="24"/>
  <c r="M1592" i="24"/>
  <c r="I169" i="24"/>
  <c r="H1255" i="24"/>
  <c r="H6" i="24"/>
  <c r="M1000" i="24"/>
  <c r="B996" i="24"/>
  <c r="D1491" i="24"/>
  <c r="H83" i="24"/>
  <c r="D1774" i="24"/>
  <c r="M42" i="24"/>
  <c r="D1482" i="24"/>
  <c r="H1162" i="24"/>
  <c r="M1225" i="24"/>
  <c r="H1846" i="24"/>
  <c r="D1510" i="24"/>
  <c r="H1566" i="24"/>
  <c r="I712" i="24"/>
  <c r="D1703" i="24"/>
  <c r="B16" i="24"/>
  <c r="H1741" i="24"/>
  <c r="I126" i="24"/>
  <c r="I1758" i="24"/>
  <c r="B913" i="24"/>
  <c r="M1364" i="24"/>
  <c r="M775" i="24"/>
  <c r="D1761" i="24"/>
  <c r="M1591" i="24"/>
  <c r="I1501" i="24"/>
  <c r="H1562" i="24"/>
  <c r="I1033" i="24"/>
  <c r="D1653" i="24"/>
  <c r="D260" i="24"/>
  <c r="B995" i="24"/>
  <c r="M746" i="24"/>
  <c r="H412" i="24"/>
  <c r="I1333" i="24"/>
  <c r="D251" i="24"/>
  <c r="M1196" i="24"/>
  <c r="B314" i="24"/>
  <c r="I1364" i="24"/>
  <c r="M255" i="24"/>
  <c r="D673" i="24"/>
  <c r="I1742" i="24"/>
  <c r="D1794" i="24"/>
  <c r="M1244" i="24"/>
  <c r="I494" i="24"/>
  <c r="B659" i="24"/>
  <c r="H1892" i="24"/>
  <c r="D1461" i="24"/>
  <c r="M220" i="24"/>
  <c r="H1348" i="24"/>
  <c r="M1644" i="24"/>
  <c r="M808" i="24"/>
  <c r="H1881" i="24"/>
  <c r="M176" i="24"/>
  <c r="I1664" i="24"/>
  <c r="B696" i="24"/>
  <c r="I304" i="24"/>
  <c r="D1642" i="24"/>
  <c r="I1676" i="24"/>
  <c r="D458" i="24"/>
  <c r="I942" i="24"/>
  <c r="I1506" i="24"/>
  <c r="H985" i="24"/>
  <c r="H1353" i="24"/>
  <c r="M712" i="24"/>
  <c r="H1167" i="24"/>
  <c r="M958" i="24"/>
  <c r="H1897" i="24"/>
  <c r="M1171" i="24"/>
  <c r="M81" i="24"/>
  <c r="D1689" i="24"/>
  <c r="H442" i="24"/>
  <c r="D1837" i="24"/>
  <c r="M810" i="24"/>
  <c r="H1210" i="24"/>
  <c r="H1856" i="24"/>
  <c r="M132" i="24"/>
  <c r="D1142" i="24"/>
  <c r="D87" i="24"/>
  <c r="D872" i="24"/>
  <c r="M787" i="24"/>
  <c r="M1412" i="24"/>
  <c r="H1559" i="24"/>
  <c r="M1162" i="24"/>
  <c r="H1600" i="24"/>
  <c r="M1611" i="24"/>
  <c r="M249" i="24"/>
  <c r="H459" i="24"/>
  <c r="H1365" i="24"/>
  <c r="I1425" i="24"/>
  <c r="H1413" i="24"/>
  <c r="D1258" i="24"/>
  <c r="M1632" i="24"/>
  <c r="H951" i="24"/>
  <c r="D55" i="24"/>
  <c r="H399" i="24"/>
  <c r="M1520" i="24"/>
  <c r="M1139" i="24"/>
  <c r="H673" i="24"/>
  <c r="M231" i="24"/>
  <c r="I1309" i="24"/>
  <c r="H1430" i="24"/>
  <c r="D1787" i="24"/>
  <c r="B373" i="24"/>
  <c r="D629" i="24"/>
  <c r="B222" i="24"/>
  <c r="I921" i="24"/>
  <c r="I1816" i="24"/>
  <c r="B78" i="24"/>
  <c r="I206" i="24"/>
  <c r="M1277" i="24"/>
  <c r="I850" i="24"/>
  <c r="I132" i="24"/>
  <c r="M853" i="24"/>
  <c r="M475" i="24"/>
  <c r="D848" i="24"/>
  <c r="B1106" i="24"/>
  <c r="H1533" i="24"/>
  <c r="M1179" i="24"/>
  <c r="H111" i="24"/>
  <c r="M1126" i="24"/>
  <c r="I1703" i="24"/>
  <c r="H96" i="24"/>
  <c r="H1309" i="24"/>
  <c r="M364" i="24"/>
  <c r="D868" i="24"/>
  <c r="D1738" i="24"/>
  <c r="I557" i="24"/>
  <c r="M633" i="24"/>
  <c r="D310" i="24"/>
  <c r="I1256" i="24"/>
  <c r="B1353" i="24"/>
  <c r="D1619" i="24"/>
  <c r="M409" i="24"/>
  <c r="M831" i="24"/>
  <c r="M1340" i="24"/>
  <c r="H1389" i="24"/>
  <c r="I1004" i="24"/>
  <c r="B252" i="24"/>
  <c r="M587" i="24"/>
  <c r="M1515" i="24"/>
  <c r="M840" i="24"/>
  <c r="M75" i="24"/>
  <c r="H1719" i="24"/>
  <c r="M424" i="24"/>
  <c r="D1362" i="24"/>
  <c r="B64" i="24"/>
  <c r="B1289" i="24"/>
  <c r="M883" i="24"/>
  <c r="H320" i="24"/>
  <c r="H1477" i="24"/>
  <c r="B950" i="24"/>
  <c r="M854" i="24"/>
  <c r="D1814" i="24"/>
  <c r="D1646" i="24"/>
  <c r="D1795" i="24"/>
  <c r="M469" i="24"/>
  <c r="H1453" i="24"/>
  <c r="H680" i="24"/>
  <c r="M472" i="24"/>
  <c r="D1539" i="24"/>
  <c r="M1876" i="24"/>
  <c r="D1577" i="24"/>
  <c r="H1902" i="24"/>
  <c r="M604" i="24"/>
  <c r="B1640" i="24"/>
  <c r="D187" i="24"/>
  <c r="D1451" i="24"/>
  <c r="M1348" i="24"/>
  <c r="M1156" i="24"/>
  <c r="D1516" i="24"/>
  <c r="I1796" i="24"/>
  <c r="I1839" i="24"/>
  <c r="H1311" i="24"/>
  <c r="H1362" i="24"/>
  <c r="I1070" i="24"/>
  <c r="D1547" i="24"/>
  <c r="B1713" i="24"/>
  <c r="B1669" i="24"/>
  <c r="H511" i="24"/>
  <c r="D1808" i="24"/>
  <c r="M415" i="24"/>
  <c r="D968" i="24"/>
  <c r="D601" i="24"/>
  <c r="D212" i="24"/>
  <c r="B187" i="24"/>
  <c r="H602" i="24"/>
  <c r="B1202" i="24"/>
  <c r="B304" i="24"/>
  <c r="M1078" i="24"/>
  <c r="D1527" i="24"/>
  <c r="D366" i="24"/>
  <c r="I1762" i="24"/>
  <c r="D1496" i="24"/>
  <c r="B1296" i="24"/>
  <c r="I1836" i="24"/>
  <c r="H737" i="24"/>
  <c r="I1614" i="24"/>
  <c r="I97" i="24"/>
  <c r="I1153" i="24"/>
  <c r="B1279" i="24"/>
  <c r="M922" i="24"/>
  <c r="B801" i="24"/>
  <c r="M761" i="24"/>
  <c r="B1878" i="24"/>
  <c r="D1232" i="24"/>
  <c r="B381" i="24"/>
  <c r="D1160" i="24"/>
  <c r="H299" i="24"/>
  <c r="M975" i="24"/>
  <c r="M767" i="24"/>
  <c r="I1625" i="24"/>
  <c r="H1283" i="24"/>
  <c r="D1524" i="24"/>
  <c r="H467" i="24"/>
  <c r="B365" i="24"/>
  <c r="D171" i="24"/>
  <c r="D540" i="24"/>
  <c r="B645" i="24"/>
  <c r="D1906" i="24"/>
  <c r="D1316" i="24"/>
  <c r="H1672" i="24"/>
  <c r="D1432" i="24"/>
  <c r="M1042" i="24"/>
  <c r="M786" i="24"/>
  <c r="M104" i="24"/>
  <c r="H1680" i="24"/>
  <c r="M391" i="24"/>
  <c r="D410" i="24"/>
  <c r="B251" i="24"/>
  <c r="I1631" i="24"/>
  <c r="D897" i="24"/>
  <c r="M12" i="24"/>
  <c r="I1600" i="24"/>
  <c r="M967" i="24"/>
  <c r="B337" i="24"/>
  <c r="H1395" i="24"/>
  <c r="M329" i="24"/>
  <c r="I28" i="24"/>
  <c r="B522" i="24"/>
  <c r="M781" i="24"/>
  <c r="D1555" i="24"/>
  <c r="M32" i="24"/>
  <c r="D864" i="24"/>
  <c r="H448" i="24"/>
  <c r="H1752" i="24"/>
  <c r="M1542" i="24"/>
  <c r="M1167" i="24"/>
  <c r="H408" i="24"/>
  <c r="I1723" i="24"/>
  <c r="B1697" i="24"/>
  <c r="H1712" i="24"/>
  <c r="M377" i="24"/>
  <c r="D1562" i="24"/>
  <c r="B1736" i="24"/>
  <c r="H1687" i="24"/>
  <c r="M556" i="24"/>
  <c r="D363" i="24"/>
  <c r="M1182" i="24"/>
  <c r="I1494" i="24"/>
  <c r="I1392" i="24"/>
  <c r="I1438" i="24"/>
  <c r="M1242" i="24"/>
  <c r="H1489" i="24"/>
  <c r="M1048" i="24"/>
  <c r="M308" i="24"/>
  <c r="I1772" i="24"/>
  <c r="M1501" i="24"/>
  <c r="M526" i="24"/>
  <c r="H1354" i="24"/>
  <c r="B840" i="24"/>
  <c r="H1862" i="24"/>
  <c r="D1593" i="24"/>
  <c r="I1712" i="24"/>
  <c r="I1382" i="24"/>
  <c r="H1802" i="24"/>
  <c r="M238" i="24"/>
  <c r="I41" i="24"/>
  <c r="H1057" i="24"/>
  <c r="M878" i="24"/>
  <c r="D181" i="24"/>
  <c r="H1371" i="24"/>
  <c r="M1046" i="24"/>
  <c r="M974" i="24"/>
  <c r="M1266" i="24"/>
  <c r="I1283" i="24"/>
  <c r="M698" i="24"/>
  <c r="B58" i="24"/>
  <c r="B69" i="24"/>
  <c r="I593" i="24"/>
  <c r="D1515" i="24"/>
  <c r="I767" i="24"/>
  <c r="H1899" i="24"/>
  <c r="D908" i="24"/>
  <c r="M664" i="24"/>
  <c r="I1813" i="24"/>
  <c r="M1438" i="24"/>
  <c r="D442" i="24"/>
  <c r="D905" i="24"/>
  <c r="D82" i="24"/>
  <c r="M263" i="24"/>
  <c r="D1731" i="24"/>
  <c r="H276" i="24"/>
  <c r="D1631" i="24"/>
  <c r="I986" i="24"/>
  <c r="H1551" i="24"/>
  <c r="H1343" i="24"/>
  <c r="B1286" i="24"/>
  <c r="D707" i="24"/>
  <c r="I261" i="24"/>
  <c r="B611" i="24"/>
  <c r="I840" i="24"/>
  <c r="B778" i="24"/>
  <c r="H392" i="24"/>
  <c r="M1574" i="24"/>
  <c r="M1263" i="24"/>
  <c r="D1660" i="24"/>
  <c r="D800" i="24"/>
  <c r="I1564" i="24"/>
  <c r="B1655" i="24"/>
  <c r="D1369" i="24"/>
  <c r="B260" i="24"/>
  <c r="I1800" i="24"/>
  <c r="D1430" i="24"/>
  <c r="I1041" i="24"/>
  <c r="M956" i="24"/>
  <c r="M1868" i="24"/>
  <c r="M592" i="24"/>
  <c r="M1133" i="24"/>
  <c r="M1136" i="24"/>
  <c r="I301" i="24"/>
  <c r="M924" i="24"/>
  <c r="I1687" i="24"/>
  <c r="I827" i="24"/>
  <c r="I1823" i="24"/>
  <c r="M1265" i="24"/>
  <c r="M1443" i="24"/>
  <c r="B1151" i="24"/>
  <c r="B1686" i="24"/>
  <c r="D1666" i="24"/>
  <c r="I1352" i="24"/>
  <c r="D360" i="24"/>
  <c r="I1790" i="24"/>
  <c r="D867" i="24"/>
  <c r="I1056" i="24"/>
  <c r="D1682" i="24"/>
  <c r="D1867" i="24"/>
  <c r="D1891" i="24"/>
  <c r="H1599" i="24"/>
  <c r="I1301" i="24"/>
  <c r="D855" i="24"/>
  <c r="B61" i="24"/>
  <c r="H1194" i="24"/>
  <c r="M1320" i="24"/>
  <c r="I1483" i="24"/>
  <c r="D902" i="24"/>
  <c r="I756" i="24"/>
  <c r="M1120" i="24"/>
  <c r="D1287" i="24"/>
  <c r="D437" i="24"/>
  <c r="D1597" i="24"/>
  <c r="M1294" i="24"/>
  <c r="H1571" i="24"/>
  <c r="B813" i="24"/>
  <c r="B266" i="24"/>
  <c r="M1052" i="24"/>
  <c r="B1401" i="24"/>
  <c r="H1860" i="24"/>
  <c r="I749" i="24"/>
  <c r="B909" i="24"/>
  <c r="B525" i="24"/>
  <c r="H1078" i="24"/>
  <c r="H1445" i="24"/>
  <c r="D1249" i="24"/>
  <c r="I109" i="24"/>
  <c r="D519" i="24"/>
  <c r="H155" i="24"/>
  <c r="H1665" i="24"/>
  <c r="D289" i="24"/>
  <c r="B601" i="24"/>
  <c r="I1456" i="24"/>
  <c r="I1880" i="24"/>
  <c r="M573" i="24"/>
  <c r="I1881" i="24"/>
  <c r="I1833" i="24"/>
  <c r="I111" i="24"/>
  <c r="H624" i="24"/>
  <c r="I130" i="24"/>
  <c r="B1288" i="24"/>
  <c r="I1811" i="24"/>
  <c r="M874" i="24"/>
  <c r="H1772" i="24"/>
  <c r="D641" i="24"/>
  <c r="M305" i="24"/>
  <c r="D546" i="24"/>
  <c r="H1238" i="24"/>
  <c r="H734" i="24"/>
  <c r="H1240" i="24"/>
  <c r="B1043" i="24"/>
  <c r="H1686" i="24"/>
  <c r="B1666" i="24"/>
  <c r="M564" i="24"/>
  <c r="H979" i="24"/>
  <c r="D76" i="24"/>
  <c r="I1751" i="24"/>
  <c r="D1360" i="24"/>
  <c r="I287" i="24"/>
  <c r="I585" i="24"/>
  <c r="B1833" i="24"/>
  <c r="H1850" i="24"/>
  <c r="D580" i="24"/>
  <c r="B889" i="24"/>
  <c r="I1079" i="24"/>
  <c r="D1525" i="24"/>
  <c r="I1300" i="24"/>
  <c r="I142" i="24"/>
  <c r="H1407" i="24"/>
  <c r="B1539" i="24"/>
  <c r="I1008" i="24"/>
  <c r="I1390" i="24"/>
  <c r="M222" i="24"/>
  <c r="D468" i="24"/>
  <c r="M133" i="24"/>
  <c r="D1193" i="24"/>
  <c r="H1264" i="24"/>
  <c r="D362" i="24"/>
  <c r="H346" i="24"/>
  <c r="M750" i="24"/>
  <c r="I1188" i="24"/>
  <c r="I873" i="24"/>
  <c r="M643" i="24"/>
  <c r="M1298" i="24"/>
  <c r="M7" i="24"/>
  <c r="M147" i="24"/>
  <c r="M732" i="24"/>
  <c r="I15" i="24"/>
  <c r="D1801" i="24"/>
  <c r="B211" i="24"/>
  <c r="B237" i="24"/>
  <c r="D1739" i="24"/>
  <c r="H963" i="24"/>
  <c r="D568" i="24"/>
  <c r="D1594" i="24"/>
  <c r="M1325" i="24"/>
  <c r="B1460" i="24"/>
  <c r="H652" i="24"/>
  <c r="D703" i="24"/>
  <c r="B1866" i="24"/>
  <c r="M51" i="24"/>
  <c r="D1178" i="24"/>
  <c r="H1411" i="24"/>
  <c r="B79" i="24"/>
  <c r="D215" i="24"/>
  <c r="D575" i="24"/>
  <c r="H1408" i="24"/>
  <c r="H1535" i="24"/>
  <c r="D1559" i="24"/>
  <c r="M795" i="24"/>
  <c r="M1483" i="24"/>
  <c r="B1811" i="24"/>
  <c r="M855" i="24"/>
  <c r="M931" i="24"/>
  <c r="M49" i="24"/>
  <c r="D1716" i="24"/>
  <c r="M1551" i="24"/>
  <c r="M287" i="24"/>
  <c r="M234" i="24"/>
  <c r="H525" i="24"/>
  <c r="M1215" i="24"/>
  <c r="B440" i="24"/>
  <c r="I1644" i="24"/>
  <c r="M1376" i="24"/>
  <c r="I302" i="24"/>
  <c r="B1700" i="24"/>
  <c r="I1375" i="24"/>
  <c r="I1869" i="24"/>
  <c r="M117" i="24"/>
  <c r="I644" i="24"/>
  <c r="I1331" i="24"/>
  <c r="I526" i="24"/>
  <c r="M1014" i="24"/>
  <c r="M509" i="24"/>
  <c r="H513" i="24"/>
  <c r="B1540" i="24"/>
  <c r="H1513" i="24"/>
  <c r="H1016" i="24"/>
  <c r="M83" i="24"/>
  <c r="B1556" i="24"/>
  <c r="I1052" i="24"/>
  <c r="M60" i="24"/>
  <c r="B853" i="24"/>
  <c r="B650" i="24"/>
  <c r="I388" i="24"/>
  <c r="M1238" i="24"/>
  <c r="I1074" i="24"/>
  <c r="I51" i="24"/>
  <c r="H1280" i="24"/>
  <c r="D65" i="24"/>
  <c r="H1554" i="24"/>
  <c r="H235" i="24"/>
  <c r="B1052" i="24"/>
  <c r="M639" i="24"/>
  <c r="D1244" i="24"/>
  <c r="D1714" i="24"/>
  <c r="M1476" i="24"/>
  <c r="I239" i="24"/>
  <c r="D849" i="24"/>
  <c r="I1727" i="24"/>
  <c r="I1299" i="24"/>
  <c r="H810" i="24"/>
  <c r="M691" i="24"/>
  <c r="H121" i="24"/>
  <c r="B1671" i="24"/>
  <c r="H1810" i="24"/>
  <c r="H1015" i="24"/>
  <c r="H796" i="24"/>
  <c r="D1836" i="24"/>
  <c r="I1777" i="24"/>
  <c r="I934" i="24"/>
  <c r="D8" i="24"/>
  <c r="D355" i="24"/>
  <c r="I1415" i="24"/>
  <c r="H426" i="24"/>
  <c r="D1029" i="24"/>
  <c r="M752" i="24"/>
  <c r="H192" i="24"/>
  <c r="I674" i="24"/>
  <c r="B930" i="24"/>
  <c r="M641" i="24"/>
  <c r="B1436" i="24"/>
  <c r="M1387" i="24"/>
  <c r="I1430" i="24"/>
  <c r="H731" i="24"/>
  <c r="B1849" i="24"/>
  <c r="I1561" i="24"/>
  <c r="I1771" i="24"/>
  <c r="D1268" i="24"/>
  <c r="H1507" i="24"/>
  <c r="D474" i="24"/>
  <c r="H1366" i="24"/>
  <c r="B1744" i="24"/>
  <c r="D372" i="24"/>
  <c r="I1526" i="24"/>
  <c r="H326" i="24"/>
  <c r="M257" i="24"/>
  <c r="I187" i="24"/>
  <c r="M315" i="24"/>
  <c r="H607" i="24"/>
  <c r="D582" i="24"/>
  <c r="M478" i="24"/>
  <c r="D1743" i="24"/>
  <c r="I460" i="24"/>
  <c r="M1256" i="24"/>
  <c r="H167" i="24"/>
  <c r="M888" i="24"/>
  <c r="D1810" i="24"/>
  <c r="M1494" i="24"/>
  <c r="H1729" i="24"/>
  <c r="D104" i="24"/>
  <c r="M588" i="24"/>
  <c r="I829" i="24"/>
  <c r="B1719" i="24"/>
  <c r="M623" i="24"/>
  <c r="D939" i="24"/>
  <c r="D681" i="24"/>
  <c r="M1159" i="24"/>
  <c r="I1030" i="24"/>
  <c r="M1103" i="24"/>
  <c r="B1097" i="24"/>
  <c r="D228" i="24"/>
  <c r="M1486" i="24"/>
  <c r="M158" i="24"/>
  <c r="M386" i="24"/>
  <c r="I705" i="24"/>
  <c r="I138" i="24"/>
  <c r="H914" i="24"/>
  <c r="I1595" i="24"/>
  <c r="D265" i="24"/>
  <c r="H1734" i="24"/>
  <c r="D1802" i="24"/>
  <c r="M1293" i="24"/>
  <c r="H1475" i="24"/>
  <c r="M1030" i="24"/>
  <c r="M997" i="24"/>
  <c r="I139" i="24"/>
  <c r="I1130" i="24"/>
  <c r="M818" i="24"/>
  <c r="H1791" i="24"/>
  <c r="H1769" i="24"/>
  <c r="B1204" i="24"/>
  <c r="B1199" i="24"/>
  <c r="I1094" i="24"/>
  <c r="D411" i="24"/>
  <c r="M1198" i="24"/>
  <c r="I1402" i="24"/>
  <c r="H776" i="24"/>
  <c r="I6" i="24"/>
  <c r="I274" i="24"/>
  <c r="H1260" i="24"/>
  <c r="M444" i="24"/>
  <c r="D1407" i="24"/>
  <c r="I1092" i="24"/>
  <c r="I454" i="24"/>
  <c r="B333" i="24"/>
  <c r="M817" i="24"/>
  <c r="I635" i="24"/>
  <c r="D1900" i="24"/>
  <c r="D1884" i="24"/>
  <c r="I803" i="24"/>
  <c r="H1418" i="24"/>
  <c r="B1430" i="24"/>
  <c r="B868" i="24"/>
  <c r="H98" i="24"/>
  <c r="I265" i="24"/>
  <c r="D963" i="24"/>
  <c r="M570" i="24"/>
  <c r="B1616" i="24"/>
  <c r="M919" i="24"/>
  <c r="M174" i="24"/>
  <c r="B328" i="24"/>
  <c r="I998" i="24"/>
  <c r="I1529" i="24"/>
  <c r="I1279" i="24"/>
  <c r="H178" i="24"/>
  <c r="H859" i="24"/>
  <c r="B993" i="24"/>
  <c r="B1267" i="24"/>
  <c r="B585" i="24"/>
  <c r="M839" i="24"/>
  <c r="H1324" i="24"/>
  <c r="D1710" i="24"/>
  <c r="M64" i="24"/>
  <c r="M1089" i="24"/>
  <c r="H1153" i="24"/>
  <c r="B1535" i="24"/>
  <c r="H1396" i="24"/>
  <c r="M67" i="24"/>
  <c r="M485" i="24"/>
  <c r="D1768" i="24"/>
  <c r="D500" i="24"/>
  <c r="D1365" i="24"/>
  <c r="B209" i="24"/>
  <c r="B600" i="24"/>
  <c r="D1380" i="24"/>
  <c r="H1075" i="24"/>
  <c r="B1028" i="24"/>
  <c r="D1825" i="24"/>
  <c r="H1335" i="24"/>
  <c r="I1498" i="24"/>
  <c r="B1614" i="24"/>
  <c r="D1384" i="24"/>
  <c r="M1860" i="24"/>
  <c r="M725" i="24"/>
  <c r="M565" i="24"/>
  <c r="M474" i="24"/>
  <c r="B1089" i="24"/>
  <c r="M1049" i="24"/>
  <c r="B1134" i="24"/>
  <c r="M540" i="24"/>
  <c r="H576" i="24"/>
  <c r="H1135" i="24"/>
  <c r="B1721" i="24"/>
  <c r="I1312" i="24"/>
  <c r="D193" i="24"/>
  <c r="B106" i="24"/>
  <c r="I693" i="24"/>
  <c r="H1593" i="24"/>
  <c r="H579" i="24"/>
  <c r="M261" i="24"/>
  <c r="M370" i="24"/>
  <c r="M163" i="24"/>
  <c r="I1773" i="24"/>
  <c r="D1581" i="24"/>
  <c r="M113" i="24"/>
  <c r="D528" i="24"/>
  <c r="H402" i="24"/>
  <c r="H1202" i="24"/>
  <c r="M352" i="24"/>
  <c r="B1775" i="24"/>
  <c r="D1832" i="24"/>
  <c r="M504" i="24"/>
  <c r="H1767" i="24"/>
  <c r="I1481" i="24"/>
  <c r="H807" i="24"/>
  <c r="B903" i="24"/>
  <c r="M991" i="24"/>
  <c r="D340" i="24"/>
  <c r="D1478" i="24"/>
  <c r="B27" i="24"/>
  <c r="I479" i="24"/>
  <c r="D1590" i="24"/>
  <c r="M40" i="24"/>
  <c r="I758" i="24"/>
  <c r="M1044" i="24"/>
  <c r="I1268" i="24"/>
  <c r="M696" i="24"/>
  <c r="B1017" i="24"/>
  <c r="M858" i="24"/>
  <c r="I751" i="24"/>
  <c r="I1003" i="24"/>
  <c r="D325" i="24"/>
  <c r="B866" i="24"/>
  <c r="M1275" i="24"/>
  <c r="I1485" i="24"/>
  <c r="B183" i="24"/>
  <c r="I1633" i="24"/>
  <c r="I340" i="24"/>
  <c r="I1395" i="24"/>
  <c r="H383" i="24"/>
  <c r="B66" i="24"/>
  <c r="H1708" i="24"/>
  <c r="I1017" i="24"/>
  <c r="B1046" i="24"/>
  <c r="H860" i="24"/>
  <c r="B782" i="24"/>
  <c r="B347" i="24"/>
  <c r="M146" i="24"/>
  <c r="I759" i="24"/>
  <c r="H968" i="24"/>
  <c r="D144" i="24"/>
  <c r="H1178" i="24"/>
  <c r="M317" i="24"/>
  <c r="B1622" i="24"/>
  <c r="I1725" i="24"/>
  <c r="I1237" i="24"/>
  <c r="D1639" i="24"/>
  <c r="M757" i="24"/>
  <c r="M597" i="24"/>
  <c r="H1523" i="24"/>
  <c r="D835" i="24"/>
  <c r="I737" i="24"/>
  <c r="D1121" i="24"/>
  <c r="M155" i="24"/>
  <c r="H664" i="24"/>
  <c r="M1184" i="24"/>
  <c r="I1636" i="24"/>
  <c r="M964" i="24"/>
  <c r="H984" i="24"/>
  <c r="H1872" i="24"/>
  <c r="M1211" i="24"/>
  <c r="H1751" i="24"/>
  <c r="M689" i="24"/>
  <c r="M1047" i="24"/>
  <c r="D882" i="24"/>
  <c r="B757" i="24"/>
  <c r="B681" i="24"/>
  <c r="M675" i="24"/>
  <c r="D386" i="24"/>
  <c r="H559" i="24"/>
  <c r="D1582" i="24"/>
  <c r="H91" i="24"/>
  <c r="D1630" i="24"/>
  <c r="H410" i="24"/>
  <c r="M1349" i="24"/>
  <c r="D1700" i="24"/>
  <c r="B663" i="24"/>
  <c r="B53" i="24"/>
  <c r="D1264" i="24"/>
  <c r="H1439" i="24"/>
  <c r="D1338" i="24"/>
  <c r="D1675" i="24"/>
  <c r="M613" i="24"/>
  <c r="I1058" i="24"/>
  <c r="B1425" i="24"/>
  <c r="H161" i="24"/>
  <c r="I1691" i="24"/>
  <c r="D1356" i="24"/>
  <c r="I1662" i="24"/>
  <c r="M436" i="24"/>
  <c r="H1005" i="24"/>
  <c r="B632" i="24"/>
  <c r="D58" i="24"/>
  <c r="D1435" i="24"/>
  <c r="B960" i="24"/>
  <c r="H1515" i="24"/>
  <c r="H763" i="24"/>
  <c r="M562" i="24"/>
  <c r="D1184" i="24"/>
  <c r="H1641" i="24"/>
  <c r="D1476" i="24"/>
  <c r="M867" i="24"/>
  <c r="D1622" i="24"/>
  <c r="D1358" i="24"/>
  <c r="H1172" i="24"/>
  <c r="D1685" i="24"/>
  <c r="B804" i="24"/>
  <c r="I1488" i="24"/>
  <c r="I168" i="24"/>
  <c r="I1680" i="24"/>
  <c r="M748" i="24"/>
  <c r="D1819" i="24"/>
  <c r="I1210" i="24"/>
  <c r="M396" i="24"/>
  <c r="H1631" i="24"/>
  <c r="D338" i="24"/>
  <c r="M837" i="24"/>
  <c r="I814" i="24"/>
  <c r="H1758" i="24"/>
  <c r="H1494" i="24"/>
  <c r="I1720" i="24"/>
  <c r="H86" i="24"/>
  <c r="I916" i="24"/>
  <c r="H205" i="24"/>
  <c r="I534" i="24"/>
  <c r="H370" i="24"/>
  <c r="I1858" i="24"/>
  <c r="D1102" i="24"/>
  <c r="M395" i="24"/>
  <c r="D1532" i="24"/>
  <c r="D15" i="24"/>
  <c r="B1201" i="24"/>
  <c r="B1167" i="24"/>
  <c r="B1424" i="24"/>
  <c r="B511" i="24"/>
  <c r="B837" i="24"/>
  <c r="H1093" i="24"/>
  <c r="D22" i="24"/>
  <c r="M296" i="24"/>
  <c r="B744" i="24"/>
  <c r="B8" i="24"/>
  <c r="I1400" i="24"/>
  <c r="H924" i="24"/>
  <c r="M1020" i="24"/>
  <c r="B1318" i="24"/>
  <c r="D1550" i="24"/>
  <c r="I434" i="24"/>
  <c r="D1608" i="24"/>
  <c r="D1347" i="24"/>
  <c r="H1663" i="24"/>
  <c r="D899" i="24"/>
  <c r="B459" i="24"/>
  <c r="D1027" i="24"/>
  <c r="B660" i="24"/>
  <c r="H115" i="24"/>
  <c r="D452" i="24"/>
  <c r="I832" i="24"/>
  <c r="D1352" i="24"/>
  <c r="I1834" i="24"/>
  <c r="I1622" i="24"/>
  <c r="M1080" i="24"/>
  <c r="I1605" i="24"/>
  <c r="H70" i="24"/>
  <c r="D1628" i="24"/>
  <c r="M1033" i="24"/>
  <c r="B1681" i="24"/>
  <c r="D1146" i="24"/>
  <c r="H905" i="24"/>
  <c r="B527" i="24"/>
  <c r="M1473" i="24"/>
  <c r="D1554" i="24"/>
  <c r="H1737" i="24"/>
  <c r="M399" i="24"/>
  <c r="I1787" i="24"/>
  <c r="I67" i="24"/>
  <c r="M714" i="24"/>
  <c r="M311" i="24"/>
  <c r="H1707" i="24"/>
  <c r="H1424" i="24"/>
  <c r="I1628" i="24"/>
  <c r="H209" i="24"/>
  <c r="H1498" i="24"/>
  <c r="M1880" i="24"/>
  <c r="M440" i="24"/>
  <c r="M763" i="24"/>
  <c r="B788" i="24"/>
  <c r="I1280" i="24"/>
  <c r="M860" i="24"/>
  <c r="M342" i="24"/>
  <c r="B482" i="24"/>
  <c r="I874" i="24"/>
  <c r="B759" i="24"/>
  <c r="M1607" i="24"/>
  <c r="M914" i="24"/>
  <c r="D1553" i="24"/>
  <c r="I1502" i="24"/>
  <c r="H245" i="24"/>
  <c r="B920" i="24"/>
  <c r="I1732" i="24"/>
  <c r="M739" i="24"/>
  <c r="M1481" i="24"/>
  <c r="H164" i="24"/>
  <c r="M1067" i="24"/>
  <c r="M488" i="24"/>
  <c r="M1032" i="24"/>
  <c r="H1579" i="24"/>
  <c r="M716" i="24"/>
  <c r="B1648" i="24"/>
  <c r="I1495" i="24"/>
  <c r="I913" i="24"/>
  <c r="H851" i="24"/>
  <c r="H127" i="24"/>
  <c r="D796" i="24"/>
  <c r="M366" i="24"/>
  <c r="B1714" i="24"/>
  <c r="B439" i="24"/>
  <c r="M235" i="24"/>
  <c r="M1291" i="24"/>
  <c r="H348" i="24"/>
  <c r="D930" i="24"/>
  <c r="I354" i="24"/>
  <c r="D1569" i="24"/>
  <c r="I727" i="24"/>
  <c r="M138" i="24"/>
  <c r="H1410" i="24"/>
  <c r="I167" i="24"/>
  <c r="D1533" i="24"/>
  <c r="M628" i="24"/>
  <c r="H1026" i="24"/>
  <c r="B1198" i="24"/>
  <c r="H655" i="24"/>
  <c r="I1889" i="24"/>
  <c r="B1798" i="24"/>
  <c r="H1292" i="24"/>
  <c r="M164" i="24"/>
  <c r="D46" i="24"/>
  <c r="M777" i="24"/>
  <c r="B708" i="24"/>
  <c r="I8" i="24"/>
  <c r="B1704" i="24"/>
  <c r="H1486" i="24"/>
  <c r="I565" i="24"/>
  <c r="B951" i="24"/>
  <c r="D1557" i="24"/>
  <c r="I1181" i="24"/>
  <c r="B478" i="24"/>
  <c r="B1603" i="24"/>
  <c r="M1862" i="24"/>
  <c r="I1467" i="24"/>
  <c r="B1685" i="24"/>
  <c r="B697" i="24"/>
  <c r="B1668" i="24"/>
  <c r="H143" i="24"/>
  <c r="M720" i="24"/>
  <c r="I748" i="24"/>
  <c r="H362" i="24"/>
  <c r="H1548" i="24"/>
  <c r="M1470" i="24"/>
  <c r="B614" i="24"/>
  <c r="B276" i="24"/>
  <c r="D1192" i="24"/>
  <c r="H1478" i="24"/>
  <c r="B1670" i="24"/>
  <c r="I278" i="24"/>
  <c r="M1199" i="24"/>
  <c r="H703" i="24"/>
  <c r="B1153" i="24"/>
  <c r="M935" i="24"/>
  <c r="M1361" i="24"/>
  <c r="B1706" i="24"/>
  <c r="D1544" i="24"/>
  <c r="D23" i="24"/>
  <c r="H231" i="24"/>
  <c r="H1876" i="24"/>
  <c r="B1596" i="24"/>
  <c r="M1260" i="24"/>
  <c r="M828" i="24"/>
  <c r="M1119" i="24"/>
  <c r="I606" i="24"/>
  <c r="D958" i="24"/>
  <c r="H1300" i="24"/>
  <c r="M1124" i="24"/>
  <c r="M260" i="24"/>
  <c r="M1639" i="24"/>
  <c r="I1775" i="24"/>
  <c r="D805" i="24"/>
  <c r="M1221" i="24"/>
  <c r="B582" i="24"/>
  <c r="H649" i="24"/>
  <c r="D799" i="24"/>
  <c r="D99" i="24"/>
  <c r="M1419" i="24"/>
  <c r="D900" i="24"/>
  <c r="M629" i="24"/>
  <c r="D1427" i="24"/>
  <c r="I311" i="24"/>
  <c r="D1804" i="24"/>
  <c r="M1114" i="24"/>
  <c r="H1458" i="24"/>
  <c r="M1409" i="24"/>
  <c r="D1526" i="24"/>
  <c r="H1574" i="24"/>
  <c r="D1076" i="24"/>
  <c r="M1065" i="24"/>
  <c r="D422" i="24"/>
  <c r="I1517" i="24"/>
  <c r="H580" i="24"/>
  <c r="D700" i="24"/>
  <c r="B456" i="24"/>
  <c r="H1699" i="24"/>
  <c r="M645" i="24"/>
  <c r="D1558" i="24"/>
  <c r="I88" i="24"/>
  <c r="M1098" i="24"/>
  <c r="M598" i="24"/>
  <c r="I1750" i="24"/>
  <c r="H239" i="24"/>
  <c r="D1798" i="24"/>
  <c r="B1822" i="24"/>
  <c r="M1643" i="24"/>
  <c r="M80" i="24"/>
  <c r="D342" i="24"/>
  <c r="H1456" i="24"/>
  <c r="B1850" i="24"/>
  <c r="B1845" i="24"/>
  <c r="B1694" i="24"/>
  <c r="M652" i="24"/>
  <c r="I1261" i="24"/>
  <c r="B65" i="24"/>
  <c r="H1372" i="24"/>
  <c r="M1025" i="24"/>
  <c r="B100" i="24"/>
  <c r="I766" i="24"/>
  <c r="I1827" i="24"/>
  <c r="M549" i="24"/>
  <c r="H1585" i="24"/>
  <c r="I1275" i="24"/>
  <c r="M361" i="24"/>
  <c r="B1527" i="24"/>
  <c r="D1101" i="24"/>
  <c r="B1218" i="24"/>
  <c r="H1650" i="24"/>
  <c r="B1173" i="24"/>
  <c r="I1596" i="24"/>
  <c r="I1854" i="24"/>
  <c r="H973" i="24"/>
  <c r="M425" i="24"/>
  <c r="B748" i="24"/>
  <c r="M627" i="24"/>
  <c r="I548" i="24"/>
  <c r="H1417" i="24"/>
  <c r="M694" i="24"/>
  <c r="B95" i="24"/>
  <c r="M779" i="24"/>
  <c r="M505" i="24"/>
  <c r="M1186" i="24"/>
  <c r="D1763" i="24"/>
  <c r="M759" i="24"/>
  <c r="H1824" i="24"/>
  <c r="H689" i="24"/>
  <c r="I1652" i="24"/>
  <c r="M1010" i="24"/>
  <c r="M442" i="24"/>
  <c r="D1161" i="24"/>
  <c r="B1682" i="24"/>
  <c r="I1246" i="24"/>
  <c r="M1144" i="24"/>
  <c r="H581" i="24"/>
  <c r="D1745" i="24"/>
  <c r="H1419" i="24"/>
  <c r="B1803" i="24"/>
  <c r="M1129" i="24"/>
  <c r="M1174" i="24"/>
  <c r="B1488" i="24"/>
  <c r="H80" i="24"/>
  <c r="D1567" i="24"/>
  <c r="D667" i="24"/>
  <c r="I1005" i="24"/>
  <c r="H1756" i="24"/>
  <c r="B1304" i="24"/>
  <c r="I1409" i="24"/>
  <c r="M404" i="24"/>
  <c r="M1507" i="24"/>
  <c r="D1658" i="24"/>
  <c r="H1809" i="24"/>
  <c r="M998" i="24"/>
  <c r="M941" i="24"/>
  <c r="D1574" i="24"/>
  <c r="H54" i="24"/>
  <c r="I936" i="24"/>
  <c r="B1254" i="24"/>
  <c r="D494" i="24"/>
  <c r="M453" i="24"/>
  <c r="B1381" i="24"/>
  <c r="H1727" i="24"/>
  <c r="M1094" i="24"/>
  <c r="I1590" i="24"/>
  <c r="I1491" i="24"/>
  <c r="B1750" i="24"/>
  <c r="M245" i="24"/>
  <c r="D1790" i="24"/>
  <c r="M1618" i="24"/>
  <c r="D1509" i="24"/>
  <c r="M606" i="24"/>
  <c r="D1295" i="24"/>
  <c r="H1622" i="24"/>
  <c r="M538" i="24"/>
  <c r="D1096" i="24"/>
  <c r="H166" i="24"/>
  <c r="H332" i="24"/>
  <c r="M769" i="24"/>
  <c r="M491" i="24"/>
  <c r="M856" i="24"/>
  <c r="M872" i="24"/>
  <c r="H1874" i="24"/>
  <c r="H1460" i="24"/>
  <c r="D1194" i="24"/>
  <c r="M780" i="24"/>
  <c r="D1391" i="24"/>
  <c r="M422" i="24"/>
  <c r="D1098" i="24"/>
  <c r="M162" i="24"/>
  <c r="B1064" i="24"/>
  <c r="H1531" i="24"/>
  <c r="M894" i="24"/>
  <c r="D1720" i="24"/>
  <c r="M580" i="24"/>
  <c r="B1776" i="24"/>
  <c r="H1573" i="24"/>
  <c r="D235" i="24"/>
  <c r="D1623" i="24"/>
  <c r="H1464" i="24"/>
  <c r="M813" i="24"/>
  <c r="B802" i="24"/>
  <c r="I1737" i="24"/>
  <c r="D1793" i="24"/>
  <c r="H1450" i="24"/>
  <c r="H107" i="24"/>
  <c r="D817" i="24"/>
  <c r="D1785" i="24"/>
  <c r="B1843" i="24"/>
  <c r="D371" i="24"/>
  <c r="I1603" i="24"/>
  <c r="M1539" i="24"/>
  <c r="I679" i="24"/>
  <c r="M622" i="24"/>
  <c r="H1871" i="24"/>
  <c r="M1411" i="24"/>
  <c r="D1887" i="24"/>
  <c r="I1632" i="24"/>
  <c r="M1270" i="24"/>
  <c r="B1651" i="24"/>
  <c r="H743" i="24"/>
  <c r="H535" i="24"/>
  <c r="I1835" i="24"/>
  <c r="H769" i="24"/>
  <c r="D509" i="24"/>
  <c r="I1689" i="24"/>
  <c r="D818" i="24"/>
  <c r="I891" i="24"/>
  <c r="D1815" i="24"/>
  <c r="M447" i="24"/>
  <c r="M836" i="24"/>
  <c r="I711" i="24"/>
  <c r="B117" i="24"/>
  <c r="H605" i="24"/>
  <c r="M771" i="24"/>
  <c r="D1335" i="24"/>
  <c r="M949" i="24"/>
  <c r="D1588" i="24"/>
  <c r="B537" i="24"/>
  <c r="M599" i="24"/>
  <c r="D1615" i="24"/>
  <c r="D1471" i="24"/>
  <c r="H28" i="24"/>
  <c r="M477" i="24"/>
  <c r="M497" i="24"/>
  <c r="D1883" i="24"/>
  <c r="D1824" i="24"/>
  <c r="H1431" i="24"/>
  <c r="M1588" i="24"/>
  <c r="D1262" i="24"/>
  <c r="B1867" i="24"/>
  <c r="H1462" i="24"/>
  <c r="H939" i="24"/>
  <c r="M1479" i="24"/>
  <c r="M1605" i="24"/>
  <c r="M411" i="24"/>
  <c r="B1745" i="24"/>
  <c r="M1058" i="24"/>
  <c r="D427" i="24"/>
  <c r="B905" i="24"/>
  <c r="H1467" i="24"/>
  <c r="I952" i="24"/>
  <c r="M121" i="24"/>
  <c r="M920" i="24"/>
  <c r="D1897" i="24"/>
  <c r="H1609" i="24"/>
  <c r="I1745" i="24"/>
  <c r="H1339" i="24"/>
  <c r="H907" i="24"/>
  <c r="I1476" i="24"/>
  <c r="M994" i="24"/>
  <c r="M379" i="24"/>
  <c r="H153" i="24"/>
  <c r="H643" i="24"/>
  <c r="D1840" i="24"/>
  <c r="H537" i="24"/>
  <c r="H881" i="24"/>
  <c r="B1862" i="24"/>
  <c r="D1229" i="24"/>
  <c r="M1418" i="24"/>
  <c r="M1338" i="24"/>
  <c r="M525" i="24"/>
  <c r="M892" i="24"/>
  <c r="I1684" i="24"/>
  <c r="H1632" i="24"/>
  <c r="M431" i="24"/>
  <c r="D175" i="24"/>
  <c r="I1776" i="24"/>
  <c r="D670" i="24"/>
  <c r="I625" i="24"/>
  <c r="H1602" i="24"/>
  <c r="B240" i="24"/>
  <c r="B1347" i="24"/>
  <c r="I1849" i="24"/>
  <c r="D236" i="24"/>
  <c r="I1678" i="24"/>
  <c r="B263" i="24"/>
  <c r="M530" i="24"/>
  <c r="M1442" i="24"/>
  <c r="M927" i="24"/>
  <c r="B1313" i="24"/>
  <c r="I742" i="24"/>
  <c r="B844" i="24"/>
  <c r="M688" i="24"/>
  <c r="M293" i="24"/>
  <c r="M407" i="24"/>
  <c r="I64" i="24"/>
  <c r="H1276" i="24"/>
  <c r="M119" i="24"/>
  <c r="I1809" i="24"/>
  <c r="B1708" i="24"/>
  <c r="H1577" i="24"/>
  <c r="B1676" i="24"/>
  <c r="I184" i="24"/>
  <c r="B341" i="24"/>
  <c r="H1436" i="24"/>
  <c r="H1251" i="24"/>
  <c r="H1512" i="24"/>
  <c r="M1299" i="24"/>
  <c r="B1392" i="24"/>
  <c r="M1525" i="24"/>
  <c r="H1715" i="24"/>
  <c r="B162" i="24"/>
  <c r="B1049" i="24"/>
  <c r="I207" i="24"/>
  <c r="H1045" i="24"/>
  <c r="M1421" i="24"/>
  <c r="M69" i="24"/>
  <c r="H1812" i="24"/>
  <c r="M723" i="24"/>
  <c r="M1630" i="24"/>
  <c r="D178" i="24"/>
  <c r="M845" i="24"/>
  <c r="I1447" i="24"/>
  <c r="M1887" i="24"/>
  <c r="B1771" i="24"/>
  <c r="M480" i="24"/>
  <c r="I1357" i="24"/>
  <c r="I981" i="24"/>
  <c r="I1890" i="24"/>
  <c r="M1652" i="24"/>
  <c r="I821" i="24"/>
  <c r="D1372" i="24"/>
  <c r="H1648" i="24"/>
  <c r="B1738" i="24"/>
  <c r="M1192" i="24"/>
  <c r="I1260" i="24"/>
  <c r="I1512" i="24"/>
  <c r="H1250" i="24"/>
  <c r="M1503" i="24"/>
  <c r="D1388" i="24"/>
  <c r="M1100" i="24"/>
  <c r="M1017" i="24"/>
  <c r="M1004" i="24"/>
  <c r="M635" i="24"/>
  <c r="M461" i="24"/>
  <c r="M929" i="24"/>
  <c r="M986" i="24"/>
  <c r="D874" i="24"/>
  <c r="I1876" i="24"/>
  <c r="D508" i="24"/>
  <c r="M349" i="24"/>
  <c r="I1556" i="24"/>
  <c r="H454" i="24"/>
  <c r="H1435" i="24"/>
  <c r="M1181" i="24"/>
  <c r="I1883" i="24"/>
  <c r="M560" i="24"/>
  <c r="I525" i="24"/>
  <c r="H1459" i="24"/>
  <c r="M933" i="24"/>
  <c r="H1505" i="24"/>
  <c r="M327" i="24"/>
  <c r="D1885" i="24"/>
  <c r="B1238" i="24"/>
  <c r="I1826" i="24"/>
  <c r="D1470" i="24"/>
  <c r="D1698" i="24"/>
  <c r="B1366" i="24"/>
  <c r="M1161" i="24"/>
  <c r="D1223" i="24"/>
  <c r="D1843" i="24"/>
  <c r="M135" i="24"/>
  <c r="B1541" i="24"/>
  <c r="M239" i="24"/>
  <c r="M618" i="24"/>
  <c r="D1521" i="24"/>
  <c r="D1629" i="24"/>
  <c r="I1161" i="24"/>
  <c r="M328" i="24"/>
  <c r="I1538" i="24"/>
  <c r="M216" i="24"/>
  <c r="I1845" i="24"/>
  <c r="H788" i="24"/>
  <c r="B1476" i="24"/>
  <c r="M211" i="24"/>
  <c r="M508" i="24"/>
  <c r="H147" i="24"/>
  <c r="M699" i="24"/>
  <c r="M371" i="24"/>
  <c r="H1736" i="24"/>
  <c r="M937" i="24"/>
  <c r="M1380" i="24"/>
  <c r="I122" i="24"/>
  <c r="B1409" i="24"/>
  <c r="H1338" i="24"/>
  <c r="H1534" i="24"/>
  <c r="H1434" i="24"/>
  <c r="B1809" i="24"/>
  <c r="D1580" i="24"/>
  <c r="M189" i="24"/>
  <c r="M460" i="24"/>
  <c r="I1372" i="24"/>
  <c r="H1414" i="24"/>
  <c r="M373" i="24"/>
  <c r="M131" i="24"/>
  <c r="M1138" i="24"/>
  <c r="M1006" i="24"/>
  <c r="D1191" i="24"/>
  <c r="M733" i="24"/>
  <c r="B1019" i="24"/>
  <c r="H1157" i="24"/>
  <c r="D1220" i="24"/>
  <c r="I1607" i="24"/>
  <c r="H1604" i="24"/>
  <c r="I1310" i="24"/>
  <c r="D1219" i="24"/>
  <c r="H872" i="24"/>
  <c r="M1018" i="24"/>
  <c r="H606" i="24"/>
  <c r="M868" i="24"/>
  <c r="M416" i="24"/>
  <c r="H1503" i="24"/>
  <c r="M154" i="24"/>
  <c r="B639" i="24"/>
  <c r="H913" i="24"/>
  <c r="H1774" i="24"/>
  <c r="H1629" i="24"/>
  <c r="M1219" i="24"/>
  <c r="B974" i="24"/>
  <c r="I449" i="24"/>
  <c r="H1692" i="24"/>
  <c r="B7" i="24"/>
  <c r="M743" i="24"/>
  <c r="H1014" i="24"/>
  <c r="I1507" i="24"/>
  <c r="M640" i="24"/>
  <c r="M1863" i="24"/>
  <c r="M700" i="24"/>
  <c r="I1599" i="24"/>
  <c r="H1228" i="24"/>
  <c r="H1012" i="24"/>
  <c r="M503" i="24"/>
  <c r="H1351" i="24"/>
  <c r="M572" i="24"/>
  <c r="D1171" i="24"/>
  <c r="I1733" i="24"/>
  <c r="I1428" i="24"/>
  <c r="I1393" i="24"/>
  <c r="D1723" i="24"/>
  <c r="H1728" i="24"/>
  <c r="D1829" i="24"/>
  <c r="M647" i="24"/>
  <c r="D1776" i="24"/>
  <c r="I1892" i="24"/>
  <c r="M1884" i="24"/>
  <c r="H128" i="24"/>
  <c r="D1439" i="24"/>
  <c r="M1113" i="24"/>
  <c r="H1794" i="24"/>
  <c r="D1579" i="24"/>
  <c r="M518" i="24"/>
  <c r="D54" i="24"/>
  <c r="M57" i="24"/>
  <c r="I1702" i="24"/>
  <c r="I1868" i="24"/>
  <c r="D1748" i="24"/>
  <c r="M1284" i="24"/>
  <c r="H1667" i="24"/>
  <c r="I1780" i="24"/>
  <c r="I1877" i="24"/>
  <c r="I353" i="24"/>
  <c r="I1515" i="24"/>
  <c r="M519" i="24"/>
  <c r="B698" i="24"/>
  <c r="H306" i="24"/>
  <c r="M221" i="24"/>
  <c r="B637" i="24"/>
  <c r="I1468" i="24"/>
  <c r="H1527" i="24"/>
  <c r="M1488" i="24"/>
  <c r="M262" i="24"/>
  <c r="H1691" i="24"/>
  <c r="B465" i="24"/>
  <c r="B1349" i="24"/>
  <c r="M824" i="24"/>
  <c r="B1642" i="24"/>
  <c r="H1749" i="24"/>
  <c r="M636" i="24"/>
  <c r="D1132" i="24"/>
  <c r="D1417" i="24"/>
  <c r="B1121" i="24"/>
  <c r="B1503" i="24"/>
  <c r="H1613" i="24"/>
  <c r="D61" i="24"/>
  <c r="M487" i="24"/>
  <c r="M561" i="24"/>
  <c r="D1632" i="24"/>
  <c r="M738" i="24"/>
  <c r="I317" i="24"/>
  <c r="B763" i="24"/>
  <c r="H1628" i="24"/>
  <c r="M523" i="24"/>
  <c r="D1881" i="24"/>
  <c r="H1591" i="24"/>
  <c r="H864" i="24"/>
  <c r="H1814" i="24"/>
  <c r="B1583" i="24"/>
  <c r="B814" i="24"/>
  <c r="H1580" i="24"/>
  <c r="B1894" i="24"/>
  <c r="I1701" i="24"/>
  <c r="M1200" i="24"/>
  <c r="H1519" i="24"/>
  <c r="M662" i="24"/>
  <c r="H1726" i="24"/>
  <c r="I1539" i="24"/>
  <c r="M451" i="24"/>
  <c r="H1677" i="24"/>
  <c r="H39" i="24"/>
  <c r="M151" i="24"/>
  <c r="I1724" i="24"/>
  <c r="I1852" i="24"/>
  <c r="I508" i="24"/>
  <c r="D1315" i="24"/>
  <c r="I810" i="24"/>
  <c r="I1185" i="24"/>
  <c r="M214" i="24"/>
  <c r="I1896" i="24"/>
  <c r="M1302" i="24"/>
  <c r="M1450" i="24"/>
  <c r="D1440" i="24"/>
  <c r="B1465" i="24"/>
  <c r="B785" i="24"/>
  <c r="M1237" i="24"/>
  <c r="I387" i="24"/>
  <c r="D1834" i="24"/>
  <c r="H1302" i="24"/>
  <c r="I1656" i="24"/>
  <c r="M1106" i="24"/>
  <c r="H1679" i="24"/>
  <c r="D190" i="24"/>
  <c r="H1684" i="24"/>
  <c r="M1549" i="24"/>
  <c r="B1677" i="24"/>
  <c r="B1055" i="24"/>
  <c r="B284" i="24"/>
  <c r="M789" i="24"/>
  <c r="M595" i="24"/>
  <c r="H1730" i="24"/>
  <c r="D1664" i="24"/>
  <c r="M1082" i="24"/>
  <c r="H1745" i="24"/>
  <c r="H1733" i="24"/>
  <c r="I1040" i="24"/>
  <c r="M695" i="24"/>
  <c r="I1794" i="24"/>
  <c r="B1675" i="24"/>
  <c r="D1827" i="24"/>
  <c r="D1690" i="24"/>
  <c r="M537" i="24"/>
  <c r="M827" i="24"/>
  <c r="M539" i="24"/>
  <c r="M408" i="24"/>
  <c r="I1755" i="24"/>
  <c r="D1896" i="24"/>
  <c r="B594" i="24"/>
  <c r="I902" i="24"/>
  <c r="D1382" i="24"/>
  <c r="H768" i="24"/>
  <c r="M1264" i="24"/>
  <c r="M456" i="24"/>
  <c r="M56" i="24"/>
  <c r="I1534" i="24"/>
  <c r="M213" i="24"/>
  <c r="M313" i="24"/>
  <c r="I1574" i="24"/>
  <c r="D385" i="24"/>
  <c r="D1310" i="24"/>
  <c r="B1372" i="24"/>
  <c r="M1036" i="24"/>
  <c r="I1171" i="24"/>
  <c r="B997" i="24"/>
  <c r="I1451" i="24"/>
  <c r="B1468" i="24"/>
  <c r="I1471" i="24"/>
  <c r="D1679" i="24"/>
  <c r="H1901" i="24"/>
  <c r="B575" i="24"/>
  <c r="B1412" i="24"/>
  <c r="H541" i="24"/>
  <c r="I1824" i="24"/>
  <c r="D484" i="24"/>
  <c r="H798" i="24"/>
  <c r="M667" i="24"/>
  <c r="M82" i="24"/>
  <c r="M240" i="24"/>
  <c r="H251" i="24"/>
  <c r="H1669" i="24"/>
  <c r="M849" i="24"/>
  <c r="B1400" i="24"/>
  <c r="I1872" i="24"/>
  <c r="B1448" i="24"/>
  <c r="M167" i="24"/>
  <c r="M1415" i="24"/>
  <c r="M1317" i="24"/>
  <c r="I1900" i="24"/>
  <c r="B1068" i="24"/>
  <c r="I426" i="24"/>
  <c r="H1696" i="24"/>
  <c r="D1746" i="24"/>
  <c r="M1346" i="24"/>
  <c r="I1290" i="24"/>
  <c r="M1600" i="24"/>
  <c r="B1808" i="24"/>
  <c r="I1560" i="24"/>
  <c r="M1850" i="24"/>
  <c r="D329" i="24"/>
  <c r="I822" i="24"/>
  <c r="M175" i="24"/>
  <c r="H1869" i="24"/>
  <c r="M678" i="24"/>
  <c r="M271" i="24"/>
  <c r="M1332" i="24"/>
  <c r="H1863" i="24"/>
  <c r="B1441" i="24"/>
  <c r="M871" i="24"/>
  <c r="H586" i="24"/>
  <c r="I270" i="24"/>
  <c r="H1705" i="24"/>
  <c r="H658" i="24"/>
  <c r="I817" i="24"/>
  <c r="B1015" i="24"/>
  <c r="B1665" i="24"/>
  <c r="M1472" i="24"/>
  <c r="D341" i="24"/>
  <c r="D1483" i="24"/>
  <c r="H1747" i="24"/>
  <c r="I1320" i="24"/>
  <c r="M1068" i="24"/>
  <c r="I1489" i="24"/>
  <c r="H773" i="24"/>
  <c r="I166" i="24"/>
  <c r="M1535" i="24"/>
  <c r="D1633" i="24"/>
  <c r="H724" i="24"/>
  <c r="H656" i="24"/>
  <c r="M233" i="24"/>
  <c r="M983" i="24"/>
  <c r="I1423" i="24"/>
  <c r="M1220" i="24"/>
  <c r="I1385" i="24"/>
  <c r="H1448" i="24"/>
  <c r="D1782" i="24"/>
  <c r="H1589" i="24"/>
  <c r="I22" i="24"/>
  <c r="M486" i="24"/>
  <c r="H1743" i="24"/>
  <c r="H1427" i="24"/>
  <c r="D41" i="24"/>
  <c r="I1620" i="24"/>
  <c r="M1152" i="24"/>
  <c r="I262" i="24"/>
  <c r="M420" i="24"/>
  <c r="I19" i="24"/>
  <c r="D1649" i="24"/>
  <c r="B1571" i="24"/>
  <c r="H1538" i="24"/>
  <c r="B329" i="24"/>
  <c r="D1657" i="24"/>
  <c r="H1265" i="24"/>
  <c r="M1055" i="24"/>
  <c r="D1537" i="24"/>
  <c r="B536" i="24"/>
  <c r="H307" i="24"/>
  <c r="M792" i="24"/>
  <c r="D1017" i="24"/>
  <c r="D38" i="24"/>
  <c r="D1016" i="24"/>
  <c r="I1527" i="24"/>
  <c r="M1245" i="24"/>
  <c r="H1721" i="24"/>
  <c r="D1759" i="24"/>
  <c r="B1720" i="24"/>
  <c r="I450" i="24"/>
  <c r="B1376" i="24"/>
  <c r="B1766" i="24"/>
  <c r="B1593" i="24"/>
  <c r="D753" i="24"/>
  <c r="D1412" i="24"/>
  <c r="I1359" i="24"/>
  <c r="M578" i="24"/>
  <c r="M847" i="24"/>
  <c r="M545" i="24"/>
  <c r="I1781" i="24"/>
  <c r="I1541" i="24"/>
  <c r="M1645" i="24"/>
  <c r="H635" i="24"/>
  <c r="H1784" i="24"/>
  <c r="I1362" i="24"/>
  <c r="I1435" i="24"/>
  <c r="M1002" i="24"/>
  <c r="M978" i="24"/>
  <c r="I1182" i="24"/>
  <c r="B863" i="24"/>
  <c r="I1761" i="24"/>
  <c r="I65" i="24"/>
  <c r="M227" i="24"/>
  <c r="M346" i="24"/>
  <c r="I1582" i="24"/>
  <c r="M1847" i="24"/>
  <c r="M1280" i="24"/>
  <c r="H1334" i="24"/>
  <c r="D1725" i="24"/>
  <c r="M1213" i="24"/>
  <c r="H1230" i="24"/>
  <c r="M1589" i="24"/>
  <c r="M621" i="24"/>
  <c r="H1502" i="24"/>
  <c r="M1188" i="24"/>
  <c r="H139" i="24"/>
  <c r="I1472" i="24"/>
  <c r="M661" i="24"/>
  <c r="I1604" i="24"/>
  <c r="H1646" i="24"/>
  <c r="M59" i="24"/>
  <c r="M1894" i="24"/>
  <c r="I1344" i="24"/>
  <c r="I306" i="24"/>
  <c r="D1651" i="24"/>
  <c r="M312" i="24"/>
  <c r="M1355" i="24"/>
  <c r="H654" i="24"/>
  <c r="I1412" i="24"/>
  <c r="I1444" i="24"/>
  <c r="M912" i="24"/>
  <c r="H1878" i="24"/>
  <c r="I1521" i="24"/>
  <c r="I1493" i="24"/>
  <c r="D1882" i="24"/>
  <c r="I1522" i="24"/>
  <c r="B425" i="24"/>
  <c r="D1583" i="24"/>
  <c r="M1855" i="24"/>
  <c r="M1616" i="24"/>
  <c r="I1619" i="24"/>
  <c r="H705" i="24"/>
  <c r="I1163" i="24"/>
  <c r="D881" i="24"/>
  <c r="M1845" i="24"/>
  <c r="M1021" i="24"/>
  <c r="B1285" i="24"/>
  <c r="I1464" i="24"/>
  <c r="H1780" i="24"/>
  <c r="D1546" i="24"/>
  <c r="H1825" i="24"/>
  <c r="M1290" i="24"/>
  <c r="M380" i="24"/>
  <c r="I1445" i="24"/>
  <c r="B1777" i="24"/>
  <c r="H1796" i="24"/>
  <c r="H1218" i="24"/>
  <c r="I1906" i="24"/>
  <c r="I1601" i="24"/>
  <c r="M1255" i="24"/>
  <c r="H1822" i="24"/>
  <c r="M1590" i="24"/>
  <c r="B1774" i="24"/>
  <c r="H954" i="24"/>
  <c r="M1631" i="24"/>
  <c r="M1154" i="24"/>
  <c r="H1541" i="24"/>
  <c r="H1454" i="24"/>
  <c r="M649" i="24"/>
  <c r="M569" i="24"/>
  <c r="M209" i="24"/>
  <c r="B1507" i="24"/>
  <c r="D1176" i="24"/>
  <c r="M331" i="24"/>
  <c r="D81" i="24"/>
  <c r="D1466" i="24"/>
  <c r="H1618" i="24"/>
  <c r="I196" i="24"/>
  <c r="B1414" i="24"/>
  <c r="I888" i="24"/>
  <c r="B1905" i="24"/>
  <c r="D217" i="24"/>
  <c r="I1490" i="24"/>
  <c r="H747" i="24"/>
  <c r="I1567" i="24"/>
  <c r="D1822" i="24"/>
  <c r="H1442" i="24"/>
  <c r="H1656" i="24"/>
  <c r="B715" i="24"/>
  <c r="I1793" i="24"/>
  <c r="H1506" i="24"/>
  <c r="B391" i="24"/>
  <c r="B1715" i="24"/>
  <c r="H1608" i="24"/>
  <c r="M191" i="24"/>
  <c r="I661" i="24"/>
  <c r="H1815" i="24"/>
  <c r="I530" i="24"/>
  <c r="M985" i="24"/>
  <c r="M419" i="24"/>
  <c r="H1795" i="24"/>
  <c r="H1473" i="24"/>
  <c r="M53" i="24"/>
  <c r="D1702" i="24"/>
  <c r="D1517" i="24"/>
  <c r="I298" i="24"/>
  <c r="M630" i="24"/>
  <c r="M1180" i="24"/>
  <c r="H186" i="24"/>
  <c r="D1764" i="24"/>
  <c r="M243" i="24"/>
  <c r="M1582" i="24"/>
  <c r="I1886" i="24"/>
  <c r="I932" i="24"/>
  <c r="B634" i="24"/>
  <c r="I1545" i="24"/>
  <c r="M360" i="24"/>
  <c r="M1296" i="24"/>
  <c r="M1172" i="24"/>
  <c r="B1273" i="24"/>
  <c r="M731" i="24"/>
  <c r="I939" i="24"/>
  <c r="H1383" i="24"/>
  <c r="D1772" i="24"/>
  <c r="B1846" i="24"/>
  <c r="I1850" i="24"/>
  <c r="B1710" i="24"/>
  <c r="B30" i="24"/>
  <c r="H1786" i="24"/>
  <c r="I1820" i="24"/>
  <c r="D98" i="24"/>
  <c r="M250" i="24"/>
  <c r="D1755" i="24"/>
  <c r="B436" i="24"/>
  <c r="M102" i="24"/>
  <c r="M1216" i="24"/>
  <c r="B1517" i="24"/>
  <c r="D1706" i="24"/>
  <c r="M1378" i="24"/>
  <c r="H1387" i="24"/>
  <c r="B1356" i="24"/>
  <c r="B1768" i="24"/>
  <c r="M1867" i="24"/>
  <c r="M1250" i="24"/>
  <c r="H117" i="24"/>
  <c r="M201" i="24"/>
  <c r="H966" i="24"/>
  <c r="M196" i="24"/>
  <c r="M944" i="24"/>
  <c r="M1187" i="24"/>
  <c r="I1831" i="24"/>
  <c r="M1203" i="24"/>
  <c r="M656" i="24"/>
  <c r="D662" i="24"/>
  <c r="H1047" i="24"/>
  <c r="D1350" i="24"/>
  <c r="D1681" i="24"/>
  <c r="M679" i="24"/>
  <c r="I1638" i="24"/>
  <c r="D1807" i="24"/>
  <c r="I949" i="24"/>
  <c r="D1040" i="24"/>
  <c r="H1783" i="24"/>
  <c r="H1625" i="24"/>
  <c r="M762" i="24"/>
  <c r="I729" i="24"/>
  <c r="M65" i="24"/>
  <c r="M943" i="24"/>
  <c r="H486" i="24"/>
  <c r="M212" i="24"/>
  <c r="H401" i="24"/>
  <c r="M340" i="24"/>
  <c r="B1533" i="24"/>
  <c r="M879" i="24"/>
  <c r="D1584" i="24"/>
  <c r="D1788" i="24"/>
  <c r="B1678" i="24"/>
  <c r="M811" i="24"/>
  <c r="H1539" i="24"/>
  <c r="D1753" i="24"/>
  <c r="I1874" i="24"/>
  <c r="H1817" i="24"/>
  <c r="H1893" i="24"/>
  <c r="H201" i="24"/>
  <c r="M1460" i="24"/>
  <c r="I192" i="24"/>
  <c r="B332" i="24"/>
  <c r="D665" i="24"/>
  <c r="B557" i="24"/>
  <c r="M742" i="24"/>
  <c r="H861" i="24"/>
  <c r="H1018" i="24"/>
  <c r="I710" i="24"/>
  <c r="H1398" i="24"/>
  <c r="B1486" i="24"/>
  <c r="D1757" i="24"/>
  <c r="M793" i="24"/>
  <c r="M9" i="24"/>
  <c r="D1393" i="24"/>
  <c r="H1685" i="24"/>
  <c r="M575" i="24"/>
  <c r="M1430" i="24"/>
  <c r="H882" i="24"/>
  <c r="M1315" i="24"/>
  <c r="I1736" i="24"/>
  <c r="H1359" i="24"/>
  <c r="M959" i="24"/>
  <c r="B1445" i="24"/>
  <c r="D1447" i="24"/>
  <c r="H1742" i="24"/>
  <c r="B1277" i="24"/>
  <c r="M137" i="24"/>
  <c r="B1757" i="24"/>
  <c r="D1803" i="24"/>
  <c r="I1735" i="24"/>
  <c r="I1376" i="24"/>
  <c r="H1212" i="24"/>
  <c r="M1121" i="24"/>
  <c r="D988" i="24"/>
  <c r="I1805" i="24"/>
  <c r="M1123" i="24"/>
  <c r="M197" i="24"/>
  <c r="H462" i="24"/>
  <c r="M95" i="24"/>
  <c r="H1567" i="24"/>
  <c r="D1674" i="24"/>
  <c r="M501" i="24"/>
  <c r="M1163" i="24"/>
  <c r="H1217" i="24"/>
  <c r="H518" i="24"/>
  <c r="D1647" i="24"/>
  <c r="M165" i="24"/>
  <c r="B1722" i="24"/>
  <c r="M1335" i="24"/>
  <c r="I300" i="24"/>
  <c r="D839" i="24"/>
  <c r="M1015" i="24"/>
  <c r="M1190" i="24"/>
  <c r="I1658" i="24"/>
  <c r="I1462" i="24"/>
  <c r="M826" i="24"/>
  <c r="H1308" i="24"/>
  <c r="H53" i="24"/>
  <c r="I1655" i="24"/>
  <c r="D1531" i="24"/>
  <c r="D1875" i="24"/>
  <c r="I1663" i="24"/>
  <c r="M1063" i="24"/>
  <c r="D993" i="24"/>
  <c r="D1166" i="24"/>
  <c r="D739" i="24"/>
  <c r="D995" i="24"/>
  <c r="H1781" i="24"/>
  <c r="I1571" i="24"/>
  <c r="B1119" i="24"/>
  <c r="D1765" i="24"/>
  <c r="D496" i="24"/>
  <c r="I345" i="24"/>
  <c r="H1605" i="24"/>
  <c r="H366" i="24"/>
  <c r="D382" i="24"/>
  <c r="M78" i="24"/>
  <c r="H394" i="24"/>
  <c r="M1366" i="24"/>
  <c r="H1642" i="24"/>
  <c r="I1709" i="24"/>
  <c r="B1125" i="24"/>
  <c r="B631" i="24"/>
  <c r="B1428" i="24"/>
  <c r="M195" i="24"/>
  <c r="H964" i="24"/>
  <c r="M616" i="24"/>
  <c r="D124" i="24"/>
  <c r="M1356" i="24"/>
  <c r="I1576" i="24"/>
  <c r="H379" i="24"/>
  <c r="H1720" i="24"/>
  <c r="B1672" i="24"/>
  <c r="H257" i="24"/>
  <c r="H1890" i="24"/>
  <c r="D315" i="24"/>
  <c r="B1537" i="24"/>
  <c r="M52" i="24"/>
  <c r="H819" i="24"/>
  <c r="I54" i="24"/>
  <c r="H335" i="24"/>
  <c r="D1899" i="24"/>
  <c r="D1609" i="24"/>
  <c r="B1255" i="24"/>
  <c r="M1604" i="24"/>
  <c r="D1835" i="24"/>
  <c r="H1597" i="24"/>
  <c r="D1371" i="24"/>
  <c r="H1592" i="24"/>
  <c r="D538" i="24"/>
  <c r="M984" i="24"/>
  <c r="I1764" i="24"/>
  <c r="I1533" i="24"/>
  <c r="B1362" i="24"/>
  <c r="D1734" i="24"/>
  <c r="B1861" i="24"/>
  <c r="M1108" i="24"/>
  <c r="I1442" i="24"/>
  <c r="I1893" i="24"/>
  <c r="D1351" i="24"/>
  <c r="I1666" i="24"/>
  <c r="H757" i="24"/>
  <c r="H1896" i="24"/>
  <c r="M774" i="24"/>
  <c r="H1499" i="24"/>
  <c r="H976" i="24"/>
  <c r="D790" i="24"/>
  <c r="D895" i="24"/>
  <c r="M687" i="24"/>
  <c r="H547" i="24"/>
  <c r="I1281" i="24"/>
  <c r="H210" i="24"/>
  <c r="M1125" i="24"/>
  <c r="D91" i="24"/>
  <c r="D1684" i="24"/>
  <c r="B1140" i="24"/>
  <c r="M259" i="24"/>
  <c r="I1786" i="24"/>
  <c r="M536" i="24"/>
  <c r="D1796" i="24"/>
  <c r="H414" i="24"/>
  <c r="I623" i="24"/>
  <c r="M951" i="24"/>
  <c r="M908" i="24"/>
  <c r="M387" i="24"/>
  <c r="B1024" i="24"/>
  <c r="D1645" i="24"/>
  <c r="I1197" i="24"/>
  <c r="M634" i="24"/>
  <c r="I1536" i="24"/>
  <c r="M134" i="24"/>
  <c r="D1457" i="24"/>
  <c r="H1465" i="24"/>
  <c r="I1562" i="24"/>
  <c r="M948" i="24"/>
  <c r="D1269" i="24"/>
  <c r="B1002" i="24"/>
  <c r="B151" i="24"/>
  <c r="D1665" i="24"/>
  <c r="D1624" i="24"/>
  <c r="H1555" i="24"/>
  <c r="B1769" i="24"/>
  <c r="M1354" i="24"/>
  <c r="I30" i="24"/>
  <c r="H208" i="24"/>
  <c r="B423" i="24"/>
  <c r="I1550" i="24"/>
  <c r="M388" i="24"/>
  <c r="B367" i="24"/>
  <c r="B325" i="24"/>
  <c r="M173" i="24"/>
  <c r="M124" i="24"/>
  <c r="B420" i="24"/>
  <c r="H1828" i="24"/>
  <c r="H1032" i="24"/>
  <c r="I1864" i="24"/>
  <c r="I1367" i="24"/>
  <c r="M1145" i="24"/>
  <c r="B700" i="24"/>
  <c r="D1399" i="24"/>
  <c r="I1177" i="24"/>
  <c r="M911" i="24"/>
  <c r="I1111" i="24"/>
  <c r="I66" i="24"/>
  <c r="H1627" i="24"/>
  <c r="I1756" i="24"/>
  <c r="H1766" i="24"/>
  <c r="I1634" i="24"/>
  <c r="B621" i="24"/>
  <c r="H1491" i="24"/>
  <c r="B1701" i="24"/>
  <c r="M1131" i="24"/>
  <c r="I1713" i="24"/>
  <c r="M76" i="24"/>
  <c r="M1128" i="24"/>
  <c r="D1861" i="24"/>
  <c r="M677" i="24"/>
  <c r="M1071" i="24"/>
  <c r="M157" i="24"/>
  <c r="I279" i="24"/>
  <c r="B1093" i="24"/>
  <c r="I1204" i="24"/>
  <c r="I293" i="24"/>
  <c r="M1165" i="24"/>
  <c r="B1802" i="24"/>
  <c r="M36" i="24"/>
  <c r="B224" i="24"/>
  <c r="I1757" i="24"/>
  <c r="M1253" i="24"/>
  <c r="M559" i="24"/>
  <c r="I897" i="24"/>
  <c r="B709" i="24"/>
  <c r="D677" i="24"/>
  <c r="H1245" i="24"/>
  <c r="I796" i="24"/>
  <c r="M1093" i="24"/>
  <c r="M1885" i="24"/>
  <c r="I1853" i="24"/>
  <c r="B1644" i="24"/>
  <c r="H1711" i="24"/>
  <c r="B1602" i="24"/>
  <c r="B1692" i="24"/>
  <c r="D119" i="24"/>
  <c r="H1103" i="24"/>
  <c r="I514" i="24"/>
  <c r="H1666" i="24"/>
  <c r="M177" i="24"/>
  <c r="H1763" i="24"/>
  <c r="H1757" i="24"/>
  <c r="M100" i="24"/>
  <c r="H1761" i="24"/>
  <c r="H1698" i="24"/>
  <c r="D1758" i="24"/>
  <c r="D712" i="24"/>
  <c r="H1381" i="24"/>
  <c r="M1009" i="24"/>
  <c r="B1740" i="24"/>
  <c r="M47" i="24"/>
  <c r="H325" i="24"/>
  <c r="D1251" i="24"/>
  <c r="I1341" i="24"/>
  <c r="I826" i="24"/>
  <c r="M278" i="24"/>
  <c r="H1735" i="24"/>
  <c r="M601" i="24"/>
  <c r="M303" i="24"/>
  <c r="H1582" i="24"/>
  <c r="M968" i="24"/>
  <c r="H489" i="24"/>
  <c r="I718" i="24"/>
  <c r="B75" i="24"/>
  <c r="M995" i="24"/>
  <c r="B612" i="24"/>
  <c r="M50" i="24"/>
  <c r="D1860" i="24"/>
  <c r="M960" i="24"/>
  <c r="I503" i="24"/>
  <c r="H436" i="24"/>
  <c r="M333" i="24"/>
  <c r="M406" i="24"/>
  <c r="I78" i="24"/>
  <c r="H1074" i="24"/>
  <c r="B1718" i="24"/>
  <c r="D1770" i="24"/>
  <c r="D1601" i="24"/>
  <c r="M1140" i="24"/>
  <c r="M351" i="24"/>
  <c r="M1344" i="24"/>
  <c r="M144" i="24"/>
  <c r="M1083" i="24"/>
  <c r="M455" i="24"/>
  <c r="H1203" i="24"/>
  <c r="B1502" i="24"/>
  <c r="I1594" i="24"/>
  <c r="M1092" i="24"/>
  <c r="H285" i="24"/>
  <c r="I405" i="24"/>
  <c r="B1096" i="24"/>
  <c r="M1090" i="24"/>
  <c r="B1081" i="24"/>
  <c r="I1905" i="24"/>
  <c r="I1496" i="24"/>
  <c r="H1565" i="24"/>
  <c r="I1563" i="24"/>
  <c r="B405" i="24"/>
  <c r="H1394" i="24"/>
  <c r="M579" i="24"/>
  <c r="D1429" i="24"/>
  <c r="M1327" i="24"/>
  <c r="D1667" i="24"/>
  <c r="H727" i="24"/>
  <c r="D1010" i="24"/>
  <c r="I564" i="24"/>
  <c r="H1490" i="24"/>
  <c r="M1111" i="24"/>
  <c r="H10" i="24"/>
  <c r="M557" i="24"/>
  <c r="M1112" i="24"/>
  <c r="D1859" i="24"/>
  <c r="M1451" i="24"/>
  <c r="M1403" i="24"/>
  <c r="D1744" i="24"/>
  <c r="I496" i="24"/>
  <c r="D797" i="24"/>
  <c r="M429" i="24"/>
  <c r="M1441" i="24"/>
  <c r="B894" i="24"/>
  <c r="H1873" i="24"/>
  <c r="B786" i="24"/>
  <c r="I1650" i="24"/>
  <c r="I596" i="24"/>
  <c r="B1181" i="24"/>
  <c r="M230" i="24"/>
  <c r="D142" i="24"/>
  <c r="M502" i="24"/>
  <c r="D1677" i="24"/>
  <c r="M270" i="24"/>
  <c r="I1492" i="24"/>
  <c r="H1197" i="24"/>
  <c r="I129" i="24"/>
  <c r="D1437" i="24"/>
  <c r="I1768" i="24"/>
  <c r="M1247" i="24"/>
  <c r="H1581" i="24"/>
  <c r="B305" i="24"/>
  <c r="B1011" i="24"/>
  <c r="B1178" i="24"/>
  <c r="B736" i="24"/>
  <c r="M528" i="24"/>
  <c r="H1906" i="24"/>
  <c r="H1444" i="24"/>
  <c r="I1015" i="24"/>
  <c r="D1226" i="24"/>
  <c r="I1621" i="24"/>
  <c r="B1431" i="24"/>
  <c r="M1878" i="24"/>
  <c r="H1877" i="24"/>
  <c r="B1880" i="24"/>
  <c r="H1586" i="24"/>
  <c r="I1477" i="24"/>
  <c r="M1425" i="24"/>
  <c r="D1514" i="24"/>
  <c r="H1788" i="24"/>
  <c r="M1306" i="24"/>
  <c r="D567" i="24"/>
  <c r="M1392" i="24"/>
  <c r="H1700" i="24"/>
  <c r="M1226" i="24"/>
  <c r="M466" i="24"/>
  <c r="M1039" i="24"/>
  <c r="D926" i="24"/>
  <c r="B265" i="24"/>
  <c r="M1060" i="24"/>
  <c r="B1462" i="24"/>
  <c r="D590" i="24"/>
  <c r="M464" i="24"/>
  <c r="H1765" i="24"/>
  <c r="I252" i="24"/>
  <c r="H400" i="24"/>
  <c r="M1864" i="24"/>
  <c r="H1891" i="24"/>
  <c r="M309" i="24"/>
  <c r="M367" i="24"/>
  <c r="H940" i="24"/>
  <c r="H1584" i="24"/>
  <c r="D891" i="24"/>
  <c r="D1540" i="24"/>
  <c r="D1488" i="24"/>
  <c r="M1331" i="24"/>
  <c r="D1015" i="24"/>
  <c r="H1107" i="24"/>
  <c r="B124" i="24"/>
  <c r="M108" i="24"/>
  <c r="D1144" i="24"/>
  <c r="D1589" i="24"/>
  <c r="I40" i="24"/>
  <c r="D801" i="24"/>
  <c r="M193" i="24"/>
  <c r="M1043" i="24"/>
  <c r="D1695" i="24"/>
  <c r="H1768" i="24"/>
  <c r="M977" i="24"/>
  <c r="H679" i="24"/>
  <c r="D606" i="24"/>
  <c r="D1385" i="24"/>
  <c r="D1479" i="24"/>
  <c r="H1640" i="24"/>
  <c r="M681" i="24"/>
  <c r="D1856" i="24"/>
  <c r="I70" i="24"/>
  <c r="D1530" i="24"/>
  <c r="D1245" i="24"/>
  <c r="M320" i="24"/>
  <c r="B368" i="24"/>
  <c r="I1692" i="24"/>
  <c r="B1111" i="24"/>
  <c r="D1844" i="24"/>
  <c r="B1657" i="24"/>
  <c r="B91" i="24"/>
  <c r="B781" i="24"/>
  <c r="M657" i="24"/>
  <c r="M1134" i="24"/>
  <c r="I1244" i="24"/>
  <c r="B1852" i="24"/>
  <c r="H1778" i="24"/>
  <c r="I1695" i="24"/>
  <c r="H1461" i="24"/>
  <c r="B1684" i="24"/>
  <c r="D1480" i="24"/>
  <c r="I1554" i="24"/>
  <c r="M961" i="24"/>
  <c r="B1844" i="24"/>
  <c r="H685" i="24"/>
  <c r="D844" i="24"/>
  <c r="M295" i="24"/>
  <c r="M805" i="24"/>
  <c r="M359" i="24"/>
  <c r="H1330" i="24"/>
  <c r="M551" i="24"/>
  <c r="M1217" i="24"/>
  <c r="D1354" i="24"/>
  <c r="D1366" i="24"/>
  <c r="M979" i="24"/>
  <c r="I1379" i="24"/>
  <c r="H1807" i="24"/>
  <c r="I276" i="24"/>
  <c r="I1837" i="24"/>
  <c r="I1399" i="24"/>
  <c r="M1647" i="24"/>
  <c r="M590" i="24"/>
  <c r="I1524" i="24"/>
  <c r="I918" i="24"/>
  <c r="B111" i="24"/>
  <c r="I1475" i="24"/>
  <c r="M710" i="24"/>
  <c r="H337" i="24"/>
  <c r="M1118" i="24"/>
  <c r="I1551" i="24"/>
  <c r="I1046" i="24"/>
  <c r="M1329" i="24"/>
  <c r="M459" i="24"/>
  <c r="B1652" i="24"/>
  <c r="I451" i="24"/>
  <c r="M390" i="24"/>
  <c r="I1369" i="24"/>
  <c r="M1849" i="24"/>
  <c r="I1739" i="24"/>
  <c r="M1490" i="24"/>
  <c r="B1449" i="24"/>
  <c r="H730" i="24"/>
  <c r="H1558" i="24"/>
  <c r="H1569" i="24"/>
  <c r="I750" i="24"/>
  <c r="D1485" i="24"/>
  <c r="D1003" i="24"/>
  <c r="I1683" i="24"/>
  <c r="M1210" i="24"/>
  <c r="M1214" i="24"/>
  <c r="M1586" i="24"/>
  <c r="D1445" i="24"/>
  <c r="B922" i="24"/>
  <c r="H211" i="24"/>
  <c r="D1367" i="24"/>
  <c r="M55" i="24"/>
  <c r="H1866" i="24"/>
  <c r="H1576" i="24"/>
  <c r="M1224" i="24"/>
  <c r="M1176" i="24"/>
  <c r="M925" i="24"/>
  <c r="M310" i="24"/>
  <c r="M543" i="24"/>
  <c r="I1346" i="24"/>
  <c r="I1685" i="24"/>
  <c r="M887" i="24"/>
  <c r="H908" i="24"/>
  <c r="M470" i="24"/>
  <c r="I1454" i="24"/>
  <c r="D1484" i="24"/>
  <c r="M1034" i="24"/>
  <c r="H1739" i="24"/>
  <c r="I1420" i="24"/>
  <c r="H82" i="24"/>
  <c r="M1487" i="24"/>
  <c r="M1400" i="24"/>
  <c r="D1735" i="24"/>
  <c r="B1494" i="24"/>
  <c r="I1401" i="24"/>
  <c r="F606" i="24" l="1"/>
  <c r="G606" i="24" s="1"/>
  <c r="E606" i="24"/>
  <c r="E1429" i="24"/>
  <c r="F1429" i="24"/>
  <c r="G1429" i="24" s="1"/>
  <c r="F1770" i="24"/>
  <c r="E1770" i="24"/>
  <c r="F1251" i="24"/>
  <c r="G1251" i="24" s="1"/>
  <c r="E1251" i="24"/>
  <c r="E1399" i="24"/>
  <c r="F1399" i="24"/>
  <c r="G1399" i="24" s="1"/>
  <c r="F1003" i="24"/>
  <c r="E1003" i="24"/>
  <c r="G1003" i="24" s="1"/>
  <c r="F1859" i="24"/>
  <c r="E1859" i="24"/>
  <c r="G1859" i="24"/>
  <c r="F1765" i="24"/>
  <c r="G1765" i="24" s="1"/>
  <c r="E1765" i="24"/>
  <c r="F1484" i="24"/>
  <c r="G1484" i="24" s="1"/>
  <c r="E1484" i="24"/>
  <c r="F1485" i="24"/>
  <c r="E1485" i="24"/>
  <c r="G1485" i="24" s="1"/>
  <c r="E1015" i="24"/>
  <c r="G1015" i="24" s="1"/>
  <c r="F1015" i="24"/>
  <c r="E1835" i="24"/>
  <c r="F1835" i="24"/>
  <c r="G1835" i="24" s="1"/>
  <c r="F988" i="24"/>
  <c r="G988" i="24" s="1"/>
  <c r="E988" i="24"/>
  <c r="F1367" i="24"/>
  <c r="E1367" i="24"/>
  <c r="G1367" i="24"/>
  <c r="E1530" i="24"/>
  <c r="F1530" i="24"/>
  <c r="G1530" i="24" s="1"/>
  <c r="E1540" i="24"/>
  <c r="F1540" i="24"/>
  <c r="G1540" i="24" s="1"/>
  <c r="E590" i="24"/>
  <c r="F590" i="24"/>
  <c r="G590" i="24" s="1"/>
  <c r="F119" i="24"/>
  <c r="G119" i="24" s="1"/>
  <c r="E119" i="24"/>
  <c r="E790" i="24"/>
  <c r="G790" i="24" s="1"/>
  <c r="F790" i="24"/>
  <c r="E1734" i="24"/>
  <c r="F1734" i="24"/>
  <c r="F1609" i="24"/>
  <c r="E1609" i="24"/>
  <c r="G1609" i="24" s="1"/>
  <c r="F995" i="24"/>
  <c r="G995" i="24" s="1"/>
  <c r="E995" i="24"/>
  <c r="E1753" i="24"/>
  <c r="F1753" i="24"/>
  <c r="F1350" i="24"/>
  <c r="G1350" i="24" s="1"/>
  <c r="E1350" i="24"/>
  <c r="G1633" i="24"/>
  <c r="F1633" i="24"/>
  <c r="E1633" i="24"/>
  <c r="E1834" i="24"/>
  <c r="F1834" i="24"/>
  <c r="G1834" i="24"/>
  <c r="G1315" i="24"/>
  <c r="F1315" i="24"/>
  <c r="E1315" i="24"/>
  <c r="F1219" i="24"/>
  <c r="G1219" i="24" s="1"/>
  <c r="E1219" i="24"/>
  <c r="F1372" i="24"/>
  <c r="G1372" i="24" s="1"/>
  <c r="E1372" i="24"/>
  <c r="E236" i="24"/>
  <c r="F236" i="24"/>
  <c r="G236" i="24"/>
  <c r="E427" i="24"/>
  <c r="F427" i="24"/>
  <c r="E1824" i="24"/>
  <c r="F1824" i="24"/>
  <c r="E1623" i="24"/>
  <c r="F1623" i="24"/>
  <c r="G1623" i="24"/>
  <c r="E1391" i="24"/>
  <c r="F1391" i="24"/>
  <c r="G1391" i="24" s="1"/>
  <c r="F1533" i="24"/>
  <c r="E1533" i="24"/>
  <c r="E1146" i="24"/>
  <c r="F1146" i="24"/>
  <c r="E15" i="24"/>
  <c r="F15" i="24"/>
  <c r="G15" i="24" s="1"/>
  <c r="E1582" i="24"/>
  <c r="F1582" i="24"/>
  <c r="G1582" i="24" s="1"/>
  <c r="E1639" i="24"/>
  <c r="G1639" i="24" s="1"/>
  <c r="F1639" i="24"/>
  <c r="F228" i="24"/>
  <c r="G228" i="24" s="1"/>
  <c r="E228" i="24"/>
  <c r="F65" i="24"/>
  <c r="G65" i="24" s="1"/>
  <c r="E65" i="24"/>
  <c r="F1178" i="24"/>
  <c r="E1178" i="24"/>
  <c r="G1178" i="24" s="1"/>
  <c r="F362" i="24"/>
  <c r="G362" i="24" s="1"/>
  <c r="E362" i="24"/>
  <c r="E1525" i="24"/>
  <c r="F1525" i="24"/>
  <c r="G1525" i="24" s="1"/>
  <c r="F360" i="24"/>
  <c r="G360" i="24" s="1"/>
  <c r="E360" i="24"/>
  <c r="F800" i="24"/>
  <c r="E800" i="24"/>
  <c r="G800" i="24"/>
  <c r="F908" i="24"/>
  <c r="G908" i="24" s="1"/>
  <c r="E908" i="24"/>
  <c r="E363" i="24"/>
  <c r="F363" i="24"/>
  <c r="G363" i="24"/>
  <c r="E868" i="24"/>
  <c r="F868" i="24"/>
  <c r="F1142" i="24"/>
  <c r="G1142" i="24" s="1"/>
  <c r="E1142" i="24"/>
  <c r="E1653" i="24"/>
  <c r="G1653" i="24" s="1"/>
  <c r="F1653" i="24"/>
  <c r="E1491" i="24"/>
  <c r="G1491" i="24" s="1"/>
  <c r="F1491" i="24"/>
  <c r="F622" i="24"/>
  <c r="G622" i="24" s="1"/>
  <c r="E622" i="24"/>
  <c r="F1718" i="24"/>
  <c r="G1718" i="24" s="1"/>
  <c r="E1718" i="24"/>
  <c r="E757" i="24"/>
  <c r="F757" i="24"/>
  <c r="G757" i="24" s="1"/>
  <c r="E1477" i="24"/>
  <c r="F1477" i="24"/>
  <c r="G1477" i="24" s="1"/>
  <c r="E1413" i="24"/>
  <c r="F1413" i="24"/>
  <c r="G1413" i="24"/>
  <c r="F811" i="24"/>
  <c r="G811" i="24" s="1"/>
  <c r="E811" i="24"/>
  <c r="E1627" i="24"/>
  <c r="F1627" i="24"/>
  <c r="F1207" i="24"/>
  <c r="E1207" i="24"/>
  <c r="G1207" i="24"/>
  <c r="E317" i="24"/>
  <c r="F317" i="24"/>
  <c r="G317" i="24" s="1"/>
  <c r="F720" i="24"/>
  <c r="G720" i="24" s="1"/>
  <c r="E720" i="24"/>
  <c r="E1595" i="24"/>
  <c r="F1595" i="24"/>
  <c r="F188" i="24"/>
  <c r="E188" i="24"/>
  <c r="G188" i="24"/>
  <c r="F535" i="24"/>
  <c r="G535" i="24" s="1"/>
  <c r="E535" i="24"/>
  <c r="E381" i="24"/>
  <c r="F381" i="24"/>
  <c r="G381" i="24"/>
  <c r="F39" i="24"/>
  <c r="G39" i="24" s="1"/>
  <c r="E39" i="24"/>
  <c r="F348" i="24"/>
  <c r="G348" i="24" s="1"/>
  <c r="E348" i="24"/>
  <c r="E1066" i="24"/>
  <c r="F1066" i="24"/>
  <c r="G1066" i="24"/>
  <c r="F1598" i="24"/>
  <c r="E1598" i="24"/>
  <c r="F982" i="24"/>
  <c r="G982" i="24" s="1"/>
  <c r="E982" i="24"/>
  <c r="E183" i="24"/>
  <c r="F183" i="24"/>
  <c r="F1341" i="24"/>
  <c r="G1341" i="24" s="1"/>
  <c r="E1341" i="24"/>
  <c r="F1570" i="24"/>
  <c r="E1570" i="24"/>
  <c r="G1570" i="24"/>
  <c r="E886" i="24"/>
  <c r="F886" i="24"/>
  <c r="G886" i="24" s="1"/>
  <c r="E1809" i="24"/>
  <c r="F1809" i="24"/>
  <c r="G1809" i="24" s="1"/>
  <c r="F1853" i="24"/>
  <c r="E1853" i="24"/>
  <c r="F1022" i="24"/>
  <c r="G1022" i="24" s="1"/>
  <c r="E1022" i="24"/>
  <c r="F1741" i="24"/>
  <c r="E1741" i="24"/>
  <c r="G1741" i="24"/>
  <c r="F743" i="24"/>
  <c r="E743" i="24"/>
  <c r="G743" i="24" s="1"/>
  <c r="E1031" i="24"/>
  <c r="G1031" i="24" s="1"/>
  <c r="F1031" i="24"/>
  <c r="F1760" i="24"/>
  <c r="E1760" i="24"/>
  <c r="G1760" i="24" s="1"/>
  <c r="F1112" i="24"/>
  <c r="E1112" i="24"/>
  <c r="E379" i="24"/>
  <c r="F379" i="24"/>
  <c r="G379" i="24" s="1"/>
  <c r="E672" i="24"/>
  <c r="F672" i="24"/>
  <c r="G672" i="24" s="1"/>
  <c r="F956" i="24"/>
  <c r="G956" i="24" s="1"/>
  <c r="E956" i="24"/>
  <c r="F332" i="24"/>
  <c r="E332" i="24"/>
  <c r="G332" i="24"/>
  <c r="E1317" i="24"/>
  <c r="F1317" i="24"/>
  <c r="G1317" i="24" s="1"/>
  <c r="F21" i="24"/>
  <c r="G21" i="24" s="1"/>
  <c r="E21" i="24"/>
  <c r="E226" i="24"/>
  <c r="F226" i="24"/>
  <c r="G226" i="24" s="1"/>
  <c r="F1011" i="24"/>
  <c r="G1011" i="24" s="1"/>
  <c r="E1011" i="24"/>
  <c r="F1225" i="24"/>
  <c r="E1225" i="24"/>
  <c r="G1225" i="24" s="1"/>
  <c r="F778" i="24"/>
  <c r="E778" i="24"/>
  <c r="F1215" i="24"/>
  <c r="E1215" i="24"/>
  <c r="G1215" i="24" s="1"/>
  <c r="E471" i="24"/>
  <c r="G471" i="24" s="1"/>
  <c r="F471" i="24"/>
  <c r="F1035" i="24"/>
  <c r="G1035" i="24" s="1"/>
  <c r="E1035" i="24"/>
  <c r="E706" i="24"/>
  <c r="F706" i="24"/>
  <c r="G706" i="24"/>
  <c r="E210" i="24"/>
  <c r="F210" i="24"/>
  <c r="G210" i="24" s="1"/>
  <c r="F374" i="24"/>
  <c r="G374" i="24" s="1"/>
  <c r="E374" i="24"/>
  <c r="F1578" i="24"/>
  <c r="E1578" i="24"/>
  <c r="G1578" i="24" s="1"/>
  <c r="E1368" i="24"/>
  <c r="F1368" i="24"/>
  <c r="G1368" i="24" s="1"/>
  <c r="E160" i="24"/>
  <c r="F160" i="24"/>
  <c r="G160" i="24" s="1"/>
  <c r="F1893" i="24"/>
  <c r="E1893" i="24"/>
  <c r="G1893" i="24"/>
  <c r="E639" i="24"/>
  <c r="F639" i="24"/>
  <c r="E69" i="24"/>
  <c r="F69" i="24"/>
  <c r="G69" i="24" s="1"/>
  <c r="E239" i="24"/>
  <c r="F239" i="24"/>
  <c r="G239" i="24" s="1"/>
  <c r="F564" i="24"/>
  <c r="G564" i="24" s="1"/>
  <c r="E564" i="24"/>
  <c r="E1397" i="24"/>
  <c r="F1397" i="24"/>
  <c r="G1397" i="24" s="1"/>
  <c r="E1201" i="24"/>
  <c r="F1201" i="24"/>
  <c r="G1201" i="24"/>
  <c r="E438" i="24"/>
  <c r="F438" i="24"/>
  <c r="G438" i="24" s="1"/>
  <c r="F1390" i="24"/>
  <c r="G1390" i="24" s="1"/>
  <c r="E1390" i="24"/>
  <c r="E1240" i="24"/>
  <c r="F1240" i="24"/>
  <c r="G1240" i="24"/>
  <c r="F727" i="24"/>
  <c r="G727" i="24" s="1"/>
  <c r="E727" i="24"/>
  <c r="F1426" i="24"/>
  <c r="E1426" i="24"/>
  <c r="F1520" i="24"/>
  <c r="E1520" i="24"/>
  <c r="G1520" i="24"/>
  <c r="F1123" i="24"/>
  <c r="E1123" i="24"/>
  <c r="G1123" i="24" s="1"/>
  <c r="E1805" i="24"/>
  <c r="G1805" i="24" s="1"/>
  <c r="F1805" i="24"/>
  <c r="E307" i="24"/>
  <c r="F307" i="24"/>
  <c r="G307" i="24" s="1"/>
  <c r="E121" i="24"/>
  <c r="F121" i="24"/>
  <c r="G121" i="24"/>
  <c r="E937" i="24"/>
  <c r="F937" i="24"/>
  <c r="G937" i="24" s="1"/>
  <c r="E400" i="24"/>
  <c r="F400" i="24"/>
  <c r="G400" i="24" s="1"/>
  <c r="E327" i="24"/>
  <c r="F327" i="24"/>
  <c r="G327" i="24" s="1"/>
  <c r="E543" i="24"/>
  <c r="G543" i="24" s="1"/>
  <c r="F543" i="24"/>
  <c r="E723" i="24"/>
  <c r="F723" i="24"/>
  <c r="G723" i="24" s="1"/>
  <c r="E1786" i="24"/>
  <c r="F1786" i="24"/>
  <c r="E782" i="24"/>
  <c r="G782" i="24" s="1"/>
  <c r="F782" i="24"/>
  <c r="F6" i="24"/>
  <c r="E6" i="24"/>
  <c r="F1276" i="24"/>
  <c r="G1276" i="24" s="1"/>
  <c r="E1276" i="24"/>
  <c r="E741" i="24"/>
  <c r="F741" i="24"/>
  <c r="G741" i="24" s="1"/>
  <c r="F1806" i="24"/>
  <c r="E1806" i="24"/>
  <c r="G1806" i="24"/>
  <c r="E1626" i="24"/>
  <c r="F1626" i="24"/>
  <c r="G1626" i="24" s="1"/>
  <c r="F311" i="24"/>
  <c r="G311" i="24" s="1"/>
  <c r="E311" i="24"/>
  <c r="F138" i="24"/>
  <c r="G138" i="24" s="1"/>
  <c r="E138" i="24"/>
  <c r="E1299" i="24"/>
  <c r="G1299" i="24" s="1"/>
  <c r="F1299" i="24"/>
  <c r="F803" i="24"/>
  <c r="G803" i="24" s="1"/>
  <c r="E803" i="24"/>
  <c r="E1708" i="24"/>
  <c r="F1708" i="24"/>
  <c r="E324" i="24"/>
  <c r="G324" i="24" s="1"/>
  <c r="F324" i="24"/>
  <c r="F585" i="24"/>
  <c r="G585" i="24" s="1"/>
  <c r="E585" i="24"/>
  <c r="E1337" i="24"/>
  <c r="G1337" i="24" s="1"/>
  <c r="F1337" i="24"/>
  <c r="E259" i="24"/>
  <c r="F259" i="24"/>
  <c r="G259" i="24" s="1"/>
  <c r="F1233" i="24"/>
  <c r="E1233" i="24"/>
  <c r="E640" i="24"/>
  <c r="F640" i="24"/>
  <c r="E1179" i="24"/>
  <c r="F1179" i="24"/>
  <c r="G1179" i="24" s="1"/>
  <c r="F1311" i="24"/>
  <c r="E1311" i="24"/>
  <c r="G1311" i="24" s="1"/>
  <c r="F1418" i="24"/>
  <c r="G1418" i="24" s="1"/>
  <c r="E1418" i="24"/>
  <c r="E1181" i="24"/>
  <c r="F1181" i="24"/>
  <c r="G1181" i="24" s="1"/>
  <c r="F979" i="24"/>
  <c r="E979" i="24"/>
  <c r="E1212" i="24"/>
  <c r="G1212" i="24" s="1"/>
  <c r="F1212" i="24"/>
  <c r="F389" i="24"/>
  <c r="G389" i="24" s="1"/>
  <c r="E389" i="24"/>
  <c r="E74" i="24"/>
  <c r="F74" i="24"/>
  <c r="G74" i="24"/>
  <c r="F1277" i="24"/>
  <c r="E1277" i="24"/>
  <c r="G1277" i="24" s="1"/>
  <c r="F351" i="24"/>
  <c r="E351" i="24"/>
  <c r="E901" i="24"/>
  <c r="F901" i="24"/>
  <c r="G901" i="24"/>
  <c r="E299" i="24"/>
  <c r="F299" i="24"/>
  <c r="G299" i="24" s="1"/>
  <c r="F34" i="24"/>
  <c r="G34" i="24" s="1"/>
  <c r="E34" i="24"/>
  <c r="E1302" i="24"/>
  <c r="F1302" i="24"/>
  <c r="G1302" i="24" s="1"/>
  <c r="E1061" i="24"/>
  <c r="F1061" i="24"/>
  <c r="G1061" i="24"/>
  <c r="F131" i="24"/>
  <c r="G131" i="24" s="1"/>
  <c r="E131" i="24"/>
  <c r="F2" i="24"/>
  <c r="G2" i="24" s="1"/>
  <c r="E2" i="24"/>
  <c r="F737" i="24"/>
  <c r="G737" i="24" s="1"/>
  <c r="E737" i="24"/>
  <c r="E465" i="24"/>
  <c r="F465" i="24"/>
  <c r="G465" i="24"/>
  <c r="F1196" i="24"/>
  <c r="G1196" i="24" s="1"/>
  <c r="E1196" i="24"/>
  <c r="F1033" i="24"/>
  <c r="G1033" i="24" s="1"/>
  <c r="E1033" i="24"/>
  <c r="E548" i="24"/>
  <c r="F548" i="24"/>
  <c r="G548" i="24" s="1"/>
  <c r="F1136" i="24"/>
  <c r="E1136" i="24"/>
  <c r="G1136" i="24" s="1"/>
  <c r="E1343" i="24"/>
  <c r="F1343" i="24"/>
  <c r="G1343" i="24" s="1"/>
  <c r="F702" i="24"/>
  <c r="E702" i="24"/>
  <c r="E524" i="24"/>
  <c r="F524" i="24"/>
  <c r="G524" i="24" s="1"/>
  <c r="F812" i="24"/>
  <c r="E812" i="24"/>
  <c r="E852" i="24"/>
  <c r="F852" i="24"/>
  <c r="G852" i="24" s="1"/>
  <c r="E577" i="24"/>
  <c r="F577" i="24"/>
  <c r="G577" i="24" s="1"/>
  <c r="E436" i="24"/>
  <c r="F436" i="24"/>
  <c r="F328" i="24"/>
  <c r="G328" i="24" s="1"/>
  <c r="E328" i="24"/>
  <c r="E549" i="24"/>
  <c r="F549" i="24"/>
  <c r="E518" i="24"/>
  <c r="G518" i="24" s="1"/>
  <c r="F518" i="24"/>
  <c r="F1077" i="24"/>
  <c r="E1077" i="24"/>
  <c r="G1077" i="24" s="1"/>
  <c r="E1899" i="24"/>
  <c r="F1899" i="24"/>
  <c r="F739" i="24"/>
  <c r="G739" i="24" s="1"/>
  <c r="E739" i="24"/>
  <c r="F98" i="24"/>
  <c r="E98" i="24"/>
  <c r="F1882" i="24"/>
  <c r="E1882" i="24"/>
  <c r="G1882" i="24" s="1"/>
  <c r="E1690" i="24"/>
  <c r="G1690" i="24" s="1"/>
  <c r="F1690" i="24"/>
  <c r="F1829" i="24"/>
  <c r="G1829" i="24" s="1"/>
  <c r="E1829" i="24"/>
  <c r="F1698" i="24"/>
  <c r="E1698" i="24"/>
  <c r="G1698" i="24"/>
  <c r="E1883" i="24"/>
  <c r="F1883" i="24"/>
  <c r="G1883" i="24" s="1"/>
  <c r="E371" i="24"/>
  <c r="F371" i="24"/>
  <c r="F235" i="24"/>
  <c r="G235" i="24" s="1"/>
  <c r="E235" i="24"/>
  <c r="E342" i="24"/>
  <c r="F342" i="24"/>
  <c r="F805" i="24"/>
  <c r="E805" i="24"/>
  <c r="G805" i="24"/>
  <c r="F1532" i="24"/>
  <c r="E1532" i="24"/>
  <c r="G1532" i="24" s="1"/>
  <c r="E1685" i="24"/>
  <c r="G1685" i="24" s="1"/>
  <c r="F1685" i="24"/>
  <c r="F1435" i="24"/>
  <c r="G1435" i="24" s="1"/>
  <c r="E1435" i="24"/>
  <c r="E1675" i="24"/>
  <c r="G1675" i="24" s="1"/>
  <c r="F1675" i="24"/>
  <c r="F325" i="24"/>
  <c r="G325" i="24" s="1"/>
  <c r="E325" i="24"/>
  <c r="F1365" i="24"/>
  <c r="E1365" i="24"/>
  <c r="G1365" i="24" s="1"/>
  <c r="F411" i="24"/>
  <c r="E411" i="24"/>
  <c r="G411" i="24"/>
  <c r="F355" i="24"/>
  <c r="E355" i="24"/>
  <c r="G355" i="24" s="1"/>
  <c r="F1801" i="24"/>
  <c r="G1801" i="24" s="1"/>
  <c r="E1801" i="24"/>
  <c r="E1660" i="24"/>
  <c r="F1660" i="24"/>
  <c r="G1660" i="24" s="1"/>
  <c r="F181" i="24"/>
  <c r="E181" i="24"/>
  <c r="G181" i="24"/>
  <c r="E1316" i="24"/>
  <c r="F1316" i="24"/>
  <c r="G1316" i="24" s="1"/>
  <c r="F212" i="24"/>
  <c r="G212" i="24" s="1"/>
  <c r="E212" i="24"/>
  <c r="E1539" i="24"/>
  <c r="F1539" i="24"/>
  <c r="G1539" i="24" s="1"/>
  <c r="E673" i="24"/>
  <c r="G673" i="24" s="1"/>
  <c r="F673" i="24"/>
  <c r="E1703" i="24"/>
  <c r="G1703" i="24" s="1"/>
  <c r="F1703" i="24"/>
  <c r="F1324" i="24"/>
  <c r="E1324" i="24"/>
  <c r="G1324" i="24" s="1"/>
  <c r="F1519" i="24"/>
  <c r="E1519" i="24"/>
  <c r="G1519" i="24" s="1"/>
  <c r="E996" i="24"/>
  <c r="F996" i="24"/>
  <c r="G996" i="24" s="1"/>
  <c r="F1823" i="24"/>
  <c r="E1823" i="24"/>
  <c r="G1823" i="24"/>
  <c r="F1420" i="24"/>
  <c r="E1420" i="24"/>
  <c r="G1420" i="24" s="1"/>
  <c r="F413" i="24"/>
  <c r="G413" i="24" s="1"/>
  <c r="E413" i="24"/>
  <c r="F705" i="24"/>
  <c r="E705" i="24"/>
  <c r="F1652" i="24"/>
  <c r="G1652" i="24" s="1"/>
  <c r="E1652" i="24"/>
  <c r="E990" i="24"/>
  <c r="F990" i="24"/>
  <c r="G990" i="24" s="1"/>
  <c r="F1456" i="24"/>
  <c r="E1456" i="24"/>
  <c r="G1456" i="24"/>
  <c r="F791" i="24"/>
  <c r="E791" i="24"/>
  <c r="G791" i="24" s="1"/>
  <c r="F284" i="24"/>
  <c r="E284" i="24"/>
  <c r="G284" i="24" s="1"/>
  <c r="F1481" i="24"/>
  <c r="G1481" i="24" s="1"/>
  <c r="E1481" i="24"/>
  <c r="E910" i="24"/>
  <c r="G910" i="24" s="1"/>
  <c r="F910" i="24"/>
  <c r="F1100" i="24"/>
  <c r="G1100" i="24" s="1"/>
  <c r="E1100" i="24"/>
  <c r="E821" i="24"/>
  <c r="F821" i="24"/>
  <c r="E1408" i="24"/>
  <c r="F1408" i="24"/>
  <c r="G1408" i="24"/>
  <c r="E1864" i="24"/>
  <c r="F1864" i="24"/>
  <c r="G1864" i="24" s="1"/>
  <c r="E593" i="24"/>
  <c r="G593" i="24" s="1"/>
  <c r="F593" i="24"/>
  <c r="F1455" i="24"/>
  <c r="G1455" i="24" s="1"/>
  <c r="E1455" i="24"/>
  <c r="E370" i="24"/>
  <c r="F370" i="24"/>
  <c r="G370" i="24" s="1"/>
  <c r="E1135" i="24"/>
  <c r="F1135" i="24"/>
  <c r="G1135" i="24" s="1"/>
  <c r="G619" i="24"/>
  <c r="F619" i="24"/>
  <c r="E619" i="24"/>
  <c r="F768" i="24"/>
  <c r="G768" i="24" s="1"/>
  <c r="E768" i="24"/>
  <c r="F1394" i="24"/>
  <c r="E1394" i="24"/>
  <c r="G1394" i="24"/>
  <c r="F1422" i="24"/>
  <c r="G1422" i="24" s="1"/>
  <c r="E1422" i="24"/>
  <c r="E399" i="24"/>
  <c r="F399" i="24"/>
  <c r="E477" i="24"/>
  <c r="F477" i="24"/>
  <c r="G477" i="24"/>
  <c r="F441" i="24"/>
  <c r="E441" i="24"/>
  <c r="G441" i="24" s="1"/>
  <c r="E13" i="24"/>
  <c r="G13" i="24" s="1"/>
  <c r="F13" i="24"/>
  <c r="E423" i="24"/>
  <c r="F423" i="24"/>
  <c r="G423" i="24" s="1"/>
  <c r="E1472" i="24"/>
  <c r="F1472" i="24"/>
  <c r="F10" i="24"/>
  <c r="E10" i="24"/>
  <c r="E1089" i="24"/>
  <c r="F1089" i="24"/>
  <c r="G1089" i="24" s="1"/>
  <c r="F331" i="24"/>
  <c r="G331" i="24" s="1"/>
  <c r="E331" i="24"/>
  <c r="E527" i="24"/>
  <c r="G527" i="24" s="1"/>
  <c r="F527" i="24"/>
  <c r="F14" i="24"/>
  <c r="G14" i="24" s="1"/>
  <c r="E14" i="24"/>
  <c r="F634" i="24"/>
  <c r="E634" i="24"/>
  <c r="F1398" i="24"/>
  <c r="G1398" i="24" s="1"/>
  <c r="E1398" i="24"/>
  <c r="E263" i="24"/>
  <c r="F263" i="24"/>
  <c r="G263" i="24" s="1"/>
  <c r="E1637" i="24"/>
  <c r="F1637" i="24"/>
  <c r="G1637" i="24" s="1"/>
  <c r="E359" i="24"/>
  <c r="F359" i="24"/>
  <c r="G359" i="24" s="1"/>
  <c r="F1271" i="24"/>
  <c r="E1271" i="24"/>
  <c r="E935" i="24"/>
  <c r="F935" i="24"/>
  <c r="G935" i="24" s="1"/>
  <c r="E407" i="24"/>
  <c r="G407" i="24" s="1"/>
  <c r="F407" i="24"/>
  <c r="E977" i="24"/>
  <c r="F977" i="24"/>
  <c r="G977" i="24" s="1"/>
  <c r="F1151" i="24"/>
  <c r="E1151" i="24"/>
  <c r="G1151" i="24" s="1"/>
  <c r="E24" i="24"/>
  <c r="F24" i="24"/>
  <c r="G24" i="24" s="1"/>
  <c r="E79" i="24"/>
  <c r="F79" i="24"/>
  <c r="G79" i="24"/>
  <c r="E1396" i="24"/>
  <c r="F1396" i="24"/>
  <c r="G1396" i="24" s="1"/>
  <c r="E1325" i="24"/>
  <c r="G1325" i="24" s="1"/>
  <c r="F1325" i="24"/>
  <c r="F179" i="24"/>
  <c r="E179" i="24"/>
  <c r="G179" i="24" s="1"/>
  <c r="E369" i="24"/>
  <c r="F369" i="24"/>
  <c r="F865" i="24"/>
  <c r="G865" i="24" s="1"/>
  <c r="E865" i="24"/>
  <c r="F1458" i="24"/>
  <c r="G1458" i="24" s="1"/>
  <c r="E1458" i="24"/>
  <c r="F1024" i="24"/>
  <c r="E1024" i="24"/>
  <c r="G1024" i="24"/>
  <c r="F279" i="24"/>
  <c r="G279" i="24" s="1"/>
  <c r="E279" i="24"/>
  <c r="E1680" i="24"/>
  <c r="F1680" i="24"/>
  <c r="E1145" i="24"/>
  <c r="G1145" i="24" s="1"/>
  <c r="F1145" i="24"/>
  <c r="F1402" i="24"/>
  <c r="G1402" i="24" s="1"/>
  <c r="E1402" i="24"/>
  <c r="F1378" i="24"/>
  <c r="E1378" i="24"/>
  <c r="G1378" i="24" s="1"/>
  <c r="F1376" i="24"/>
  <c r="E1376" i="24"/>
  <c r="G1376" i="24"/>
  <c r="F490" i="24"/>
  <c r="E490" i="24"/>
  <c r="G490" i="24" s="1"/>
  <c r="F1153" i="24"/>
  <c r="G1153" i="24" s="1"/>
  <c r="E1153" i="24"/>
  <c r="E658" i="24"/>
  <c r="F658" i="24"/>
  <c r="G658" i="24"/>
  <c r="E1267" i="24"/>
  <c r="F1267" i="24"/>
  <c r="G1267" i="24" s="1"/>
  <c r="F344" i="24"/>
  <c r="G344" i="24" s="1"/>
  <c r="E344" i="24"/>
  <c r="F613" i="24"/>
  <c r="G613" i="24" s="1"/>
  <c r="E613" i="24"/>
  <c r="F1209" i="24"/>
  <c r="G1209" i="24" s="1"/>
  <c r="E1209" i="24"/>
  <c r="E1336" i="24"/>
  <c r="F1336" i="24"/>
  <c r="G1336" i="24" s="1"/>
  <c r="F1021" i="24"/>
  <c r="E1021" i="24"/>
  <c r="G1021" i="24"/>
  <c r="F916" i="24"/>
  <c r="E916" i="24"/>
  <c r="G916" i="24" s="1"/>
  <c r="E1830" i="24"/>
  <c r="F1830" i="24"/>
  <c r="G1830" i="24" s="1"/>
  <c r="E242" i="24"/>
  <c r="F242" i="24"/>
  <c r="F334" i="24"/>
  <c r="G334" i="24" s="1"/>
  <c r="E334" i="24"/>
  <c r="F1148" i="24"/>
  <c r="G1148" i="24" s="1"/>
  <c r="E1148" i="24"/>
  <c r="F893" i="24"/>
  <c r="E893" i="24"/>
  <c r="E728" i="24"/>
  <c r="F728" i="24"/>
  <c r="F517" i="24"/>
  <c r="E517" i="24"/>
  <c r="E1728" i="24"/>
  <c r="F1728" i="24"/>
  <c r="E1713" i="24"/>
  <c r="F1713" i="24"/>
  <c r="G1713" i="24"/>
  <c r="F267" i="24"/>
  <c r="E267" i="24"/>
  <c r="G267" i="24" s="1"/>
  <c r="E1349" i="24"/>
  <c r="G1349" i="24" s="1"/>
  <c r="F1349" i="24"/>
  <c r="F1436" i="24"/>
  <c r="E1436" i="24"/>
  <c r="G1436" i="24" s="1"/>
  <c r="E412" i="24"/>
  <c r="F412" i="24"/>
  <c r="G412" i="24" s="1"/>
  <c r="E154" i="24"/>
  <c r="F154" i="24"/>
  <c r="G154" i="24" s="1"/>
  <c r="F679" i="24"/>
  <c r="E679" i="24"/>
  <c r="G679" i="24" s="1"/>
  <c r="F1717" i="24"/>
  <c r="E1717" i="24"/>
  <c r="F974" i="24"/>
  <c r="E974" i="24"/>
  <c r="G974" i="24"/>
  <c r="E1204" i="24"/>
  <c r="F1204" i="24"/>
  <c r="G1204" i="24" s="1"/>
  <c r="F1783" i="24"/>
  <c r="G1783" i="24" s="1"/>
  <c r="E1783" i="24"/>
  <c r="E1841" i="24"/>
  <c r="F1841" i="24"/>
  <c r="E1474" i="24"/>
  <c r="F1474" i="24"/>
  <c r="E615" i="24"/>
  <c r="F615" i="24"/>
  <c r="G615" i="24"/>
  <c r="E1534" i="24"/>
  <c r="F1534" i="24"/>
  <c r="G1534" i="24" s="1"/>
  <c r="F648" i="24"/>
  <c r="G648" i="24" s="1"/>
  <c r="E648" i="24"/>
  <c r="E1164" i="24"/>
  <c r="F1164" i="24"/>
  <c r="G1164" i="24"/>
  <c r="F889" i="24"/>
  <c r="E889" i="24"/>
  <c r="G889" i="24" s="1"/>
  <c r="E971" i="24"/>
  <c r="G971" i="24" s="1"/>
  <c r="F971" i="24"/>
  <c r="F526" i="24"/>
  <c r="G526" i="24" s="1"/>
  <c r="E526" i="24"/>
  <c r="E783" i="24"/>
  <c r="F783" i="24"/>
  <c r="F975" i="24"/>
  <c r="G975" i="24" s="1"/>
  <c r="E975" i="24"/>
  <c r="F29" i="24"/>
  <c r="E29" i="24"/>
  <c r="G29" i="24" s="1"/>
  <c r="E391" i="24"/>
  <c r="F391" i="24"/>
  <c r="E1575" i="24"/>
  <c r="F1575" i="24"/>
  <c r="F224" i="24"/>
  <c r="E224" i="24"/>
  <c r="G224" i="24"/>
  <c r="F64" i="24"/>
  <c r="E64" i="24"/>
  <c r="E219" i="24"/>
  <c r="F219" i="24"/>
  <c r="G219" i="24" s="1"/>
  <c r="F1464" i="24"/>
  <c r="E1464" i="24"/>
  <c r="G1464" i="24"/>
  <c r="F1459" i="24"/>
  <c r="E1459" i="24"/>
  <c r="G1459" i="24" s="1"/>
  <c r="F191" i="24"/>
  <c r="G191" i="24" s="1"/>
  <c r="E191" i="24"/>
  <c r="E146" i="24"/>
  <c r="F146" i="24"/>
  <c r="G146" i="24" s="1"/>
  <c r="E715" i="24"/>
  <c r="F715" i="24"/>
  <c r="G715" i="24"/>
  <c r="E1334" i="24"/>
  <c r="F1334" i="24"/>
  <c r="G1334" i="24" s="1"/>
  <c r="F984" i="24"/>
  <c r="E984" i="24"/>
  <c r="F346" i="24"/>
  <c r="E346" i="24"/>
  <c r="G346" i="24"/>
  <c r="E542" i="24"/>
  <c r="F542" i="24"/>
  <c r="G542" i="24" s="1"/>
  <c r="E565" i="24"/>
  <c r="F565" i="24"/>
  <c r="E913" i="24"/>
  <c r="F913" i="24"/>
  <c r="F194" i="24"/>
  <c r="G194" i="24" s="1"/>
  <c r="E194" i="24"/>
  <c r="F147" i="24"/>
  <c r="E147" i="24"/>
  <c r="G147" i="24" s="1"/>
  <c r="E125" i="24"/>
  <c r="F125" i="24"/>
  <c r="G125" i="24"/>
  <c r="E557" i="24"/>
  <c r="F557" i="24"/>
  <c r="G557" i="24" s="1"/>
  <c r="E1208" i="24"/>
  <c r="F1208" i="24"/>
  <c r="F698" i="24"/>
  <c r="E698" i="24"/>
  <c r="G698" i="24"/>
  <c r="E1339" i="24"/>
  <c r="F1339" i="24"/>
  <c r="G1339" i="24" s="1"/>
  <c r="E1345" i="24"/>
  <c r="G1345" i="24" s="1"/>
  <c r="F1345" i="24"/>
  <c r="E482" i="24"/>
  <c r="F482" i="24"/>
  <c r="G482" i="24" s="1"/>
  <c r="F1051" i="24"/>
  <c r="G1051" i="24" s="1"/>
  <c r="E1051" i="24"/>
  <c r="F184" i="24"/>
  <c r="G184" i="24" s="1"/>
  <c r="E184" i="24"/>
  <c r="E60" i="24"/>
  <c r="F60" i="24"/>
  <c r="G60" i="24" s="1"/>
  <c r="E696" i="24"/>
  <c r="F696" i="24"/>
  <c r="G696" i="24" s="1"/>
  <c r="F1545" i="24"/>
  <c r="E1545" i="24"/>
  <c r="G1545" i="24" s="1"/>
  <c r="E481" i="24"/>
  <c r="F481" i="24"/>
  <c r="G481" i="24" s="1"/>
  <c r="F687" i="24"/>
  <c r="E687" i="24"/>
  <c r="G687" i="24" s="1"/>
  <c r="F505" i="24"/>
  <c r="G505" i="24" s="1"/>
  <c r="E505" i="24"/>
  <c r="E563" i="24"/>
  <c r="F563" i="24"/>
  <c r="G563" i="24" s="1"/>
  <c r="E200" i="24"/>
  <c r="F200" i="24"/>
  <c r="G200" i="24" s="1"/>
  <c r="E1023" i="24"/>
  <c r="G1023" i="24" s="1"/>
  <c r="F1023" i="24"/>
  <c r="E431" i="24"/>
  <c r="F431" i="24"/>
  <c r="F671" i="24"/>
  <c r="E671" i="24"/>
  <c r="G671" i="24"/>
  <c r="E1506" i="24"/>
  <c r="F1506" i="24"/>
  <c r="G1506" i="24" s="1"/>
  <c r="F230" i="24"/>
  <c r="E230" i="24"/>
  <c r="F1166" i="24"/>
  <c r="E1166" i="24"/>
  <c r="G1166" i="24" s="1"/>
  <c r="F1674" i="24"/>
  <c r="G1674" i="24" s="1"/>
  <c r="E1674" i="24"/>
  <c r="F1803" i="24"/>
  <c r="G1803" i="24" s="1"/>
  <c r="E1803" i="24"/>
  <c r="E662" i="24"/>
  <c r="F662" i="24"/>
  <c r="G662" i="24" s="1"/>
  <c r="F217" i="24"/>
  <c r="E217" i="24"/>
  <c r="G217" i="24" s="1"/>
  <c r="E1016" i="24"/>
  <c r="F1016" i="24"/>
  <c r="F1827" i="24"/>
  <c r="E1827" i="24"/>
  <c r="E54" i="24"/>
  <c r="F54" i="24"/>
  <c r="F1470" i="24"/>
  <c r="E1470" i="24"/>
  <c r="G1470" i="24"/>
  <c r="E1194" i="24"/>
  <c r="F1194" i="24"/>
  <c r="F1295" i="24"/>
  <c r="G1295" i="24" s="1"/>
  <c r="E1295" i="24"/>
  <c r="F1745" i="24"/>
  <c r="E1745" i="24"/>
  <c r="E1763" i="24"/>
  <c r="F1763" i="24"/>
  <c r="E1804" i="24"/>
  <c r="F1804" i="24"/>
  <c r="G1804" i="24"/>
  <c r="F1192" i="24"/>
  <c r="E1192" i="24"/>
  <c r="G1192" i="24" s="1"/>
  <c r="E796" i="24"/>
  <c r="F796" i="24"/>
  <c r="G796" i="24" s="1"/>
  <c r="E1027" i="24"/>
  <c r="F1027" i="24"/>
  <c r="G1027" i="24" s="1"/>
  <c r="E58" i="24"/>
  <c r="F58" i="24"/>
  <c r="G58" i="24" s="1"/>
  <c r="E1338" i="24"/>
  <c r="F1338" i="24"/>
  <c r="G1338" i="24" s="1"/>
  <c r="E386" i="24"/>
  <c r="F386" i="24"/>
  <c r="F1478" i="24"/>
  <c r="G1478" i="24" s="1"/>
  <c r="E1478" i="24"/>
  <c r="G193" i="24"/>
  <c r="F193" i="24"/>
  <c r="E193" i="24"/>
  <c r="F500" i="24"/>
  <c r="E500" i="24"/>
  <c r="F1802" i="24"/>
  <c r="E1802" i="24"/>
  <c r="G1802" i="24" s="1"/>
  <c r="E1810" i="24"/>
  <c r="G1810" i="24" s="1"/>
  <c r="F1810" i="24"/>
  <c r="F8" i="24"/>
  <c r="E8" i="24"/>
  <c r="E1193" i="24"/>
  <c r="F1193" i="24"/>
  <c r="G1193" i="24" s="1"/>
  <c r="E519" i="24"/>
  <c r="F519" i="24"/>
  <c r="F1666" i="24"/>
  <c r="E1666" i="24"/>
  <c r="G1666" i="24"/>
  <c r="E1631" i="24"/>
  <c r="F1631" i="24"/>
  <c r="G1631" i="24" s="1"/>
  <c r="E864" i="24"/>
  <c r="G864" i="24" s="1"/>
  <c r="F864" i="24"/>
  <c r="E897" i="24"/>
  <c r="F897" i="24"/>
  <c r="G897" i="24" s="1"/>
  <c r="F1906" i="24"/>
  <c r="E1906" i="24"/>
  <c r="G1906" i="24"/>
  <c r="E1160" i="24"/>
  <c r="F1160" i="24"/>
  <c r="F601" i="24"/>
  <c r="G601" i="24" s="1"/>
  <c r="E601" i="24"/>
  <c r="E722" i="24"/>
  <c r="F722" i="24"/>
  <c r="F680" i="24"/>
  <c r="G680" i="24" s="1"/>
  <c r="E680" i="24"/>
  <c r="E1116" i="24"/>
  <c r="F1116" i="24"/>
  <c r="G1116" i="24" s="1"/>
  <c r="F1163" i="24"/>
  <c r="E1163" i="24"/>
  <c r="G1163" i="24" s="1"/>
  <c r="F424" i="24"/>
  <c r="E424" i="24"/>
  <c r="G424" i="24" s="1"/>
  <c r="E66" i="24"/>
  <c r="F66" i="24"/>
  <c r="F1453" i="24"/>
  <c r="G1453" i="24" s="1"/>
  <c r="E1453" i="24"/>
  <c r="E1157" i="24"/>
  <c r="F1157" i="24"/>
  <c r="E1551" i="24"/>
  <c r="F1551" i="24"/>
  <c r="F1845" i="24"/>
  <c r="G1845" i="24" s="1"/>
  <c r="E1845" i="24"/>
  <c r="E1093" i="24"/>
  <c r="G1093" i="24"/>
  <c r="F1093" i="24"/>
  <c r="E1668" i="24"/>
  <c r="F1668" i="24"/>
  <c r="G1668" i="24" s="1"/>
  <c r="F1377" i="24"/>
  <c r="G1377" i="24" s="1"/>
  <c r="E1377" i="24"/>
  <c r="E243" i="24"/>
  <c r="G243" i="24" s="1"/>
  <c r="F243" i="24"/>
  <c r="E1901" i="24"/>
  <c r="F1901" i="24"/>
  <c r="G1901" i="24" s="1"/>
  <c r="F1168" i="24"/>
  <c r="E1168" i="24"/>
  <c r="G1168" i="24"/>
  <c r="F1405" i="24"/>
  <c r="G1405" i="24" s="1"/>
  <c r="E1405" i="24"/>
  <c r="E1621" i="24"/>
  <c r="F1621" i="24"/>
  <c r="F1749" i="24"/>
  <c r="E1749" i="24"/>
  <c r="G1749" i="24" s="1"/>
  <c r="F63" i="24"/>
  <c r="E63" i="24"/>
  <c r="G63" i="24" s="1"/>
  <c r="F1284" i="24"/>
  <c r="G1284" i="24" s="1"/>
  <c r="E1284" i="24"/>
  <c r="F116" i="24"/>
  <c r="E116" i="24"/>
  <c r="F1499" i="24"/>
  <c r="E1499" i="24"/>
  <c r="G1499" i="24" s="1"/>
  <c r="E247" i="24"/>
  <c r="F247" i="24"/>
  <c r="F761" i="24"/>
  <c r="E761" i="24"/>
  <c r="G761" i="24"/>
  <c r="F1701" i="24"/>
  <c r="E1701" i="24"/>
  <c r="E1222" i="24"/>
  <c r="F1222" i="24"/>
  <c r="G1222" i="24" s="1"/>
  <c r="E1571" i="24"/>
  <c r="F1571" i="24"/>
  <c r="G1571" i="24" s="1"/>
  <c r="E928" i="24"/>
  <c r="F928" i="24"/>
  <c r="G928" i="24" s="1"/>
  <c r="F428" i="24"/>
  <c r="E428" i="24"/>
  <c r="G428" i="24" s="1"/>
  <c r="E132" i="24"/>
  <c r="F132" i="24"/>
  <c r="F1205" i="24"/>
  <c r="E1205" i="24"/>
  <c r="G1205" i="24" s="1"/>
  <c r="E250" i="24"/>
  <c r="F250" i="24"/>
  <c r="G250" i="24" s="1"/>
  <c r="E678" i="24"/>
  <c r="F678" i="24"/>
  <c r="F1285" i="24"/>
  <c r="G1285" i="24" s="1"/>
  <c r="E1285" i="24"/>
  <c r="E1694" i="24"/>
  <c r="F1694" i="24"/>
  <c r="G1694" i="24" s="1"/>
  <c r="E322" i="24"/>
  <c r="F322" i="24"/>
  <c r="G322" i="24"/>
  <c r="F516" i="24"/>
  <c r="E516" i="24"/>
  <c r="G516" i="24" s="1"/>
  <c r="F320" i="24"/>
  <c r="G320" i="24" s="1"/>
  <c r="E320" i="24"/>
  <c r="F843" i="24"/>
  <c r="E843" i="24"/>
  <c r="G843" i="24"/>
  <c r="F246" i="24"/>
  <c r="G246" i="24" s="1"/>
  <c r="E246" i="24"/>
  <c r="E1381" i="24"/>
  <c r="F1381" i="24"/>
  <c r="F493" i="24"/>
  <c r="E493" i="24"/>
  <c r="G493" i="24"/>
  <c r="E1833" i="24"/>
  <c r="F1833" i="24"/>
  <c r="G1833" i="24" s="1"/>
  <c r="E1045" i="24"/>
  <c r="F1045" i="24"/>
  <c r="G1045" i="24" s="1"/>
  <c r="F1263" i="24"/>
  <c r="E1263" i="24"/>
  <c r="G1263" i="24"/>
  <c r="F1353" i="24"/>
  <c r="E1353" i="24"/>
  <c r="G1353" i="24" s="1"/>
  <c r="E1134" i="24"/>
  <c r="F1134" i="24"/>
  <c r="E525" i="24"/>
  <c r="F525" i="24"/>
  <c r="G525" i="24" s="1"/>
  <c r="E1067" i="24"/>
  <c r="F1067" i="24"/>
  <c r="G1067" i="24" s="1"/>
  <c r="F343" i="24"/>
  <c r="G343" i="24" s="1"/>
  <c r="E343" i="24"/>
  <c r="E1587" i="24"/>
  <c r="F1587" i="24"/>
  <c r="E95" i="24"/>
  <c r="F95" i="24"/>
  <c r="F609" i="24"/>
  <c r="G609" i="24" s="1"/>
  <c r="E609" i="24"/>
  <c r="E337" i="24"/>
  <c r="F337" i="24"/>
  <c r="G337" i="24" s="1"/>
  <c r="F731" i="24"/>
  <c r="E731" i="24"/>
  <c r="G731" i="24"/>
  <c r="F470" i="24"/>
  <c r="E470" i="24"/>
  <c r="G470" i="24" s="1"/>
  <c r="E829" i="24"/>
  <c r="F829" i="24"/>
  <c r="E983" i="24"/>
  <c r="F983" i="24"/>
  <c r="E950" i="24"/>
  <c r="G950" i="24" s="1"/>
  <c r="F950" i="24"/>
  <c r="E1463" i="24"/>
  <c r="F1463" i="24"/>
  <c r="G1463" i="24" s="1"/>
  <c r="F607" i="24"/>
  <c r="E607" i="24"/>
  <c r="G607" i="24"/>
  <c r="E693" i="24"/>
  <c r="F693" i="24"/>
  <c r="G693" i="24" s="1"/>
  <c r="F1799" i="24"/>
  <c r="E1799" i="24"/>
  <c r="G1799" i="24" s="1"/>
  <c r="F819" i="24"/>
  <c r="E819" i="24"/>
  <c r="G819" i="24"/>
  <c r="E31" i="24"/>
  <c r="F31" i="24"/>
  <c r="G31" i="24" s="1"/>
  <c r="E1048" i="24"/>
  <c r="F1048" i="24"/>
  <c r="F1281" i="24"/>
  <c r="E1281" i="24"/>
  <c r="G1281" i="24"/>
  <c r="F655" i="24"/>
  <c r="G655" i="24" s="1"/>
  <c r="E655" i="24"/>
  <c r="E275" i="24"/>
  <c r="G275" i="24" s="1"/>
  <c r="F275" i="24"/>
  <c r="E1086" i="24"/>
  <c r="F1086" i="24"/>
  <c r="G1086" i="24" s="1"/>
  <c r="F40" i="24"/>
  <c r="E40" i="24"/>
  <c r="E1460" i="24"/>
  <c r="G1460" i="24" s="1"/>
  <c r="F1460" i="24"/>
  <c r="F347" i="24"/>
  <c r="E347" i="24"/>
  <c r="G347" i="24" s="1"/>
  <c r="E1291" i="24"/>
  <c r="F1291" i="24"/>
  <c r="G1291" i="24" s="1"/>
  <c r="E1586" i="24"/>
  <c r="F1586" i="24"/>
  <c r="F915" i="24"/>
  <c r="E915" i="24"/>
  <c r="G915" i="24"/>
  <c r="F1082" i="24"/>
  <c r="G1082" i="24" s="1"/>
  <c r="E1082" i="24"/>
  <c r="F1270" i="24"/>
  <c r="G1270" i="24" s="1"/>
  <c r="E1270" i="24"/>
  <c r="E809" i="24"/>
  <c r="F809" i="24"/>
  <c r="G809" i="24" s="1"/>
  <c r="E1239" i="24"/>
  <c r="F1239" i="24"/>
  <c r="G1239" i="24"/>
  <c r="F336" i="24"/>
  <c r="E336" i="24"/>
  <c r="F1600" i="24"/>
  <c r="G1600" i="24" s="1"/>
  <c r="E1600" i="24"/>
  <c r="E1105" i="24"/>
  <c r="F1105" i="24"/>
  <c r="G1105" i="24"/>
  <c r="E1889" i="24"/>
  <c r="F1889" i="24"/>
  <c r="G1889" i="24" s="1"/>
  <c r="E504" i="24"/>
  <c r="F504" i="24"/>
  <c r="G504" i="24" s="1"/>
  <c r="E1705" i="24"/>
  <c r="F1705" i="24"/>
  <c r="G1705" i="24" s="1"/>
  <c r="F326" i="24"/>
  <c r="E326" i="24"/>
  <c r="E287" i="24"/>
  <c r="F287" i="24"/>
  <c r="G287" i="24" s="1"/>
  <c r="F19" i="24"/>
  <c r="E19" i="24"/>
  <c r="G19" i="24" s="1"/>
  <c r="F1898" i="24"/>
  <c r="E1898" i="24"/>
  <c r="G1898" i="24" s="1"/>
  <c r="E1214" i="24"/>
  <c r="F1214" i="24"/>
  <c r="F440" i="24"/>
  <c r="G440" i="24" s="1"/>
  <c r="E440" i="24"/>
  <c r="E857" i="24"/>
  <c r="F857" i="24"/>
  <c r="G857" i="24"/>
  <c r="F414" i="24"/>
  <c r="E414" i="24"/>
  <c r="E880" i="24"/>
  <c r="F880" i="24"/>
  <c r="G880" i="24" s="1"/>
  <c r="E1052" i="24"/>
  <c r="F1052" i="24"/>
  <c r="G1052" i="24"/>
  <c r="F1028" i="24"/>
  <c r="G1028" i="24" s="1"/>
  <c r="E1028" i="24"/>
  <c r="F276" i="24"/>
  <c r="G276" i="24" s="1"/>
  <c r="E276" i="24"/>
  <c r="F1379" i="24"/>
  <c r="E1379" i="24"/>
  <c r="E1566" i="24"/>
  <c r="F1566" i="24"/>
  <c r="E231" i="24"/>
  <c r="F231" i="24"/>
  <c r="G231" i="24"/>
  <c r="F1541" i="24"/>
  <c r="E1541" i="24"/>
  <c r="G1541" i="24" s="1"/>
  <c r="F595" i="24"/>
  <c r="G595" i="24" s="1"/>
  <c r="E595" i="24"/>
  <c r="F384" i="24"/>
  <c r="E384" i="24"/>
  <c r="G384" i="24"/>
  <c r="F906" i="24"/>
  <c r="E906" i="24"/>
  <c r="G906" i="24" s="1"/>
  <c r="E614" i="24"/>
  <c r="F614" i="24"/>
  <c r="G614" i="24" s="1"/>
  <c r="F114" i="24"/>
  <c r="E114" i="24"/>
  <c r="G114" i="24" s="1"/>
  <c r="F1080" i="24"/>
  <c r="G1080" i="24" s="1"/>
  <c r="E1080" i="24"/>
  <c r="F663" i="24"/>
  <c r="G663" i="24" s="1"/>
  <c r="E663" i="24"/>
  <c r="F745" i="24"/>
  <c r="E745" i="24"/>
  <c r="E16" i="24"/>
  <c r="F16" i="24"/>
  <c r="G16" i="24"/>
  <c r="E879" i="24"/>
  <c r="F879" i="24"/>
  <c r="G879" i="24" s="1"/>
  <c r="E1037" i="24"/>
  <c r="G1037" i="24"/>
  <c r="F1037" i="24"/>
  <c r="F214" i="24"/>
  <c r="G214" i="24" s="1"/>
  <c r="E214" i="24"/>
  <c r="F964" i="24"/>
  <c r="G964" i="24" s="1"/>
  <c r="E964" i="24"/>
  <c r="E1767" i="24"/>
  <c r="F1767" i="24"/>
  <c r="E89" i="24"/>
  <c r="F89" i="24"/>
  <c r="G89" i="24" s="1"/>
  <c r="F945" i="24"/>
  <c r="G945" i="24" s="1"/>
  <c r="E945" i="24"/>
  <c r="F1182" i="24"/>
  <c r="E1182" i="24"/>
  <c r="G1182" i="24" s="1"/>
  <c r="F597" i="24"/>
  <c r="E597" i="24"/>
  <c r="G597" i="24"/>
  <c r="E1704" i="24"/>
  <c r="F1704" i="24"/>
  <c r="G1704" i="24" s="1"/>
  <c r="F666" i="24"/>
  <c r="G666" i="24" s="1"/>
  <c r="E666" i="24"/>
  <c r="E659" i="24"/>
  <c r="F659" i="24"/>
  <c r="G659" i="24" s="1"/>
  <c r="F145" i="24"/>
  <c r="E145" i="24"/>
  <c r="F1306" i="24"/>
  <c r="G1306" i="24" s="1"/>
  <c r="E1306" i="24"/>
  <c r="E75" i="24"/>
  <c r="F75" i="24"/>
  <c r="G75" i="24" s="1"/>
  <c r="E92" i="24"/>
  <c r="F92" i="24"/>
  <c r="G92" i="24" s="1"/>
  <c r="E278" i="24"/>
  <c r="G278" i="24"/>
  <c r="F278" i="24"/>
  <c r="E1872" i="24"/>
  <c r="F1872" i="24"/>
  <c r="G1872" i="24"/>
  <c r="F1677" i="24"/>
  <c r="E1677" i="24"/>
  <c r="G1677" i="24" s="1"/>
  <c r="E38" i="24"/>
  <c r="F38" i="24"/>
  <c r="G38" i="24" s="1"/>
  <c r="E1649" i="24"/>
  <c r="F1649" i="24"/>
  <c r="F1782" i="24"/>
  <c r="E1782" i="24"/>
  <c r="G1782" i="24" s="1"/>
  <c r="E329" i="24"/>
  <c r="F329" i="24"/>
  <c r="G329" i="24"/>
  <c r="F1632" i="24"/>
  <c r="E1632" i="24"/>
  <c r="G1632" i="24" s="1"/>
  <c r="F1723" i="24"/>
  <c r="G1723" i="24" s="1"/>
  <c r="E1723" i="24"/>
  <c r="E1629" i="24"/>
  <c r="F1629" i="24"/>
  <c r="G1629" i="24" s="1"/>
  <c r="F1785" i="24"/>
  <c r="E1785" i="24"/>
  <c r="G1785" i="24"/>
  <c r="F494" i="24"/>
  <c r="E494" i="24"/>
  <c r="G494" i="24" s="1"/>
  <c r="E700" i="24"/>
  <c r="F700" i="24"/>
  <c r="G700" i="24" s="1"/>
  <c r="E23" i="24"/>
  <c r="F23" i="24"/>
  <c r="G23" i="24"/>
  <c r="F46" i="24"/>
  <c r="G46" i="24" s="1"/>
  <c r="E46" i="24"/>
  <c r="F1628" i="24"/>
  <c r="G1628" i="24" s="1"/>
  <c r="E1628" i="24"/>
  <c r="E1102" i="24"/>
  <c r="F1102" i="24"/>
  <c r="G1102" i="24" s="1"/>
  <c r="F340" i="24"/>
  <c r="G340" i="24" s="1"/>
  <c r="E340" i="24"/>
  <c r="F528" i="24"/>
  <c r="G528" i="24" s="1"/>
  <c r="E528" i="24"/>
  <c r="E1384" i="24"/>
  <c r="F1384" i="24"/>
  <c r="E1768" i="24"/>
  <c r="F1768" i="24"/>
  <c r="F963" i="24"/>
  <c r="E963" i="24"/>
  <c r="G963" i="24"/>
  <c r="F849" i="24"/>
  <c r="E849" i="24"/>
  <c r="G849" i="24" s="1"/>
  <c r="F703" i="24"/>
  <c r="G703" i="24" s="1"/>
  <c r="E703" i="24"/>
  <c r="F580" i="24"/>
  <c r="G580" i="24" s="1"/>
  <c r="E580" i="24"/>
  <c r="F855" i="24"/>
  <c r="E855" i="24"/>
  <c r="G855" i="24"/>
  <c r="E1515" i="24"/>
  <c r="F1515" i="24"/>
  <c r="G1515" i="24" s="1"/>
  <c r="F968" i="24"/>
  <c r="G968" i="24" s="1"/>
  <c r="E968" i="24"/>
  <c r="F1475" i="24"/>
  <c r="G1475" i="24" s="1"/>
  <c r="E1475" i="24"/>
  <c r="F1672" i="24"/>
  <c r="G1672" i="24" s="1"/>
  <c r="E1672" i="24"/>
  <c r="E1640" i="24"/>
  <c r="G1640" i="24" s="1"/>
  <c r="F1640" i="24"/>
  <c r="F1821" i="24"/>
  <c r="E1821" i="24"/>
  <c r="G1821" i="24" s="1"/>
  <c r="E1130" i="24"/>
  <c r="F1130" i="24"/>
  <c r="F922" i="24"/>
  <c r="G922" i="24" s="1"/>
  <c r="E922" i="24"/>
  <c r="E88" i="24"/>
  <c r="F88" i="24"/>
  <c r="G88" i="24" s="1"/>
  <c r="F1434" i="24"/>
  <c r="E1434" i="24"/>
  <c r="G1434" i="24" s="1"/>
  <c r="E870" i="24"/>
  <c r="F870" i="24"/>
  <c r="G870" i="24" s="1"/>
  <c r="F814" i="24"/>
  <c r="E814" i="24"/>
  <c r="G814" i="24"/>
  <c r="F1715" i="24"/>
  <c r="E1715" i="24"/>
  <c r="G1715" i="24" s="1"/>
  <c r="F1452" i="24"/>
  <c r="E1452" i="24"/>
  <c r="G1452" i="24" s="1"/>
  <c r="E274" i="24"/>
  <c r="F274" i="24"/>
  <c r="G274" i="24" s="1"/>
  <c r="E820" i="24"/>
  <c r="F820" i="24"/>
  <c r="E293" i="24"/>
  <c r="F293" i="24"/>
  <c r="F1319" i="24"/>
  <c r="G1319" i="24" s="1"/>
  <c r="E1319" i="24"/>
  <c r="F1489" i="24"/>
  <c r="G1489" i="24" s="1"/>
  <c r="E1489" i="24"/>
  <c r="F1648" i="24"/>
  <c r="E1648" i="24"/>
  <c r="G1648" i="24"/>
  <c r="F550" i="24"/>
  <c r="G550" i="24" s="1"/>
  <c r="E550" i="24"/>
  <c r="E330" i="24"/>
  <c r="G330" i="24" s="1"/>
  <c r="F330" i="24"/>
  <c r="F463" i="24"/>
  <c r="E463" i="24"/>
  <c r="G463" i="24" s="1"/>
  <c r="E1237" i="24"/>
  <c r="F1237" i="24"/>
  <c r="G1237" i="24" s="1"/>
  <c r="F186" i="24"/>
  <c r="E186" i="24"/>
  <c r="E947" i="24"/>
  <c r="F947" i="24"/>
  <c r="G947" i="24" s="1"/>
  <c r="E1766" i="24"/>
  <c r="F1766" i="24"/>
  <c r="E1119" i="24"/>
  <c r="F1119" i="24"/>
  <c r="G1119" i="24" s="1"/>
  <c r="E1114" i="24"/>
  <c r="F1114" i="24"/>
  <c r="G1114" i="24" s="1"/>
  <c r="E675" i="24"/>
  <c r="F675" i="24"/>
  <c r="G675" i="24" s="1"/>
  <c r="F1188" i="24"/>
  <c r="E1188" i="24"/>
  <c r="E1254" i="24"/>
  <c r="G1254" i="24" s="1"/>
  <c r="F1254" i="24"/>
  <c r="F113" i="24"/>
  <c r="G113" i="24" s="1"/>
  <c r="E113" i="24"/>
  <c r="E1777" i="24"/>
  <c r="F1777" i="24"/>
  <c r="G1777" i="24"/>
  <c r="E946" i="24"/>
  <c r="F946" i="24"/>
  <c r="G946" i="24" s="1"/>
  <c r="E1661" i="24"/>
  <c r="F1661" i="24"/>
  <c r="G1661" i="24" s="1"/>
  <c r="F1826" i="24"/>
  <c r="E1826" i="24"/>
  <c r="G1826" i="24" s="1"/>
  <c r="F1253" i="24"/>
  <c r="E1253" i="24"/>
  <c r="F1870" i="24"/>
  <c r="E1870" i="24"/>
  <c r="G1870" i="24" s="1"/>
  <c r="E676" i="24"/>
  <c r="F676" i="24"/>
  <c r="G676" i="24" s="1"/>
  <c r="E1000" i="24"/>
  <c r="F1000" i="24"/>
  <c r="G1000" i="24" s="1"/>
  <c r="F393" i="24"/>
  <c r="E393" i="24"/>
  <c r="E750" i="24"/>
  <c r="G750" i="24" s="1"/>
  <c r="F750" i="24"/>
  <c r="F469" i="24"/>
  <c r="E469" i="24"/>
  <c r="G469" i="24" s="1"/>
  <c r="F1444" i="24"/>
  <c r="E1444" i="24"/>
  <c r="G1444" i="24"/>
  <c r="E140" i="24"/>
  <c r="F140" i="24"/>
  <c r="G140" i="24" s="1"/>
  <c r="E1203" i="24"/>
  <c r="F1203" i="24"/>
  <c r="G1203" i="24" s="1"/>
  <c r="F202" i="24"/>
  <c r="E202" i="24"/>
  <c r="G202" i="24"/>
  <c r="F1236" i="24"/>
  <c r="G1236" i="24" s="1"/>
  <c r="E1236" i="24"/>
  <c r="E755" i="24"/>
  <c r="G755" i="24" s="1"/>
  <c r="F755" i="24"/>
  <c r="F633" i="24"/>
  <c r="G633" i="24" s="1"/>
  <c r="E633" i="24"/>
  <c r="E1007" i="24"/>
  <c r="F1007" i="24"/>
  <c r="E249" i="24"/>
  <c r="F249" i="24"/>
  <c r="E987" i="24"/>
  <c r="F987" i="24"/>
  <c r="F1180" i="24"/>
  <c r="G1180" i="24" s="1"/>
  <c r="E1180" i="24"/>
  <c r="F62" i="24"/>
  <c r="G62" i="24" s="1"/>
  <c r="E62" i="24"/>
  <c r="E888" i="24"/>
  <c r="F888" i="24"/>
  <c r="F815" i="24"/>
  <c r="G815" i="24" s="1"/>
  <c r="E815" i="24"/>
  <c r="E1344" i="24"/>
  <c r="F1344" i="24"/>
  <c r="G1344" i="24" s="1"/>
  <c r="F1272" i="24"/>
  <c r="G1272" i="24" s="1"/>
  <c r="E1272" i="24"/>
  <c r="E11" i="24"/>
  <c r="G11" i="24" s="1"/>
  <c r="F11" i="24"/>
  <c r="F254" i="24"/>
  <c r="E254" i="24"/>
  <c r="G254" i="24" s="1"/>
  <c r="E1693" i="24"/>
  <c r="F1693" i="24"/>
  <c r="E1585" i="24"/>
  <c r="F1585" i="24"/>
  <c r="E994" i="24"/>
  <c r="F994" i="24"/>
  <c r="G994" i="24"/>
  <c r="E84" i="24"/>
  <c r="F84" i="24"/>
  <c r="G84" i="24" s="1"/>
  <c r="F261" i="24"/>
  <c r="E261" i="24"/>
  <c r="G261" i="24" s="1"/>
  <c r="F851" i="24"/>
  <c r="G851" i="24" s="1"/>
  <c r="E851" i="24"/>
  <c r="E118" i="24"/>
  <c r="F118" i="24"/>
  <c r="E316" i="24"/>
  <c r="F316" i="24"/>
  <c r="G316" i="24"/>
  <c r="F1727" i="24"/>
  <c r="E1727" i="24"/>
  <c r="G1727" i="24" s="1"/>
  <c r="E286" i="24"/>
  <c r="G286" i="24" s="1"/>
  <c r="F286" i="24"/>
  <c r="E894" i="24"/>
  <c r="F894" i="24"/>
  <c r="G894" i="24" s="1"/>
  <c r="F148" i="24"/>
  <c r="E148" i="24"/>
  <c r="G148" i="24"/>
  <c r="F1607" i="24"/>
  <c r="E1607" i="24"/>
  <c r="G1607" i="24" s="1"/>
  <c r="F1046" i="24"/>
  <c r="G1046" i="24" s="1"/>
  <c r="E1046" i="24"/>
  <c r="F1792" i="24"/>
  <c r="E1792" i="24"/>
  <c r="G1792" i="24" s="1"/>
  <c r="F1873" i="24"/>
  <c r="E1873" i="24"/>
  <c r="G1873" i="24" s="1"/>
  <c r="F1364" i="24"/>
  <c r="G1364" i="24" s="1"/>
  <c r="E1364" i="24"/>
  <c r="F1467" i="24"/>
  <c r="E1467" i="24"/>
  <c r="G1467" i="24" s="1"/>
  <c r="F1079" i="24"/>
  <c r="E1079" i="24"/>
  <c r="G1079" i="24"/>
  <c r="F810" i="24"/>
  <c r="E810" i="24"/>
  <c r="G810" i="24" s="1"/>
  <c r="E313" i="24"/>
  <c r="G313" i="24" s="1"/>
  <c r="F313" i="24"/>
  <c r="F161" i="24"/>
  <c r="E161" i="24"/>
  <c r="G161" i="24" s="1"/>
  <c r="E911" i="24"/>
  <c r="F911" i="24"/>
  <c r="F435" i="24"/>
  <c r="G435" i="24" s="1"/>
  <c r="E435" i="24"/>
  <c r="E168" i="24"/>
  <c r="G168" i="24"/>
  <c r="F168" i="24"/>
  <c r="E669" i="24"/>
  <c r="G669" i="24" s="1"/>
  <c r="F669" i="24"/>
  <c r="E163" i="24"/>
  <c r="G163" i="24" s="1"/>
  <c r="F163" i="24"/>
  <c r="F998" i="24"/>
  <c r="G998" i="24" s="1"/>
  <c r="E998" i="24"/>
  <c r="F1504" i="24"/>
  <c r="E1504" i="24"/>
  <c r="G1504" i="24"/>
  <c r="F248" i="24"/>
  <c r="G248" i="24" s="1"/>
  <c r="E248" i="24"/>
  <c r="F512" i="24"/>
  <c r="G512" i="24" s="1"/>
  <c r="E512" i="24"/>
  <c r="E296" i="24"/>
  <c r="F296" i="24"/>
  <c r="G296" i="24" s="1"/>
  <c r="F1127" i="24"/>
  <c r="E1127" i="24"/>
  <c r="G1127" i="24"/>
  <c r="F1604" i="24"/>
  <c r="E1604" i="24"/>
  <c r="G1604" i="24" s="1"/>
  <c r="E1331" i="24"/>
  <c r="F1331" i="24"/>
  <c r="E1502" i="24"/>
  <c r="F1502" i="24"/>
  <c r="G1502" i="24"/>
  <c r="E602" i="24"/>
  <c r="F602" i="24"/>
  <c r="G602" i="24" s="1"/>
  <c r="F1522" i="24"/>
  <c r="G1522" i="24" s="1"/>
  <c r="E1522" i="24"/>
  <c r="E1842" i="24"/>
  <c r="F1842" i="24"/>
  <c r="G1842" i="24" s="1"/>
  <c r="F20" i="24"/>
  <c r="G20" i="24" s="1"/>
  <c r="E20" i="24"/>
  <c r="F1903" i="24"/>
  <c r="G1903" i="24" s="1"/>
  <c r="E1903" i="24"/>
  <c r="F256" i="24"/>
  <c r="E256" i="24"/>
  <c r="G256" i="24" s="1"/>
  <c r="F620" i="24"/>
  <c r="E620" i="24"/>
  <c r="G620" i="24" s="1"/>
  <c r="E1711" i="24"/>
  <c r="G1711" i="24" s="1"/>
  <c r="F1711" i="24"/>
  <c r="F503" i="24"/>
  <c r="E503" i="24"/>
  <c r="E1170" i="24"/>
  <c r="F1170" i="24"/>
  <c r="G1170" i="24" s="1"/>
  <c r="E1173" i="24"/>
  <c r="F1173" i="24"/>
  <c r="E884" i="24"/>
  <c r="F884" i="24"/>
  <c r="E1149" i="24"/>
  <c r="G1149" i="24" s="1"/>
  <c r="F1149" i="24"/>
  <c r="E1117" i="24"/>
  <c r="F1117" i="24"/>
  <c r="G1117" i="24" s="1"/>
  <c r="E122" i="24"/>
  <c r="F122" i="24"/>
  <c r="G122" i="24" s="1"/>
  <c r="F169" i="24"/>
  <c r="G169" i="24" s="1"/>
  <c r="E169" i="24"/>
  <c r="E1724" i="24"/>
  <c r="F1724" i="24"/>
  <c r="G1724" i="24" s="1"/>
  <c r="E1361" i="24"/>
  <c r="F1361" i="24"/>
  <c r="G1361" i="24" s="1"/>
  <c r="E1303" i="24"/>
  <c r="G1303" i="24" s="1"/>
  <c r="F1303" i="24"/>
  <c r="E1699" i="24"/>
  <c r="F1699" i="24"/>
  <c r="G1699" i="24" s="1"/>
  <c r="F951" i="24"/>
  <c r="G951" i="24" s="1"/>
  <c r="E951" i="24"/>
  <c r="E1122" i="24"/>
  <c r="F1122" i="24"/>
  <c r="G1122" i="24" s="1"/>
  <c r="E486" i="24"/>
  <c r="F486" i="24"/>
  <c r="G486" i="24" s="1"/>
  <c r="F93" i="24"/>
  <c r="E93" i="24"/>
  <c r="G93" i="24"/>
  <c r="E969" i="24"/>
  <c r="F969" i="24"/>
  <c r="G969" i="24" s="1"/>
  <c r="F1043" i="24"/>
  <c r="E1043" i="24"/>
  <c r="G1043" i="24" s="1"/>
  <c r="E51" i="24"/>
  <c r="F51" i="24"/>
  <c r="G51" i="24" s="1"/>
  <c r="E840" i="24"/>
  <c r="G840" i="24" s="1"/>
  <c r="F840" i="24"/>
  <c r="F1386" i="24"/>
  <c r="G1386" i="24" s="1"/>
  <c r="E1386" i="24"/>
  <c r="F1848" i="24"/>
  <c r="E1848" i="24"/>
  <c r="G1848" i="24"/>
  <c r="E1008" i="24"/>
  <c r="F1008" i="24"/>
  <c r="G1008" i="24" s="1"/>
  <c r="E797" i="24"/>
  <c r="F797" i="24"/>
  <c r="F124" i="24"/>
  <c r="E124" i="24"/>
  <c r="G124" i="24"/>
  <c r="E993" i="24"/>
  <c r="F993" i="24"/>
  <c r="G993" i="24" s="1"/>
  <c r="F1725" i="24"/>
  <c r="E1725" i="24"/>
  <c r="G1725" i="24" s="1"/>
  <c r="F1358" i="24"/>
  <c r="E1358" i="24"/>
  <c r="G1358" i="24"/>
  <c r="F1589" i="24"/>
  <c r="E1589" i="24"/>
  <c r="E926" i="24"/>
  <c r="F926" i="24"/>
  <c r="G926" i="24" s="1"/>
  <c r="E1860" i="24"/>
  <c r="F1860" i="24"/>
  <c r="G1860" i="24" s="1"/>
  <c r="G1665" i="24"/>
  <c r="F1665" i="24"/>
  <c r="E1665" i="24"/>
  <c r="E1645" i="24"/>
  <c r="G1645" i="24"/>
  <c r="F1645" i="24"/>
  <c r="F1684" i="24"/>
  <c r="G1684" i="24" s="1"/>
  <c r="E1684" i="24"/>
  <c r="F839" i="24"/>
  <c r="E839" i="24"/>
  <c r="G839" i="24" s="1"/>
  <c r="F665" i="24"/>
  <c r="G665" i="24" s="1"/>
  <c r="E665" i="24"/>
  <c r="E1788" i="24"/>
  <c r="F1788" i="24"/>
  <c r="G1788" i="24" s="1"/>
  <c r="F1702" i="24"/>
  <c r="E1702" i="24"/>
  <c r="E881" i="24"/>
  <c r="G881" i="24" s="1"/>
  <c r="F881" i="24"/>
  <c r="E753" i="24"/>
  <c r="F753" i="24"/>
  <c r="G753" i="24" s="1"/>
  <c r="E1017" i="24"/>
  <c r="F1017" i="24"/>
  <c r="G1017" i="24"/>
  <c r="E484" i="24"/>
  <c r="F484" i="24"/>
  <c r="G484" i="24" s="1"/>
  <c r="E1382" i="24"/>
  <c r="F1382" i="24"/>
  <c r="G1382" i="24" s="1"/>
  <c r="E1579" i="24"/>
  <c r="F1579" i="24"/>
  <c r="G1579" i="24"/>
  <c r="F1220" i="24"/>
  <c r="G1220" i="24" s="1"/>
  <c r="E1220" i="24"/>
  <c r="E1521" i="24"/>
  <c r="G1521" i="24" s="1"/>
  <c r="F1521" i="24"/>
  <c r="F1388" i="24"/>
  <c r="G1388" i="24" s="1"/>
  <c r="E1388" i="24"/>
  <c r="E1229" i="24"/>
  <c r="F1229" i="24"/>
  <c r="G1229" i="24" s="1"/>
  <c r="E817" i="24"/>
  <c r="F817" i="24"/>
  <c r="G817" i="24" s="1"/>
  <c r="F1509" i="24"/>
  <c r="G1509" i="24" s="1"/>
  <c r="E1509" i="24"/>
  <c r="E1427" i="24"/>
  <c r="F1427" i="24"/>
  <c r="G1427" i="24" s="1"/>
  <c r="F1544" i="24"/>
  <c r="E1544" i="24"/>
  <c r="G1544" i="24"/>
  <c r="F899" i="24"/>
  <c r="E899" i="24"/>
  <c r="F1622" i="24"/>
  <c r="G1622" i="24" s="1"/>
  <c r="E1622" i="24"/>
  <c r="F1264" i="24"/>
  <c r="E1264" i="24"/>
  <c r="G1264" i="24"/>
  <c r="E265" i="24"/>
  <c r="F265" i="24"/>
  <c r="G265" i="24" s="1"/>
  <c r="E372" i="24"/>
  <c r="G372" i="24" s="1"/>
  <c r="F372" i="24"/>
  <c r="F468" i="24"/>
  <c r="G468" i="24" s="1"/>
  <c r="E468" i="24"/>
  <c r="F1249" i="24"/>
  <c r="E1249" i="24"/>
  <c r="E1731" i="24"/>
  <c r="F1731" i="24"/>
  <c r="F1562" i="24"/>
  <c r="E1562" i="24"/>
  <c r="G1562" i="24"/>
  <c r="F1555" i="24"/>
  <c r="E1555" i="24"/>
  <c r="F540" i="24"/>
  <c r="G540" i="24" s="1"/>
  <c r="E540" i="24"/>
  <c r="E1232" i="24"/>
  <c r="F1232" i="24"/>
  <c r="G1232" i="24" s="1"/>
  <c r="F1496" i="24"/>
  <c r="G1496" i="24" s="1"/>
  <c r="E1496" i="24"/>
  <c r="F1362" i="24"/>
  <c r="E1362" i="24"/>
  <c r="G1362" i="24" s="1"/>
  <c r="F1510" i="24"/>
  <c r="E1510" i="24"/>
  <c r="F1617" i="24"/>
  <c r="E1617" i="24"/>
  <c r="F1370" i="24"/>
  <c r="E1370" i="24"/>
  <c r="G1370" i="24" s="1"/>
  <c r="F211" i="24"/>
  <c r="E211" i="24"/>
  <c r="G211" i="24" s="1"/>
  <c r="F151" i="24"/>
  <c r="G151" i="24" s="1"/>
  <c r="E151" i="24"/>
  <c r="F903" i="24"/>
  <c r="G903" i="24" s="1"/>
  <c r="E903" i="24"/>
  <c r="F1549" i="24"/>
  <c r="E1549" i="24"/>
  <c r="G1549" i="24"/>
  <c r="E1260" i="24"/>
  <c r="F1260" i="24"/>
  <c r="G1260" i="24" s="1"/>
  <c r="F53" i="24"/>
  <c r="G53" i="24" s="1"/>
  <c r="E53" i="24"/>
  <c r="F959" i="24"/>
  <c r="G959" i="24" s="1"/>
  <c r="E959" i="24"/>
  <c r="E532" i="24"/>
  <c r="F532" i="24"/>
  <c r="G532" i="24" s="1"/>
  <c r="E416" i="24"/>
  <c r="G416" i="24" s="1"/>
  <c r="F416" i="24"/>
  <c r="E1304" i="24"/>
  <c r="F1304" i="24"/>
  <c r="G1304" i="24" s="1"/>
  <c r="E513" i="24"/>
  <c r="F513" i="24"/>
  <c r="G513" i="24" s="1"/>
  <c r="F1671" i="24"/>
  <c r="G1671" i="24" s="1"/>
  <c r="E1671" i="24"/>
  <c r="F588" i="24"/>
  <c r="G588" i="24" s="1"/>
  <c r="E588" i="24"/>
  <c r="F1425" i="24"/>
  <c r="E1425" i="24"/>
  <c r="E1328" i="24"/>
  <c r="F1328" i="24"/>
  <c r="F402" i="24"/>
  <c r="G402" i="24" s="1"/>
  <c r="E402" i="24"/>
  <c r="F177" i="24"/>
  <c r="E177" i="24"/>
  <c r="F1486" i="24"/>
  <c r="G1486" i="24" s="1"/>
  <c r="E1486" i="24"/>
  <c r="F1890" i="24"/>
  <c r="E1890" i="24"/>
  <c r="E618" i="24"/>
  <c r="F618" i="24"/>
  <c r="F668" i="24"/>
  <c r="G668" i="24"/>
  <c r="E668" i="24"/>
  <c r="E933" i="24"/>
  <c r="F933" i="24"/>
  <c r="G933" i="24" s="1"/>
  <c r="E314" i="24"/>
  <c r="G314" i="24" s="1"/>
  <c r="F314" i="24"/>
  <c r="E1751" i="24"/>
  <c r="F1751" i="24"/>
  <c r="G1751" i="24" s="1"/>
  <c r="E417" i="24"/>
  <c r="F417" i="24"/>
  <c r="G417" i="24" s="1"/>
  <c r="E647" i="24"/>
  <c r="F647" i="24"/>
  <c r="E167" i="24"/>
  <c r="F167" i="24"/>
  <c r="G167" i="24" s="1"/>
  <c r="F156" i="24"/>
  <c r="G156" i="24" s="1"/>
  <c r="E156" i="24"/>
  <c r="F1663" i="24"/>
  <c r="E1663" i="24"/>
  <c r="G1663" i="24" s="1"/>
  <c r="F1849" i="24"/>
  <c r="G1849" i="24" s="1"/>
  <c r="E1849" i="24"/>
  <c r="F1752" i="24"/>
  <c r="E1752" i="24"/>
  <c r="F1538" i="24"/>
  <c r="E1538" i="24"/>
  <c r="G1538" i="24"/>
  <c r="F388" i="24"/>
  <c r="E388" i="24"/>
  <c r="F847" i="24"/>
  <c r="E847" i="24"/>
  <c r="G847" i="24" s="1"/>
  <c r="F361" i="24"/>
  <c r="G361" i="24" s="1"/>
  <c r="E361" i="24"/>
  <c r="F876" i="24"/>
  <c r="G876" i="24" s="1"/>
  <c r="E876" i="24"/>
  <c r="F429" i="24"/>
  <c r="G429" i="24" s="1"/>
  <c r="E429" i="24"/>
  <c r="F980" i="24"/>
  <c r="E980" i="24"/>
  <c r="G980" i="24"/>
  <c r="F1650" i="24"/>
  <c r="G1650" i="24" s="1"/>
  <c r="E1650" i="24"/>
  <c r="E1599" i="24"/>
  <c r="G1599" i="24" s="1"/>
  <c r="F1599" i="24"/>
  <c r="F1216" i="24"/>
  <c r="E1216" i="24"/>
  <c r="F623" i="24"/>
  <c r="G623" i="24" s="1"/>
  <c r="E623" i="24"/>
  <c r="E71" i="24"/>
  <c r="G71" i="24" s="1"/>
  <c r="F71" i="24"/>
  <c r="E455" i="24"/>
  <c r="F455" i="24"/>
  <c r="G455" i="24" s="1"/>
  <c r="E1415" i="24"/>
  <c r="F1415" i="24"/>
  <c r="G1415" i="24" s="1"/>
  <c r="E1106" i="24"/>
  <c r="F1106" i="24"/>
  <c r="G1106" i="24"/>
  <c r="F747" i="24"/>
  <c r="E747" i="24"/>
  <c r="F592" i="24"/>
  <c r="G592" i="24" s="1"/>
  <c r="E592" i="24"/>
  <c r="E1133" i="24"/>
  <c r="F1133" i="24"/>
  <c r="F1490" i="24"/>
  <c r="E1490" i="24"/>
  <c r="G1490" i="24" s="1"/>
  <c r="F965" i="24"/>
  <c r="E965" i="24"/>
  <c r="G965" i="24" s="1"/>
  <c r="F1348" i="24"/>
  <c r="E1348" i="24"/>
  <c r="G1348" i="24" s="1"/>
  <c r="F735" i="24"/>
  <c r="G735" i="24" s="1"/>
  <c r="E735" i="24"/>
  <c r="E97" i="24"/>
  <c r="G97" i="24" s="1"/>
  <c r="F97" i="24"/>
  <c r="E1309" i="24"/>
  <c r="F1309" i="24"/>
  <c r="G1309" i="24" s="1"/>
  <c r="E1523" i="24"/>
  <c r="F1523" i="24"/>
  <c r="G1523" i="24" s="1"/>
  <c r="F637" i="24"/>
  <c r="G637" i="24" s="1"/>
  <c r="E637" i="24"/>
  <c r="F1839" i="24"/>
  <c r="E1839" i="24"/>
  <c r="E736" i="24"/>
  <c r="F736" i="24"/>
  <c r="G736" i="24"/>
  <c r="E636" i="24"/>
  <c r="G636" i="24" s="1"/>
  <c r="F636" i="24"/>
  <c r="F1005" i="24"/>
  <c r="G1005" i="24" s="1"/>
  <c r="E1005" i="24"/>
  <c r="F751" i="24"/>
  <c r="G751" i="24" s="1"/>
  <c r="E751" i="24"/>
  <c r="F1357" i="24"/>
  <c r="E1357" i="24"/>
  <c r="E398" i="24"/>
  <c r="F398" i="24"/>
  <c r="G398" i="24"/>
  <c r="E1246" i="24"/>
  <c r="G1246" i="24" s="1"/>
  <c r="F1246" i="24"/>
  <c r="E780" i="24"/>
  <c r="G780" i="24"/>
  <c r="F780" i="24"/>
  <c r="E1058" i="24"/>
  <c r="F1058" i="24"/>
  <c r="G1058" i="24"/>
  <c r="E653" i="24"/>
  <c r="F653" i="24"/>
  <c r="G653" i="24"/>
  <c r="F642" i="24"/>
  <c r="G642" i="24" s="1"/>
  <c r="E642" i="24"/>
  <c r="F599" i="24"/>
  <c r="E599" i="24"/>
  <c r="G599" i="24"/>
  <c r="E1198" i="24"/>
  <c r="F1198" i="24"/>
  <c r="G1198" i="24" s="1"/>
  <c r="F877" i="24"/>
  <c r="G877" i="24" s="1"/>
  <c r="E877" i="24"/>
  <c r="E1137" i="24"/>
  <c r="F1137" i="24"/>
  <c r="G1137" i="24" s="1"/>
  <c r="F579" i="24"/>
  <c r="E579" i="24"/>
  <c r="E1497" i="24"/>
  <c r="F1497" i="24"/>
  <c r="G1497" i="24" s="1"/>
  <c r="E825" i="24"/>
  <c r="F825" i="24"/>
  <c r="G825" i="24" s="1"/>
  <c r="F785" i="24"/>
  <c r="E785" i="24"/>
  <c r="G785" i="24"/>
  <c r="E1073" i="24"/>
  <c r="F1073" i="24"/>
  <c r="G1073" i="24" s="1"/>
  <c r="F222" i="24"/>
  <c r="G222" i="24" s="1"/>
  <c r="E222" i="24"/>
  <c r="E418" i="24"/>
  <c r="F418" i="24"/>
  <c r="G418" i="24"/>
  <c r="E491" i="24"/>
  <c r="F491" i="24"/>
  <c r="G491" i="24"/>
  <c r="F1305" i="24"/>
  <c r="E1305" i="24"/>
  <c r="G1305" i="24"/>
  <c r="E155" i="24"/>
  <c r="F155" i="24"/>
  <c r="G155" i="24" s="1"/>
  <c r="F1503" i="24"/>
  <c r="G1503" i="24" s="1"/>
  <c r="E1503" i="24"/>
  <c r="E1014" i="24"/>
  <c r="F1014" i="24"/>
  <c r="F1327" i="24"/>
  <c r="E1327" i="24"/>
  <c r="G1327" i="24"/>
  <c r="E1886" i="24"/>
  <c r="G1886" i="24"/>
  <c r="F1886" i="24"/>
  <c r="F760" i="24"/>
  <c r="G760" i="24" s="1"/>
  <c r="E760" i="24"/>
  <c r="F830" i="24"/>
  <c r="E830" i="24"/>
  <c r="E319" i="24"/>
  <c r="F319" i="24"/>
  <c r="G319" i="24"/>
  <c r="F912" i="24"/>
  <c r="E912" i="24"/>
  <c r="G912" i="24" s="1"/>
  <c r="E1416" i="24"/>
  <c r="F1416" i="24"/>
  <c r="E861" i="24"/>
  <c r="F861" i="24"/>
  <c r="G861" i="24" s="1"/>
  <c r="E562" i="24"/>
  <c r="F562" i="24"/>
  <c r="G562" i="24"/>
  <c r="E520" i="24"/>
  <c r="F520" i="24"/>
  <c r="G520" i="24"/>
  <c r="F934" i="24"/>
  <c r="E934" i="24"/>
  <c r="G934" i="24" s="1"/>
  <c r="E339" i="24"/>
  <c r="F339" i="24"/>
  <c r="G339" i="24"/>
  <c r="F832" i="24"/>
  <c r="E832" i="24"/>
  <c r="E405" i="24"/>
  <c r="F405" i="24"/>
  <c r="G405" i="24" s="1"/>
  <c r="F255" i="24"/>
  <c r="E255" i="24"/>
  <c r="G255" i="24"/>
  <c r="F1816" i="24"/>
  <c r="G1816" i="24" s="1"/>
  <c r="E1816" i="24"/>
  <c r="E1851" i="24"/>
  <c r="F1851" i="24"/>
  <c r="E105" i="24"/>
  <c r="F105" i="24"/>
  <c r="G105" i="24"/>
  <c r="F924" i="24"/>
  <c r="G924" i="24"/>
  <c r="E924" i="24"/>
  <c r="F449" i="24"/>
  <c r="G449" i="24" s="1"/>
  <c r="E449" i="24"/>
  <c r="E541" i="24"/>
  <c r="F541" i="24"/>
  <c r="G541" i="24" s="1"/>
  <c r="E394" i="24"/>
  <c r="F394" i="24"/>
  <c r="G394" i="24" s="1"/>
  <c r="E712" i="24"/>
  <c r="F712" i="24"/>
  <c r="F1445" i="24"/>
  <c r="E1445" i="24"/>
  <c r="G1445" i="24"/>
  <c r="F1412" i="24"/>
  <c r="G1412" i="24" s="1"/>
  <c r="E1412" i="24"/>
  <c r="F1366" i="24"/>
  <c r="G1366" i="24" s="1"/>
  <c r="E1366" i="24"/>
  <c r="E1479" i="24"/>
  <c r="F1479" i="24"/>
  <c r="G1479" i="24" s="1"/>
  <c r="E1144" i="24"/>
  <c r="F1144" i="24"/>
  <c r="G1144" i="24" s="1"/>
  <c r="F142" i="24"/>
  <c r="E142" i="24"/>
  <c r="F1744" i="24"/>
  <c r="G1744" i="24" s="1"/>
  <c r="E1744" i="24"/>
  <c r="F1667" i="24"/>
  <c r="G1667" i="24" s="1"/>
  <c r="E1667" i="24"/>
  <c r="E91" i="24"/>
  <c r="F91" i="24"/>
  <c r="G91" i="24"/>
  <c r="E538" i="24"/>
  <c r="F538" i="24"/>
  <c r="G538" i="24" s="1"/>
  <c r="E1393" i="24"/>
  <c r="F1393" i="24"/>
  <c r="E1584" i="24"/>
  <c r="F1584" i="24"/>
  <c r="G1584" i="24"/>
  <c r="E1440" i="24"/>
  <c r="F1440" i="24"/>
  <c r="G1440" i="24"/>
  <c r="E1580" i="24"/>
  <c r="F1580" i="24"/>
  <c r="E1885" i="24"/>
  <c r="F1885" i="24"/>
  <c r="E1471" i="24"/>
  <c r="G1471" i="24" s="1"/>
  <c r="F1471" i="24"/>
  <c r="E1720" i="24"/>
  <c r="F1720" i="24"/>
  <c r="G1720" i="24" s="1"/>
  <c r="E1798" i="24"/>
  <c r="F1798" i="24"/>
  <c r="G1798" i="24"/>
  <c r="E1569" i="24"/>
  <c r="G1569" i="24" s="1"/>
  <c r="F1569" i="24"/>
  <c r="F22" i="24"/>
  <c r="E22" i="24"/>
  <c r="G22" i="24" s="1"/>
  <c r="F1581" i="24"/>
  <c r="E1581" i="24"/>
  <c r="G1581" i="24"/>
  <c r="E1407" i="24"/>
  <c r="F1407" i="24"/>
  <c r="G1407" i="24" s="1"/>
  <c r="F681" i="24"/>
  <c r="E681" i="24"/>
  <c r="F1836" i="24"/>
  <c r="G1836" i="24" s="1"/>
  <c r="E1836" i="24"/>
  <c r="E1559" i="24"/>
  <c r="F1559" i="24"/>
  <c r="F1597" i="24"/>
  <c r="G1597" i="24" s="1"/>
  <c r="E1597" i="24"/>
  <c r="E410" i="24"/>
  <c r="F410" i="24"/>
  <c r="G410" i="24"/>
  <c r="E171" i="24"/>
  <c r="F171" i="24"/>
  <c r="G171" i="24" s="1"/>
  <c r="E1808" i="24"/>
  <c r="F1808" i="24"/>
  <c r="F1619" i="24"/>
  <c r="E1619" i="24"/>
  <c r="G1619" i="24"/>
  <c r="E1837" i="24"/>
  <c r="F1837" i="24"/>
  <c r="G1837" i="24"/>
  <c r="F1761" i="24"/>
  <c r="E1761" i="24"/>
  <c r="G1761" i="24"/>
  <c r="F1342" i="24"/>
  <c r="E1342" i="24"/>
  <c r="G1342" i="24" s="1"/>
  <c r="F661" i="24"/>
  <c r="G661" i="24" s="1"/>
  <c r="E661" i="24"/>
  <c r="F112" i="24"/>
  <c r="G112" i="24" s="1"/>
  <c r="E112" i="24"/>
  <c r="F892" i="24"/>
  <c r="G892" i="24" s="1"/>
  <c r="E892" i="24"/>
  <c r="E836" i="24"/>
  <c r="F836" i="24"/>
  <c r="G836" i="24"/>
  <c r="E1817" i="24"/>
  <c r="F1817" i="24"/>
  <c r="G1817" i="24" s="1"/>
  <c r="E1359" i="24"/>
  <c r="F1359" i="24"/>
  <c r="F295" i="24"/>
  <c r="E295" i="24"/>
  <c r="G295" i="24"/>
  <c r="F1552" i="24"/>
  <c r="E1552" i="24"/>
  <c r="G1552" i="24" s="1"/>
  <c r="F603" i="24"/>
  <c r="E603" i="24"/>
  <c r="E1762" i="24"/>
  <c r="F1762" i="24"/>
  <c r="G1762" i="24"/>
  <c r="E1448" i="24"/>
  <c r="F1448" i="24"/>
  <c r="G1448" i="24"/>
  <c r="E828" i="24"/>
  <c r="F828" i="24"/>
  <c r="G828" i="24"/>
  <c r="E1813" i="24"/>
  <c r="F1813" i="24"/>
  <c r="G1813" i="24" s="1"/>
  <c r="E52" i="24"/>
  <c r="F52" i="24"/>
  <c r="E302" i="24"/>
  <c r="F302" i="24"/>
  <c r="G302" i="24" s="1"/>
  <c r="E854" i="24"/>
  <c r="F854" i="24"/>
  <c r="G854" i="24" s="1"/>
  <c r="E1424" i="24"/>
  <c r="F1424" i="24"/>
  <c r="G1424" i="24" s="1"/>
  <c r="F1535" i="24"/>
  <c r="E1535" i="24"/>
  <c r="G1535" i="24"/>
  <c r="F1409" i="24"/>
  <c r="G1409" i="24" s="1"/>
  <c r="E1409" i="24"/>
  <c r="E1288" i="24"/>
  <c r="G1288" i="24" s="1"/>
  <c r="F1288" i="24"/>
  <c r="E957" i="24"/>
  <c r="F957" i="24"/>
  <c r="G957" i="24" s="1"/>
  <c r="E1009" i="24"/>
  <c r="F1009" i="24"/>
  <c r="F1613" i="24"/>
  <c r="G1613" i="24" s="1"/>
  <c r="E1613" i="24"/>
  <c r="F1081" i="24"/>
  <c r="E1081" i="24"/>
  <c r="F701" i="24"/>
  <c r="E701" i="24"/>
  <c r="G701" i="24"/>
  <c r="F1428" i="24"/>
  <c r="E1428" i="24"/>
  <c r="G1428" i="24"/>
  <c r="F1443" i="24"/>
  <c r="E1443" i="24"/>
  <c r="G1443" i="24" s="1"/>
  <c r="E356" i="24"/>
  <c r="F356" i="24"/>
  <c r="F632" i="24"/>
  <c r="G632" i="24" s="1"/>
  <c r="E632" i="24"/>
  <c r="F397" i="24"/>
  <c r="G397" i="24" s="1"/>
  <c r="E397" i="24"/>
  <c r="F1433" i="24"/>
  <c r="G1433" i="24" s="1"/>
  <c r="E1433" i="24"/>
  <c r="F354" i="24"/>
  <c r="G354" i="24" s="1"/>
  <c r="E354" i="24"/>
  <c r="F1001" i="24"/>
  <c r="G1001" i="24" s="1"/>
  <c r="E1001" i="24"/>
  <c r="F1442" i="24"/>
  <c r="E1442" i="24"/>
  <c r="F1138" i="24"/>
  <c r="G1138" i="24" s="1"/>
  <c r="E1138" i="24"/>
  <c r="E223" i="24"/>
  <c r="G223" i="24" s="1"/>
  <c r="F223" i="24"/>
  <c r="E779" i="24"/>
  <c r="F779" i="24"/>
  <c r="G779" i="24" s="1"/>
  <c r="E1495" i="24"/>
  <c r="F1495" i="24"/>
  <c r="G1495" i="24"/>
  <c r="F1733" i="24"/>
  <c r="E1733" i="24"/>
  <c r="G1733" i="24" s="1"/>
  <c r="F709" i="24"/>
  <c r="G709" i="24" s="1"/>
  <c r="E709" i="24"/>
  <c r="E1108" i="24"/>
  <c r="F1108" i="24"/>
  <c r="G1108" i="24" s="1"/>
  <c r="E1152" i="24"/>
  <c r="F1152" i="24"/>
  <c r="G1152" i="24" s="1"/>
  <c r="F1065" i="24"/>
  <c r="E1065" i="24"/>
  <c r="E610" i="24"/>
  <c r="F610" i="24"/>
  <c r="F1565" i="24"/>
  <c r="G1565" i="24" s="1"/>
  <c r="E1565" i="24"/>
  <c r="E558" i="24"/>
  <c r="F558" i="24"/>
  <c r="G558" i="24" s="1"/>
  <c r="E373" i="24"/>
  <c r="F373" i="24"/>
  <c r="F1421" i="24"/>
  <c r="E1421" i="24"/>
  <c r="E56" i="24"/>
  <c r="G56" i="24" s="1"/>
  <c r="F56" i="24"/>
  <c r="F923" i="24"/>
  <c r="G923" i="24" s="1"/>
  <c r="E923" i="24"/>
  <c r="E1572" i="24"/>
  <c r="F1572" i="24"/>
  <c r="E1218" i="24"/>
  <c r="F1218" i="24"/>
  <c r="G1218" i="24"/>
  <c r="F589" i="24"/>
  <c r="E589" i="24"/>
  <c r="G589" i="24" s="1"/>
  <c r="E309" i="24"/>
  <c r="F309" i="24"/>
  <c r="E1340" i="24"/>
  <c r="F1340" i="24"/>
  <c r="E1296" i="24"/>
  <c r="F1296" i="24"/>
  <c r="F717" i="24"/>
  <c r="E717" i="24"/>
  <c r="G717" i="24" s="1"/>
  <c r="F914" i="24"/>
  <c r="G914" i="24" s="1"/>
  <c r="E914" i="24"/>
  <c r="F591" i="24"/>
  <c r="E591" i="24"/>
  <c r="E258" i="24"/>
  <c r="G258" i="24" s="1"/>
  <c r="F258" i="24"/>
  <c r="E120" i="24"/>
  <c r="F120" i="24"/>
  <c r="G120" i="24" s="1"/>
  <c r="F152" i="24"/>
  <c r="E152" i="24"/>
  <c r="E421" i="24"/>
  <c r="F421" i="24"/>
  <c r="G421" i="24" s="1"/>
  <c r="E1257" i="24"/>
  <c r="G1257" i="24" s="1"/>
  <c r="F1257" i="24"/>
  <c r="E896" i="24"/>
  <c r="F896" i="24"/>
  <c r="G896" i="24" s="1"/>
  <c r="E207" i="24"/>
  <c r="G207" i="24" s="1"/>
  <c r="F207" i="24"/>
  <c r="E238" i="24"/>
  <c r="F238" i="24"/>
  <c r="G238" i="24" s="1"/>
  <c r="E1473" i="24"/>
  <c r="F1473" i="24"/>
  <c r="G1473" i="24" s="1"/>
  <c r="F150" i="24"/>
  <c r="E150" i="24"/>
  <c r="E48" i="24"/>
  <c r="F48" i="24"/>
  <c r="E660" i="24"/>
  <c r="F660" i="24"/>
  <c r="E1634" i="24"/>
  <c r="F1634" i="24"/>
  <c r="G1634" i="24" s="1"/>
  <c r="E1355" i="24"/>
  <c r="F1355" i="24"/>
  <c r="E1603" i="24"/>
  <c r="F1603" i="24"/>
  <c r="E1301" i="24"/>
  <c r="F1301" i="24"/>
  <c r="F285" i="24"/>
  <c r="E285" i="24"/>
  <c r="G285" i="24"/>
  <c r="F770" i="24"/>
  <c r="E770" i="24"/>
  <c r="F1721" i="24"/>
  <c r="E1721" i="24"/>
  <c r="E1238" i="24"/>
  <c r="F1238" i="24"/>
  <c r="E1107" i="24"/>
  <c r="F1107" i="24"/>
  <c r="E1143" i="24"/>
  <c r="F1143" i="24"/>
  <c r="G1143" i="24" s="1"/>
  <c r="F485" i="24"/>
  <c r="E485" i="24"/>
  <c r="G485" i="24"/>
  <c r="E1175" i="24"/>
  <c r="F1175" i="24"/>
  <c r="G1175" i="24" s="1"/>
  <c r="F594" i="24"/>
  <c r="E594" i="24"/>
  <c r="G594" i="24" s="1"/>
  <c r="E1078" i="24"/>
  <c r="F1078" i="24"/>
  <c r="E1072" i="24"/>
  <c r="F1072" i="24"/>
  <c r="E1297" i="24"/>
  <c r="F1297" i="24"/>
  <c r="F1719" i="24"/>
  <c r="G1719" i="24" s="1"/>
  <c r="E1719" i="24"/>
  <c r="E940" i="24"/>
  <c r="F940" i="24"/>
  <c r="G940" i="24"/>
  <c r="F77" i="24"/>
  <c r="G77" i="24" s="1"/>
  <c r="E77" i="24"/>
  <c r="E759" i="24"/>
  <c r="F759" i="24"/>
  <c r="G759" i="24" s="1"/>
  <c r="F1462" i="24"/>
  <c r="E1462" i="24"/>
  <c r="G1462" i="24"/>
  <c r="E233" i="24"/>
  <c r="F233" i="24"/>
  <c r="G233" i="24" s="1"/>
  <c r="E898" i="24"/>
  <c r="F898" i="24"/>
  <c r="E1162" i="24"/>
  <c r="F1162" i="24"/>
  <c r="G1162" i="24" s="1"/>
  <c r="E439" i="24"/>
  <c r="F439" i="24"/>
  <c r="G439" i="24"/>
  <c r="F929" i="24"/>
  <c r="E929" i="24"/>
  <c r="G929" i="24"/>
  <c r="F495" i="24"/>
  <c r="E495" i="24"/>
  <c r="G495" i="24" s="1"/>
  <c r="F33" i="24"/>
  <c r="E33" i="24"/>
  <c r="G33" i="24"/>
  <c r="E100" i="24"/>
  <c r="F100" i="24"/>
  <c r="G100" i="24"/>
  <c r="F608" i="24"/>
  <c r="G608" i="24" s="1"/>
  <c r="E608" i="24"/>
  <c r="E78" i="24"/>
  <c r="G78" i="24" s="1"/>
  <c r="F78" i="24"/>
  <c r="F448" i="24"/>
  <c r="G448" i="24" s="1"/>
  <c r="E448" i="24"/>
  <c r="F137" i="24"/>
  <c r="E137" i="24"/>
  <c r="E537" i="24"/>
  <c r="F537" i="24"/>
  <c r="G537" i="24"/>
  <c r="F1678" i="24"/>
  <c r="E1678" i="24"/>
  <c r="G1678" i="24" s="1"/>
  <c r="E1501" i="24"/>
  <c r="G1501" i="24" s="1"/>
  <c r="F1501" i="24"/>
  <c r="E1293" i="24"/>
  <c r="F1293" i="24"/>
  <c r="E1217" i="24"/>
  <c r="F1217" i="24"/>
  <c r="F1055" i="24"/>
  <c r="E1055" i="24"/>
  <c r="G1055" i="24"/>
  <c r="F213" i="24"/>
  <c r="E213" i="24"/>
  <c r="F635" i="24"/>
  <c r="E635" i="24"/>
  <c r="G635" i="24" s="1"/>
  <c r="F244" i="24"/>
  <c r="E244" i="24"/>
  <c r="G244" i="24"/>
  <c r="F1858" i="24"/>
  <c r="E1858" i="24"/>
  <c r="G1858" i="24"/>
  <c r="F135" i="24"/>
  <c r="E135" i="24"/>
  <c r="G135" i="24"/>
  <c r="F83" i="24"/>
  <c r="E83" i="24"/>
  <c r="G83" i="24" s="1"/>
  <c r="E201" i="24"/>
  <c r="G201" i="24" s="1"/>
  <c r="F201" i="24"/>
  <c r="F195" i="24"/>
  <c r="G195" i="24" s="1"/>
  <c r="E195" i="24"/>
  <c r="E748" i="24"/>
  <c r="F748" i="24"/>
  <c r="G748" i="24" s="1"/>
  <c r="E932" i="24"/>
  <c r="F932" i="24"/>
  <c r="G932" i="24" s="1"/>
  <c r="F844" i="24"/>
  <c r="G844" i="24" s="1"/>
  <c r="E844" i="24"/>
  <c r="E891" i="24"/>
  <c r="F891" i="24"/>
  <c r="G891" i="24" s="1"/>
  <c r="E1514" i="24"/>
  <c r="F1514" i="24"/>
  <c r="G1514" i="24"/>
  <c r="F1735" i="24"/>
  <c r="G1735" i="24" s="1"/>
  <c r="E1735" i="24"/>
  <c r="E1856" i="24"/>
  <c r="F1856" i="24"/>
  <c r="G1856" i="24" s="1"/>
  <c r="E801" i="24"/>
  <c r="F801" i="24"/>
  <c r="G801" i="24"/>
  <c r="E1758" i="24"/>
  <c r="F1758" i="24"/>
  <c r="G1758" i="24" s="1"/>
  <c r="F1010" i="24"/>
  <c r="E1010" i="24"/>
  <c r="G1010" i="24" s="1"/>
  <c r="F1861" i="24"/>
  <c r="E1861" i="24"/>
  <c r="G1861" i="24" s="1"/>
  <c r="E1624" i="24"/>
  <c r="F1624" i="24"/>
  <c r="E382" i="24"/>
  <c r="F382" i="24"/>
  <c r="F1517" i="24"/>
  <c r="G1517" i="24" s="1"/>
  <c r="E1517" i="24"/>
  <c r="F338" i="24"/>
  <c r="E338" i="24"/>
  <c r="F1516" i="24"/>
  <c r="E1516" i="24"/>
  <c r="E1354" i="24"/>
  <c r="F1354" i="24"/>
  <c r="G1354" i="24" s="1"/>
  <c r="E1480" i="24"/>
  <c r="F1480" i="24"/>
  <c r="G1480" i="24" s="1"/>
  <c r="E1844" i="24"/>
  <c r="F1844" i="24"/>
  <c r="G1844" i="24" s="1"/>
  <c r="F1385" i="24"/>
  <c r="E1385" i="24"/>
  <c r="E1601" i="24"/>
  <c r="F1601" i="24"/>
  <c r="E1875" i="24"/>
  <c r="F1875" i="24"/>
  <c r="F1040" i="24"/>
  <c r="E1040" i="24"/>
  <c r="G1040" i="24"/>
  <c r="E1706" i="24"/>
  <c r="F1706" i="24"/>
  <c r="G1706" i="24"/>
  <c r="F1310" i="24"/>
  <c r="G1310" i="24" s="1"/>
  <c r="E1310" i="24"/>
  <c r="E61" i="24"/>
  <c r="F61" i="24"/>
  <c r="G61" i="24" s="1"/>
  <c r="E508" i="24"/>
  <c r="F508" i="24"/>
  <c r="E670" i="24"/>
  <c r="F670" i="24"/>
  <c r="G670" i="24" s="1"/>
  <c r="F1897" i="24"/>
  <c r="E1897" i="24"/>
  <c r="G1897" i="24" s="1"/>
  <c r="E1615" i="24"/>
  <c r="G1615" i="24" s="1"/>
  <c r="F1615" i="24"/>
  <c r="F1815" i="24"/>
  <c r="G1815" i="24" s="1"/>
  <c r="E1815" i="24"/>
  <c r="F1887" i="24"/>
  <c r="E1887" i="24"/>
  <c r="G1887" i="24"/>
  <c r="F1790" i="24"/>
  <c r="E1790" i="24"/>
  <c r="G1790" i="24"/>
  <c r="F667" i="24"/>
  <c r="E667" i="24"/>
  <c r="E422" i="24"/>
  <c r="F422" i="24"/>
  <c r="F900" i="24"/>
  <c r="G900" i="24" s="1"/>
  <c r="E900" i="24"/>
  <c r="F1347" i="24"/>
  <c r="E1347" i="24"/>
  <c r="F1476" i="24"/>
  <c r="E1476" i="24"/>
  <c r="G1476" i="24"/>
  <c r="E882" i="24"/>
  <c r="F882" i="24"/>
  <c r="G882" i="24" s="1"/>
  <c r="E1121" i="24"/>
  <c r="F1121" i="24"/>
  <c r="G1121" i="24" s="1"/>
  <c r="E144" i="24"/>
  <c r="F144" i="24"/>
  <c r="G144" i="24"/>
  <c r="F939" i="24"/>
  <c r="E939" i="24"/>
  <c r="G939" i="24"/>
  <c r="E1714" i="24"/>
  <c r="F1714" i="24"/>
  <c r="G1714" i="24"/>
  <c r="F437" i="24"/>
  <c r="E437" i="24"/>
  <c r="G437" i="24" s="1"/>
  <c r="F1891" i="24"/>
  <c r="G1891" i="24" s="1"/>
  <c r="E1891" i="24"/>
  <c r="F1430" i="24"/>
  <c r="G1430" i="24" s="1"/>
  <c r="E1430" i="24"/>
  <c r="E82" i="24"/>
  <c r="F82" i="24"/>
  <c r="G82" i="24" s="1"/>
  <c r="F366" i="24"/>
  <c r="G366" i="24" s="1"/>
  <c r="E366" i="24"/>
  <c r="F1451" i="24"/>
  <c r="G1451" i="24" s="1"/>
  <c r="E1451" i="24"/>
  <c r="E1795" i="24"/>
  <c r="F1795" i="24"/>
  <c r="E458" i="24"/>
  <c r="F458" i="24"/>
  <c r="G458" i="24"/>
  <c r="E1461" i="24"/>
  <c r="F1461" i="24"/>
  <c r="G1461" i="24" s="1"/>
  <c r="F251" i="24"/>
  <c r="E251" i="24"/>
  <c r="G251" i="24" s="1"/>
  <c r="E1332" i="24"/>
  <c r="F1332" i="24"/>
  <c r="F376" i="24"/>
  <c r="G376" i="24" s="1"/>
  <c r="E376" i="24"/>
  <c r="F794" i="24"/>
  <c r="G794" i="24" s="1"/>
  <c r="E794" i="24"/>
  <c r="E625" i="24"/>
  <c r="G625" i="24" s="1"/>
  <c r="F625" i="24"/>
  <c r="F1862" i="24"/>
  <c r="E1862" i="24"/>
  <c r="F1431" i="24"/>
  <c r="E1431" i="24"/>
  <c r="G1431" i="24" s="1"/>
  <c r="E1395" i="24"/>
  <c r="F1395" i="24"/>
  <c r="G1395" i="24" s="1"/>
  <c r="E396" i="24"/>
  <c r="F396" i="24"/>
  <c r="G396" i="24" s="1"/>
  <c r="F1800" i="24"/>
  <c r="E1800" i="24"/>
  <c r="G1800" i="24" s="1"/>
  <c r="F1852" i="24"/>
  <c r="G1852" i="24" s="1"/>
  <c r="E1852" i="24"/>
  <c r="F1294" i="24"/>
  <c r="E1294" i="24"/>
  <c r="F522" i="24"/>
  <c r="E522" i="24"/>
  <c r="F1512" i="24"/>
  <c r="E1512" i="24"/>
  <c r="G1512" i="24"/>
  <c r="F1618" i="24"/>
  <c r="E1618" i="24"/>
  <c r="E1857" i="24"/>
  <c r="F1857" i="24"/>
  <c r="G1857" i="24" s="1"/>
  <c r="F561" i="24"/>
  <c r="E561" i="24"/>
  <c r="F333" i="24"/>
  <c r="E333" i="24"/>
  <c r="G333" i="24"/>
  <c r="E483" i="24"/>
  <c r="F483" i="24"/>
  <c r="G483" i="24" s="1"/>
  <c r="F170" i="24"/>
  <c r="E170" i="24"/>
  <c r="G170" i="24" s="1"/>
  <c r="F445" i="24"/>
  <c r="E445" i="24"/>
  <c r="G445" i="24"/>
  <c r="F272" i="24"/>
  <c r="E272" i="24"/>
  <c r="G272" i="24" s="1"/>
  <c r="E617" i="24"/>
  <c r="F617" i="24"/>
  <c r="F674" i="24"/>
  <c r="G674" i="24" s="1"/>
  <c r="E674" i="24"/>
  <c r="F159" i="24"/>
  <c r="G159" i="24" s="1"/>
  <c r="E159" i="24"/>
  <c r="E781" i="24"/>
  <c r="F781" i="24"/>
  <c r="G781" i="24" s="1"/>
  <c r="F521" i="24"/>
  <c r="E521" i="24"/>
  <c r="F4" i="24"/>
  <c r="E4" i="24"/>
  <c r="G4" i="24" s="1"/>
  <c r="E185" i="24"/>
  <c r="F185" i="24"/>
  <c r="G185" i="24" s="1"/>
  <c r="E199" i="24"/>
  <c r="F199" i="24"/>
  <c r="E1528" i="24"/>
  <c r="G1528" i="24" s="1"/>
  <c r="F1528" i="24"/>
  <c r="E866" i="24"/>
  <c r="F866" i="24"/>
  <c r="G866" i="24" s="1"/>
  <c r="E1797" i="24"/>
  <c r="F1797" i="24"/>
  <c r="G1797" i="24" s="1"/>
  <c r="F1902" i="24"/>
  <c r="E1902" i="24"/>
  <c r="F962" i="24"/>
  <c r="G962" i="24" s="1"/>
  <c r="E962" i="24"/>
  <c r="E237" i="24"/>
  <c r="G237" i="24" s="1"/>
  <c r="F237" i="24"/>
  <c r="E196" i="24"/>
  <c r="F196" i="24"/>
  <c r="G196" i="24" s="1"/>
  <c r="E1831" i="24"/>
  <c r="F1831" i="24"/>
  <c r="E570" i="24"/>
  <c r="G570" i="24" s="1"/>
  <c r="F570" i="24"/>
  <c r="E434" i="24"/>
  <c r="F434" i="24"/>
  <c r="G434" i="24" s="1"/>
  <c r="E918" i="24"/>
  <c r="F918" i="24"/>
  <c r="G918" i="24"/>
  <c r="F1063" i="24"/>
  <c r="E1063" i="24"/>
  <c r="G1063" i="24"/>
  <c r="F1019" i="24"/>
  <c r="E1019" i="24"/>
  <c r="G1019" i="24" s="1"/>
  <c r="E1892" i="24"/>
  <c r="F1892" i="24"/>
  <c r="E110" i="24"/>
  <c r="G110" i="24" s="1"/>
  <c r="F110" i="24"/>
  <c r="F129" i="24"/>
  <c r="E129" i="24"/>
  <c r="E153" i="24"/>
  <c r="F153" i="24"/>
  <c r="E752" i="24"/>
  <c r="F752" i="24"/>
  <c r="F380" i="24"/>
  <c r="E380" i="24"/>
  <c r="G380" i="24"/>
  <c r="E375" i="24"/>
  <c r="F375" i="24"/>
  <c r="G375" i="24"/>
  <c r="F1389" i="24"/>
  <c r="G1389" i="24" s="1"/>
  <c r="E1389" i="24"/>
  <c r="E451" i="24"/>
  <c r="F451" i="24"/>
  <c r="G451" i="24" s="1"/>
  <c r="E927" i="24"/>
  <c r="F927" i="24"/>
  <c r="F740" i="24"/>
  <c r="G740" i="24" s="1"/>
  <c r="E740" i="24"/>
  <c r="E1185" i="24"/>
  <c r="F1185" i="24"/>
  <c r="G1185" i="24" s="1"/>
  <c r="F1508" i="24"/>
  <c r="E1508" i="24"/>
  <c r="G1508" i="24"/>
  <c r="E1563" i="24"/>
  <c r="F1563" i="24"/>
  <c r="G1563" i="24" s="1"/>
  <c r="E1088" i="24"/>
  <c r="F1088" i="24"/>
  <c r="F1707" i="24"/>
  <c r="E1707" i="24"/>
  <c r="G1707" i="24"/>
  <c r="E174" i="24"/>
  <c r="F174" i="24"/>
  <c r="G174" i="24" s="1"/>
  <c r="F775" i="24"/>
  <c r="G775" i="24" s="1"/>
  <c r="E775" i="24"/>
  <c r="F1612" i="24"/>
  <c r="G1612" i="24" s="1"/>
  <c r="E1612" i="24"/>
  <c r="F1197" i="24"/>
  <c r="E1197" i="24"/>
  <c r="G1197" i="24"/>
  <c r="E643" i="24"/>
  <c r="F643" i="24"/>
  <c r="G643" i="24" s="1"/>
  <c r="E1880" i="24"/>
  <c r="F1880" i="24"/>
  <c r="G1880" i="24" s="1"/>
  <c r="F1026" i="24"/>
  <c r="E1026" i="24"/>
  <c r="F949" i="24"/>
  <c r="G949" i="24" s="1"/>
  <c r="E949" i="24"/>
  <c r="E234" i="24"/>
  <c r="F234" i="24"/>
  <c r="G234" i="24" s="1"/>
  <c r="F1104" i="24"/>
  <c r="E1104" i="24"/>
  <c r="G1104" i="24" s="1"/>
  <c r="F130" i="24"/>
  <c r="E130" i="24"/>
  <c r="F450" i="24"/>
  <c r="E450" i="24"/>
  <c r="G450" i="24"/>
  <c r="F1605" i="24"/>
  <c r="E1605" i="24"/>
  <c r="G1605" i="24"/>
  <c r="F101" i="24"/>
  <c r="E101" i="24"/>
  <c r="G101" i="24"/>
  <c r="F627" i="24"/>
  <c r="E627" i="24"/>
  <c r="G627" i="24" s="1"/>
  <c r="E37" i="24"/>
  <c r="F37" i="24"/>
  <c r="G37" i="24" s="1"/>
  <c r="F1030" i="24"/>
  <c r="G1030" i="24" s="1"/>
  <c r="E1030" i="24"/>
  <c r="E948" i="24"/>
  <c r="F948" i="24"/>
  <c r="G948" i="24" s="1"/>
  <c r="E1403" i="24"/>
  <c r="F1403" i="24"/>
  <c r="G1403" i="24" s="1"/>
  <c r="F128" i="24"/>
  <c r="E128" i="24"/>
  <c r="G128" i="24" s="1"/>
  <c r="E978" i="24"/>
  <c r="F978" i="24"/>
  <c r="G978" i="24" s="1"/>
  <c r="E1298" i="24"/>
  <c r="F1298" i="24"/>
  <c r="G1298" i="24" s="1"/>
  <c r="F1039" i="24"/>
  <c r="G1039" i="24" s="1"/>
  <c r="E1039" i="24"/>
  <c r="E269" i="24"/>
  <c r="F269" i="24"/>
  <c r="G269" i="24"/>
  <c r="E1125" i="24"/>
  <c r="F1125" i="24"/>
  <c r="G1125" i="24" s="1"/>
  <c r="E459" i="24"/>
  <c r="F459" i="24"/>
  <c r="G459" i="24" s="1"/>
  <c r="E1110" i="24"/>
  <c r="F1110" i="24"/>
  <c r="G1110" i="24"/>
  <c r="E1289" i="24"/>
  <c r="G1289" i="24" s="1"/>
  <c r="F1289" i="24"/>
  <c r="F312" i="24"/>
  <c r="E312" i="24"/>
  <c r="G312" i="24" s="1"/>
  <c r="F12" i="24"/>
  <c r="G12" i="24" s="1"/>
  <c r="E12" i="24"/>
  <c r="F108" i="24"/>
  <c r="G108" i="24" s="1"/>
  <c r="E108" i="24"/>
  <c r="F1712" i="24"/>
  <c r="E1712" i="24"/>
  <c r="G1712" i="24" s="1"/>
  <c r="E143" i="24"/>
  <c r="G143" i="24" s="1"/>
  <c r="F143" i="24"/>
  <c r="E1004" i="24"/>
  <c r="F1004" i="24"/>
  <c r="G1004" i="24" s="1"/>
  <c r="E690" i="24"/>
  <c r="F690" i="24"/>
  <c r="F1543" i="24"/>
  <c r="G1543" i="24" s="1"/>
  <c r="E1543" i="24"/>
  <c r="E1871" i="24"/>
  <c r="F1871" i="24"/>
  <c r="G1871" i="24"/>
  <c r="E1686" i="24"/>
  <c r="F1686" i="24"/>
  <c r="G1686" i="24" s="1"/>
  <c r="F1542" i="24"/>
  <c r="E1542" i="24"/>
  <c r="F444" i="24"/>
  <c r="E444" i="24"/>
  <c r="G444" i="24"/>
  <c r="E953" i="24"/>
  <c r="F953" i="24"/>
  <c r="G953" i="24" s="1"/>
  <c r="F766" i="24"/>
  <c r="E766" i="24"/>
  <c r="F578" i="24"/>
  <c r="E578" i="24"/>
  <c r="G578" i="24" s="1"/>
  <c r="E560" i="24"/>
  <c r="G560" i="24" s="1"/>
  <c r="F560" i="24"/>
  <c r="E109" i="24"/>
  <c r="F109" i="24"/>
  <c r="F209" i="24"/>
  <c r="E209" i="24"/>
  <c r="G209" i="24"/>
  <c r="F684" i="24"/>
  <c r="E684" i="24"/>
  <c r="G684" i="24"/>
  <c r="F1154" i="24"/>
  <c r="E1154" i="24"/>
  <c r="G1154" i="24" s="1"/>
  <c r="E476" i="24"/>
  <c r="F476" i="24"/>
  <c r="E1513" i="24"/>
  <c r="G1513" i="24" s="1"/>
  <c r="F1513" i="24"/>
  <c r="E1730" i="24"/>
  <c r="G1730" i="24"/>
  <c r="F1730" i="24"/>
  <c r="F511" i="24"/>
  <c r="E511" i="24"/>
  <c r="G511" i="24"/>
  <c r="F367" i="24"/>
  <c r="E367" i="24"/>
  <c r="E1274" i="24"/>
  <c r="F1274" i="24"/>
  <c r="G1274" i="24" s="1"/>
  <c r="E850" i="24"/>
  <c r="F850" i="24"/>
  <c r="G850" i="24" s="1"/>
  <c r="F925" i="24"/>
  <c r="E925" i="24"/>
  <c r="G925" i="24" s="1"/>
  <c r="F885" i="24"/>
  <c r="E885" i="24"/>
  <c r="E1662" i="24"/>
  <c r="F1662" i="24"/>
  <c r="G1662" i="24" s="1"/>
  <c r="E806" i="24"/>
  <c r="F806" i="24"/>
  <c r="F111" i="24"/>
  <c r="G111" i="24" s="1"/>
  <c r="E111" i="24"/>
  <c r="E17" i="24"/>
  <c r="F17" i="24"/>
  <c r="E621" i="24"/>
  <c r="F621" i="24"/>
  <c r="G621" i="24" s="1"/>
  <c r="E456" i="24"/>
  <c r="F456" i="24"/>
  <c r="F395" i="24"/>
  <c r="G395" i="24"/>
  <c r="E395" i="24"/>
  <c r="F1644" i="24"/>
  <c r="E1644" i="24"/>
  <c r="F1333" i="24"/>
  <c r="E1333" i="24"/>
  <c r="F28" i="24"/>
  <c r="G28" i="24" s="1"/>
  <c r="E28" i="24"/>
  <c r="F1169" i="24"/>
  <c r="E1169" i="24"/>
  <c r="E1167" i="24"/>
  <c r="F1167" i="24"/>
  <c r="G1167" i="24" s="1"/>
  <c r="F446" i="24"/>
  <c r="G446" i="24" s="1"/>
  <c r="E446" i="24"/>
  <c r="E1083" i="24"/>
  <c r="F1083" i="24"/>
  <c r="G1083" i="24" s="1"/>
  <c r="F873" i="24"/>
  <c r="E873" i="24"/>
  <c r="G873" i="24" s="1"/>
  <c r="E364" i="24"/>
  <c r="F364" i="24"/>
  <c r="F552" i="24"/>
  <c r="E552" i="24"/>
  <c r="G552" i="24"/>
  <c r="E795" i="24"/>
  <c r="F795" i="24"/>
  <c r="G795" i="24"/>
  <c r="F1044" i="24"/>
  <c r="G1044" i="24" s="1"/>
  <c r="E1044" i="24"/>
  <c r="E282" i="24"/>
  <c r="F282" i="24"/>
  <c r="G282" i="24" s="1"/>
  <c r="E1269" i="24"/>
  <c r="F1269" i="24"/>
  <c r="E1351" i="24"/>
  <c r="F1351" i="24"/>
  <c r="F1371" i="24"/>
  <c r="E1371" i="24"/>
  <c r="G1371" i="24"/>
  <c r="F315" i="24"/>
  <c r="E315" i="24"/>
  <c r="G315" i="24" s="1"/>
  <c r="F496" i="24"/>
  <c r="G496" i="24" s="1"/>
  <c r="E496" i="24"/>
  <c r="F1531" i="24"/>
  <c r="G1531" i="24" s="1"/>
  <c r="E1531" i="24"/>
  <c r="E1447" i="24"/>
  <c r="F1447" i="24"/>
  <c r="G1447" i="24"/>
  <c r="E385" i="24"/>
  <c r="F385" i="24"/>
  <c r="G385" i="24" s="1"/>
  <c r="F1896" i="24"/>
  <c r="E1896" i="24"/>
  <c r="E190" i="24"/>
  <c r="F190" i="24"/>
  <c r="E1439" i="24"/>
  <c r="G1439" i="24" s="1"/>
  <c r="F1439" i="24"/>
  <c r="F1171" i="24"/>
  <c r="E1171" i="24"/>
  <c r="F1793" i="24"/>
  <c r="E1793" i="24"/>
  <c r="G1793" i="24"/>
  <c r="F1574" i="24"/>
  <c r="E1574" i="24"/>
  <c r="E1567" i="24"/>
  <c r="F1567" i="24"/>
  <c r="G1567" i="24" s="1"/>
  <c r="E1161" i="24"/>
  <c r="F1161" i="24"/>
  <c r="G1161" i="24"/>
  <c r="F1101" i="24"/>
  <c r="E1101" i="24"/>
  <c r="G1101" i="24" s="1"/>
  <c r="E958" i="24"/>
  <c r="F958" i="24"/>
  <c r="E1557" i="24"/>
  <c r="F1557" i="24"/>
  <c r="G1557" i="24" s="1"/>
  <c r="E930" i="24"/>
  <c r="F930" i="24"/>
  <c r="G930" i="24"/>
  <c r="E1608" i="24"/>
  <c r="F1608" i="24"/>
  <c r="E1819" i="24"/>
  <c r="G1819" i="24" s="1"/>
  <c r="F1819" i="24"/>
  <c r="E1356" i="24"/>
  <c r="F1356" i="24"/>
  <c r="G1356" i="24" s="1"/>
  <c r="F1700" i="24"/>
  <c r="E1700" i="24"/>
  <c r="E1825" i="24"/>
  <c r="G1825" i="24" s="1"/>
  <c r="F1825" i="24"/>
  <c r="E1743" i="24"/>
  <c r="F1743" i="24"/>
  <c r="G1743" i="24"/>
  <c r="E474" i="24"/>
  <c r="F474" i="24"/>
  <c r="G474" i="24" s="1"/>
  <c r="F1244" i="24"/>
  <c r="G1244" i="24" s="1"/>
  <c r="E1244" i="24"/>
  <c r="E1594" i="24"/>
  <c r="G1594" i="24" s="1"/>
  <c r="F1594" i="24"/>
  <c r="F546" i="24"/>
  <c r="G546" i="24" s="1"/>
  <c r="E546" i="24"/>
  <c r="F1287" i="24"/>
  <c r="G1287" i="24" s="1"/>
  <c r="E1287" i="24"/>
  <c r="F1867" i="24"/>
  <c r="G1867" i="24" s="1"/>
  <c r="E1867" i="24"/>
  <c r="F905" i="24"/>
  <c r="G905" i="24" s="1"/>
  <c r="E905" i="24"/>
  <c r="E1527" i="24"/>
  <c r="F1527" i="24"/>
  <c r="G1527" i="24" s="1"/>
  <c r="E187" i="24"/>
  <c r="G187" i="24" s="1"/>
  <c r="F187" i="24"/>
  <c r="F1646" i="24"/>
  <c r="G1646" i="24" s="1"/>
  <c r="E1646" i="24"/>
  <c r="E55" i="24"/>
  <c r="F55" i="24"/>
  <c r="E1689" i="24"/>
  <c r="F1689" i="24"/>
  <c r="F1057" i="24"/>
  <c r="E1057" i="24"/>
  <c r="G1057" i="24"/>
  <c r="F300" i="24"/>
  <c r="E300" i="24"/>
  <c r="G300" i="24" s="1"/>
  <c r="F1518" i="24"/>
  <c r="G1518" i="24" s="1"/>
  <c r="E1518" i="24"/>
  <c r="E692" i="24"/>
  <c r="G692" i="24" s="1"/>
  <c r="F692" i="24"/>
  <c r="E1314" i="24"/>
  <c r="F1314" i="24"/>
  <c r="G1314" i="24" s="1"/>
  <c r="E1789" i="24"/>
  <c r="F1789" i="24"/>
  <c r="G1789" i="24" s="1"/>
  <c r="F1329" i="24"/>
  <c r="G1329" i="24" s="1"/>
  <c r="E1329" i="24"/>
  <c r="E1614" i="24"/>
  <c r="F1614" i="24"/>
  <c r="G1614" i="24" s="1"/>
  <c r="F1234" i="24"/>
  <c r="E1234" i="24"/>
  <c r="G1234" i="24" s="1"/>
  <c r="E1074" i="24"/>
  <c r="F1074" i="24"/>
  <c r="G1074" i="24"/>
  <c r="F368" i="24"/>
  <c r="E368" i="24"/>
  <c r="G368" i="24" s="1"/>
  <c r="F36" i="24"/>
  <c r="E36" i="24"/>
  <c r="G1847" i="24"/>
  <c r="E1847" i="24"/>
  <c r="F1847" i="24"/>
  <c r="F1090" i="24"/>
  <c r="E1090" i="24"/>
  <c r="E972" i="24"/>
  <c r="F972" i="24"/>
  <c r="G972" i="24" s="1"/>
  <c r="F1320" i="24"/>
  <c r="G1320" i="24" s="1"/>
  <c r="E1320" i="24"/>
  <c r="E1606" i="24"/>
  <c r="F1606" i="24"/>
  <c r="G1606" i="24" s="1"/>
  <c r="E73" i="24"/>
  <c r="F73" i="24"/>
  <c r="G73" i="24" s="1"/>
  <c r="F1085" i="24"/>
  <c r="E1085" i="24"/>
  <c r="F123" i="24"/>
  <c r="E123" i="24"/>
  <c r="G123" i="24" s="1"/>
  <c r="F173" i="24"/>
  <c r="E173" i="24"/>
  <c r="G173" i="24"/>
  <c r="F921" i="24"/>
  <c r="E921" i="24"/>
  <c r="G921" i="24" s="1"/>
  <c r="F42" i="24"/>
  <c r="E42" i="24"/>
  <c r="G42" i="24"/>
  <c r="F986" i="24"/>
  <c r="E986" i="24"/>
  <c r="G986" i="24" s="1"/>
  <c r="F1111" i="24"/>
  <c r="G1111" i="24" s="1"/>
  <c r="E1111" i="24"/>
  <c r="E478" i="24"/>
  <c r="G478" i="24" s="1"/>
  <c r="F478" i="24"/>
  <c r="F1401" i="24"/>
  <c r="E1401" i="24"/>
  <c r="F1060" i="24"/>
  <c r="E1060" i="24"/>
  <c r="G1060" i="24"/>
  <c r="F1147" i="24"/>
  <c r="E1147" i="24"/>
  <c r="F499" i="24"/>
  <c r="G499" i="24" s="1"/>
  <c r="E499" i="24"/>
  <c r="F1773" i="24"/>
  <c r="E1773" i="24"/>
  <c r="G1773" i="24"/>
  <c r="E1018" i="24"/>
  <c r="F1018" i="24"/>
  <c r="G1018" i="24" s="1"/>
  <c r="F691" i="24"/>
  <c r="E691" i="24"/>
  <c r="G691" i="24" s="1"/>
  <c r="E776" i="24"/>
  <c r="F776" i="24"/>
  <c r="G776" i="24" s="1"/>
  <c r="E298" i="24"/>
  <c r="G298" i="24" s="1"/>
  <c r="F298" i="24"/>
  <c r="F1243" i="24"/>
  <c r="E1243" i="24"/>
  <c r="E353" i="24"/>
  <c r="F353" i="24"/>
  <c r="G353" i="24" s="1"/>
  <c r="F297" i="24"/>
  <c r="G297" i="24" s="1"/>
  <c r="E297" i="24"/>
  <c r="E1771" i="24"/>
  <c r="F1771" i="24"/>
  <c r="G1771" i="24" s="1"/>
  <c r="E973" i="24"/>
  <c r="F973" i="24"/>
  <c r="G973" i="24"/>
  <c r="F280" i="24"/>
  <c r="E280" i="24"/>
  <c r="G280" i="24"/>
  <c r="F70" i="24"/>
  <c r="E70" i="24"/>
  <c r="G70" i="24" s="1"/>
  <c r="F515" i="24"/>
  <c r="E515" i="24"/>
  <c r="G515" i="24"/>
  <c r="E823" i="24"/>
  <c r="F823" i="24"/>
  <c r="G823" i="24"/>
  <c r="F480" i="24"/>
  <c r="G480" i="24" s="1"/>
  <c r="E480" i="24"/>
  <c r="E1070" i="24"/>
  <c r="F1070" i="24"/>
  <c r="G1070" i="24" s="1"/>
  <c r="E539" i="24"/>
  <c r="F539" i="24"/>
  <c r="G539" i="24"/>
  <c r="F859" i="24"/>
  <c r="E859" i="24"/>
  <c r="G859" i="24" s="1"/>
  <c r="E1505" i="24"/>
  <c r="F1505" i="24"/>
  <c r="G1505" i="24"/>
  <c r="E960" i="24"/>
  <c r="F960" i="24"/>
  <c r="G960" i="24" s="1"/>
  <c r="E268" i="24"/>
  <c r="F268" i="24"/>
  <c r="E321" i="24"/>
  <c r="F321" i="24"/>
  <c r="F1411" i="24"/>
  <c r="E1411" i="24"/>
  <c r="G1411" i="24"/>
  <c r="E966" i="24"/>
  <c r="F966" i="24"/>
  <c r="G966" i="24" s="1"/>
  <c r="F1732" i="24"/>
  <c r="E1732" i="24"/>
  <c r="G1732" i="24" s="1"/>
  <c r="E1697" i="24"/>
  <c r="F1697" i="24"/>
  <c r="G1697" i="24" s="1"/>
  <c r="E531" i="24"/>
  <c r="F531" i="24"/>
  <c r="G531" i="24" s="1"/>
  <c r="E1113" i="24"/>
  <c r="F1113" i="24"/>
  <c r="G1113" i="24" s="1"/>
  <c r="F581" i="24"/>
  <c r="E581" i="24"/>
  <c r="G581" i="24" s="1"/>
  <c r="E1042" i="24"/>
  <c r="F1042" i="24"/>
  <c r="E793" i="24"/>
  <c r="F793" i="24"/>
  <c r="G566" i="24"/>
  <c r="E566" i="24"/>
  <c r="F566" i="24"/>
  <c r="F1118" i="24"/>
  <c r="E1118" i="24"/>
  <c r="F931" i="24"/>
  <c r="E931" i="24"/>
  <c r="G931" i="24" s="1"/>
  <c r="E756" i="24"/>
  <c r="G756" i="24" s="1"/>
  <c r="F756" i="24"/>
  <c r="F1740" i="24"/>
  <c r="G1740" i="24" s="1"/>
  <c r="E1740" i="24"/>
  <c r="F1155" i="24"/>
  <c r="E1155" i="24"/>
  <c r="G1155" i="24"/>
  <c r="F1326" i="24"/>
  <c r="E1326" i="24"/>
  <c r="E461" i="24"/>
  <c r="F461" i="24"/>
  <c r="G461" i="24" s="1"/>
  <c r="E498" i="24"/>
  <c r="F498" i="24"/>
  <c r="E266" i="24"/>
  <c r="G266" i="24" s="1"/>
  <c r="F266" i="24"/>
  <c r="E685" i="24"/>
  <c r="F685" i="24"/>
  <c r="G685" i="24" s="1"/>
  <c r="F1038" i="24"/>
  <c r="G1038" i="24" s="1"/>
  <c r="E1038" i="24"/>
  <c r="E713" i="24"/>
  <c r="F713" i="24"/>
  <c r="G713" i="24" s="1"/>
  <c r="F303" i="24"/>
  <c r="G303" i="24" s="1"/>
  <c r="E303" i="24"/>
  <c r="E1709" i="24"/>
  <c r="F1709" i="24"/>
  <c r="G1709" i="24"/>
  <c r="E1387" i="24"/>
  <c r="F1387" i="24"/>
  <c r="G1387" i="24" s="1"/>
  <c r="F530" i="24"/>
  <c r="E530" i="24"/>
  <c r="E273" i="24"/>
  <c r="F273" i="24"/>
  <c r="G273" i="24" s="1"/>
  <c r="F349" i="24"/>
  <c r="G349" i="24" s="1"/>
  <c r="E349" i="24"/>
  <c r="E1846" i="24"/>
  <c r="F1846" i="24"/>
  <c r="G1846" i="24" s="1"/>
  <c r="E583" i="24"/>
  <c r="F583" i="24"/>
  <c r="E308" i="24"/>
  <c r="G308" i="24" s="1"/>
  <c r="F308" i="24"/>
  <c r="E406" i="24"/>
  <c r="F406" i="24"/>
  <c r="G406" i="24"/>
  <c r="F694" i="24"/>
  <c r="G694" i="24" s="1"/>
  <c r="E694" i="24"/>
  <c r="E529" i="24"/>
  <c r="F529" i="24"/>
  <c r="E569" i="24"/>
  <c r="F569" i="24"/>
  <c r="G569" i="24" s="1"/>
  <c r="F1855" i="24"/>
  <c r="G1855" i="24" s="1"/>
  <c r="E1855" i="24"/>
  <c r="E1156" i="24"/>
  <c r="G1156" i="24" s="1"/>
  <c r="F1156" i="24"/>
  <c r="E305" i="24"/>
  <c r="F305" i="24"/>
  <c r="E1032" i="24"/>
  <c r="F1032" i="24"/>
  <c r="G1032" i="24" s="1"/>
  <c r="E357" i="24"/>
  <c r="F357" i="24"/>
  <c r="G357" i="24" s="1"/>
  <c r="E1778" i="24"/>
  <c r="F1778" i="24"/>
  <c r="F742" i="24"/>
  <c r="G742" i="24" s="1"/>
  <c r="E742" i="24"/>
  <c r="F725" i="24"/>
  <c r="G725" i="24" s="1"/>
  <c r="E725" i="24"/>
  <c r="E1905" i="24"/>
  <c r="F1905" i="24"/>
  <c r="E162" i="24"/>
  <c r="F162" i="24"/>
  <c r="F787" i="24"/>
  <c r="E787" i="24"/>
  <c r="E68" i="24"/>
  <c r="F68" i="24"/>
  <c r="E688" i="24"/>
  <c r="F688" i="24"/>
  <c r="G688" i="24" s="1"/>
  <c r="E136" i="24"/>
  <c r="F136" i="24"/>
  <c r="G136" i="24"/>
  <c r="F18" i="24"/>
  <c r="E18" i="24"/>
  <c r="G18" i="24" s="1"/>
  <c r="F271" i="24"/>
  <c r="E271" i="24"/>
  <c r="E1013" i="24"/>
  <c r="F1013" i="24"/>
  <c r="E822" i="24"/>
  <c r="F822" i="24"/>
  <c r="G822" i="24" s="1"/>
  <c r="E1308" i="24"/>
  <c r="G1308" i="24" s="1"/>
  <c r="F1308" i="24"/>
  <c r="E774" i="24"/>
  <c r="F774" i="24"/>
  <c r="G774" i="24" s="1"/>
  <c r="E1757" i="24"/>
  <c r="F1757" i="24"/>
  <c r="G1757" i="24"/>
  <c r="E1807" i="24"/>
  <c r="F1807" i="24"/>
  <c r="G1807" i="24"/>
  <c r="F1772" i="24"/>
  <c r="G1772" i="24" s="1"/>
  <c r="E1772" i="24"/>
  <c r="E1466" i="24"/>
  <c r="F1466" i="24"/>
  <c r="G1466" i="24" s="1"/>
  <c r="F1537" i="24"/>
  <c r="E1537" i="24"/>
  <c r="E1483" i="24"/>
  <c r="F1483" i="24"/>
  <c r="F1191" i="24"/>
  <c r="E1191" i="24"/>
  <c r="G1191" i="24"/>
  <c r="F874" i="24"/>
  <c r="E874" i="24"/>
  <c r="G874" i="24" s="1"/>
  <c r="E175" i="24"/>
  <c r="F175" i="24"/>
  <c r="E1840" i="24"/>
  <c r="F1840" i="24"/>
  <c r="E818" i="24"/>
  <c r="G818" i="24" s="1"/>
  <c r="F818" i="24"/>
  <c r="F1076" i="24"/>
  <c r="G1076" i="24" s="1"/>
  <c r="E1076" i="24"/>
  <c r="F99" i="24"/>
  <c r="E99" i="24"/>
  <c r="G99" i="24"/>
  <c r="E1553" i="24"/>
  <c r="F1553" i="24"/>
  <c r="G1553" i="24" s="1"/>
  <c r="F1554" i="24"/>
  <c r="E1554" i="24"/>
  <c r="F1184" i="24"/>
  <c r="E1184" i="24"/>
  <c r="G1184" i="24" s="1"/>
  <c r="E835" i="24"/>
  <c r="F835" i="24"/>
  <c r="G835" i="24" s="1"/>
  <c r="F575" i="24"/>
  <c r="G575" i="24" s="1"/>
  <c r="E575" i="24"/>
  <c r="F568" i="24"/>
  <c r="G568" i="24" s="1"/>
  <c r="E568" i="24"/>
  <c r="F1360" i="24"/>
  <c r="E1360" i="24"/>
  <c r="E1682" i="24"/>
  <c r="F1682" i="24"/>
  <c r="G1682" i="24"/>
  <c r="E442" i="24"/>
  <c r="F442" i="24"/>
  <c r="G442" i="24" s="1"/>
  <c r="E1524" i="24"/>
  <c r="G1524" i="24"/>
  <c r="F1524" i="24"/>
  <c r="E1814" i="24"/>
  <c r="F1814" i="24"/>
  <c r="G1814" i="24"/>
  <c r="F310" i="24"/>
  <c r="E310" i="24"/>
  <c r="G310" i="24" s="1"/>
  <c r="E1642" i="24"/>
  <c r="F1642" i="24"/>
  <c r="G1642" i="24" s="1"/>
  <c r="F1482" i="24"/>
  <c r="E1482" i="24"/>
  <c r="G1482" i="24" s="1"/>
  <c r="F218" i="24"/>
  <c r="G218" i="24" s="1"/>
  <c r="E218" i="24"/>
  <c r="E1392" i="24"/>
  <c r="G1392" i="24" s="1"/>
  <c r="F1392" i="24"/>
  <c r="E221" i="24"/>
  <c r="F221" i="24"/>
  <c r="F1737" i="24"/>
  <c r="E1737" i="24"/>
  <c r="G1737" i="24"/>
  <c r="F1895" i="24"/>
  <c r="E1895" i="24"/>
  <c r="G1895" i="24" s="1"/>
  <c r="E1183" i="24"/>
  <c r="F1183" i="24"/>
  <c r="G1183" i="24"/>
  <c r="E126" i="24"/>
  <c r="F126" i="24"/>
  <c r="G126" i="24" s="1"/>
  <c r="F1068" i="24"/>
  <c r="G1068" i="24" s="1"/>
  <c r="E1068" i="24"/>
  <c r="F605" i="24"/>
  <c r="E605" i="24"/>
  <c r="G605" i="24"/>
  <c r="E624" i="24"/>
  <c r="F624" i="24"/>
  <c r="G624" i="24" s="1"/>
  <c r="E699" i="24"/>
  <c r="F699" i="24"/>
  <c r="E1363" i="24"/>
  <c r="F1363" i="24"/>
  <c r="G1363" i="24"/>
  <c r="E264" i="24"/>
  <c r="F264" i="24"/>
  <c r="G264" i="24" s="1"/>
  <c r="F262" i="24"/>
  <c r="G262" i="24" s="1"/>
  <c r="E262" i="24"/>
  <c r="F683" i="24"/>
  <c r="E683" i="24"/>
  <c r="G683" i="24"/>
  <c r="F1655" i="24"/>
  <c r="E1655" i="24"/>
  <c r="E1449" i="24"/>
  <c r="F1449" i="24"/>
  <c r="G1449" i="24" s="1"/>
  <c r="F551" i="24"/>
  <c r="G551" i="24" s="1"/>
  <c r="E551" i="24"/>
  <c r="F1282" i="24"/>
  <c r="G1282" i="24" s="1"/>
  <c r="E1282" i="24"/>
  <c r="F1423" i="24"/>
  <c r="E1423" i="24"/>
  <c r="G1423" i="24" s="1"/>
  <c r="F1450" i="24"/>
  <c r="E1450" i="24"/>
  <c r="G1450" i="24" s="1"/>
  <c r="F762" i="24"/>
  <c r="G762" i="24" s="1"/>
  <c r="E762" i="24"/>
  <c r="F1034" i="24"/>
  <c r="E1034" i="24"/>
  <c r="G1034" i="24" s="1"/>
  <c r="F816" i="24"/>
  <c r="E816" i="24"/>
  <c r="G816" i="24"/>
  <c r="E1769" i="24"/>
  <c r="F1769" i="24"/>
  <c r="G1769" i="24" s="1"/>
  <c r="E1894" i="24"/>
  <c r="F1894" i="24"/>
  <c r="G1894" i="24"/>
  <c r="F208" i="24"/>
  <c r="E208" i="24"/>
  <c r="G208" i="24" s="1"/>
  <c r="F358" i="24"/>
  <c r="E358" i="24"/>
  <c r="G358" i="24"/>
  <c r="F506" i="24"/>
  <c r="E506" i="24"/>
  <c r="F460" i="24"/>
  <c r="E460" i="24"/>
  <c r="G460" i="24" s="1"/>
  <c r="F25" i="24"/>
  <c r="E25" i="24"/>
  <c r="G25" i="24" s="1"/>
  <c r="E919" i="24"/>
  <c r="G919" i="24" s="1"/>
  <c r="F919" i="24"/>
  <c r="F464" i="24"/>
  <c r="G464" i="24" s="1"/>
  <c r="E464" i="24"/>
  <c r="F294" i="24"/>
  <c r="E294" i="24"/>
  <c r="F967" i="24"/>
  <c r="E967" i="24"/>
  <c r="E1129" i="24"/>
  <c r="F1129" i="24"/>
  <c r="F377" i="24"/>
  <c r="G377" i="24" s="1"/>
  <c r="E377" i="24"/>
  <c r="F697" i="24"/>
  <c r="E697" i="24"/>
  <c r="F858" i="24"/>
  <c r="E858" i="24"/>
  <c r="G858" i="24"/>
  <c r="F115" i="24"/>
  <c r="E115" i="24"/>
  <c r="G115" i="24" s="1"/>
  <c r="E1446" i="24"/>
  <c r="F1446" i="24"/>
  <c r="F507" i="24"/>
  <c r="G507" i="24" s="1"/>
  <c r="E507" i="24"/>
  <c r="E257" i="24"/>
  <c r="F257" i="24"/>
  <c r="E1688" i="24"/>
  <c r="F1688" i="24"/>
  <c r="E1863" i="24"/>
  <c r="F1863" i="24"/>
  <c r="G1863" i="24"/>
  <c r="E1094" i="24"/>
  <c r="F1094" i="24"/>
  <c r="G1094" i="24" s="1"/>
  <c r="E1498" i="24"/>
  <c r="F1498" i="24"/>
  <c r="F80" i="24"/>
  <c r="G80" i="24" s="1"/>
  <c r="E80" i="24"/>
  <c r="F1500" i="24"/>
  <c r="E1500" i="24"/>
  <c r="E387" i="24"/>
  <c r="F387" i="24"/>
  <c r="F689" i="24"/>
  <c r="G689" i="24" s="1"/>
  <c r="E689" i="24"/>
  <c r="E1736" i="24"/>
  <c r="F1736" i="24"/>
  <c r="G1736" i="24" s="1"/>
  <c r="E1041" i="24"/>
  <c r="F1041" i="24"/>
  <c r="E240" i="24"/>
  <c r="F240" i="24"/>
  <c r="G240" i="24"/>
  <c r="F746" i="24"/>
  <c r="E746" i="24"/>
  <c r="G746" i="24" s="1"/>
  <c r="E682" i="24"/>
  <c r="F682" i="24"/>
  <c r="F1071" i="24"/>
  <c r="G1071" i="24" s="1"/>
  <c r="E1071" i="24"/>
  <c r="E392" i="24"/>
  <c r="F392" i="24"/>
  <c r="G392" i="24" s="1"/>
  <c r="E1511" i="24"/>
  <c r="F1511" i="24"/>
  <c r="E472" i="24"/>
  <c r="G472" i="24" s="1"/>
  <c r="F472" i="24"/>
  <c r="E1850" i="24"/>
  <c r="F1850" i="24"/>
  <c r="G1850" i="24" s="1"/>
  <c r="E1235" i="24"/>
  <c r="F1235" i="24"/>
  <c r="G1235" i="24"/>
  <c r="F1791" i="24"/>
  <c r="E1791" i="24"/>
  <c r="E1556" i="24"/>
  <c r="F1556" i="24"/>
  <c r="G1556" i="24" s="1"/>
  <c r="F1307" i="24"/>
  <c r="E1307" i="24"/>
  <c r="G1307" i="24" s="1"/>
  <c r="F992" i="24"/>
  <c r="E992" i="24"/>
  <c r="F536" i="24"/>
  <c r="E536" i="24"/>
  <c r="G536" i="24"/>
  <c r="F807" i="24"/>
  <c r="E807" i="24"/>
  <c r="E497" i="24"/>
  <c r="G497" i="24"/>
  <c r="F497" i="24"/>
  <c r="F1286" i="24"/>
  <c r="E1286" i="24"/>
  <c r="G1286" i="24"/>
  <c r="F304" i="24"/>
  <c r="E304" i="24"/>
  <c r="E30" i="24"/>
  <c r="F30" i="24"/>
  <c r="F1087" i="24"/>
  <c r="G1087" i="24"/>
  <c r="E1087" i="24"/>
  <c r="F784" i="24"/>
  <c r="G784" i="24" s="1"/>
  <c r="E784" i="24"/>
  <c r="F206" i="24"/>
  <c r="E206" i="24"/>
  <c r="E1635" i="24"/>
  <c r="F1635" i="24"/>
  <c r="E1259" i="24"/>
  <c r="F1259" i="24"/>
  <c r="G1259" i="24"/>
  <c r="F1313" i="24"/>
  <c r="E1313" i="24"/>
  <c r="G1313" i="24" s="1"/>
  <c r="E654" i="24"/>
  <c r="F654" i="24"/>
  <c r="E1261" i="24"/>
  <c r="G1261" i="24" s="1"/>
  <c r="F1261" i="24"/>
  <c r="E216" i="24"/>
  <c r="F216" i="24"/>
  <c r="G216" i="24" s="1"/>
  <c r="F1641" i="24"/>
  <c r="G1641" i="24" s="1"/>
  <c r="E1641" i="24"/>
  <c r="E1573" i="24"/>
  <c r="F1573" i="24"/>
  <c r="F649" i="24"/>
  <c r="E649" i="24"/>
  <c r="G649" i="24"/>
  <c r="E462" i="24"/>
  <c r="F462" i="24"/>
  <c r="G462" i="24" s="1"/>
  <c r="F863" i="24"/>
  <c r="E863" i="24"/>
  <c r="E813" i="24"/>
  <c r="G813" i="24" s="1"/>
  <c r="F813" i="24"/>
  <c r="F907" i="24"/>
  <c r="G907" i="24" s="1"/>
  <c r="E907" i="24"/>
  <c r="F1069" i="24"/>
  <c r="G1069" i="24" s="1"/>
  <c r="E1069" i="24"/>
  <c r="F732" i="24"/>
  <c r="E732" i="24"/>
  <c r="E1292" i="24"/>
  <c r="F1292" i="24"/>
  <c r="G1292" i="24" s="1"/>
  <c r="F1468" i="24"/>
  <c r="G1468" i="24" s="1"/>
  <c r="E1468" i="24"/>
  <c r="E1283" i="24"/>
  <c r="F1283" i="24"/>
  <c r="G1283" i="24" s="1"/>
  <c r="E1820" i="24"/>
  <c r="F1820" i="24"/>
  <c r="G1820" i="24" s="1"/>
  <c r="E1241" i="24"/>
  <c r="F1241" i="24"/>
  <c r="G1241" i="24" s="1"/>
  <c r="E789" i="24"/>
  <c r="F789" i="24"/>
  <c r="G789" i="24" s="1"/>
  <c r="E277" i="24"/>
  <c r="F277" i="24"/>
  <c r="G277" i="24" s="1"/>
  <c r="E1050" i="24"/>
  <c r="F1050" i="24"/>
  <c r="E1248" i="24"/>
  <c r="F1248" i="24"/>
  <c r="F744" i="24"/>
  <c r="G744" i="24" s="1"/>
  <c r="E744" i="24"/>
  <c r="F1064" i="24"/>
  <c r="G1064" i="24" s="1"/>
  <c r="E1064" i="24"/>
  <c r="E1492" i="24"/>
  <c r="F1492" i="24"/>
  <c r="G1492" i="24"/>
  <c r="E841" i="24"/>
  <c r="F841" i="24"/>
  <c r="G841" i="24" s="1"/>
  <c r="F862" i="24"/>
  <c r="G862" i="24" s="1"/>
  <c r="E862" i="24"/>
  <c r="E86" i="24"/>
  <c r="F86" i="24"/>
  <c r="G86" i="24" s="1"/>
  <c r="E90" i="24"/>
  <c r="F90" i="24"/>
  <c r="G90" i="24"/>
  <c r="F403" i="24"/>
  <c r="G403" i="24" s="1"/>
  <c r="E403" i="24"/>
  <c r="E57" i="24"/>
  <c r="G57" i="24" s="1"/>
  <c r="F57" i="24"/>
  <c r="E292" i="24"/>
  <c r="F292" i="24"/>
  <c r="G292" i="24" s="1"/>
  <c r="E611" i="24"/>
  <c r="F611" i="24"/>
  <c r="G611" i="24" s="1"/>
  <c r="F1278" i="24"/>
  <c r="E1278" i="24"/>
  <c r="G1278" i="24" s="1"/>
  <c r="F1075" i="24"/>
  <c r="G1075" i="24" s="1"/>
  <c r="E1075" i="24"/>
  <c r="F718" i="24"/>
  <c r="G718" i="24" s="1"/>
  <c r="E718" i="24"/>
  <c r="F408" i="24"/>
  <c r="E408" i="24"/>
  <c r="G408" i="24"/>
  <c r="E1878" i="24"/>
  <c r="F1878" i="24"/>
  <c r="G1878" i="24" s="1"/>
  <c r="E871" i="24"/>
  <c r="F871" i="24"/>
  <c r="G871" i="24" s="1"/>
  <c r="F245" i="24"/>
  <c r="G245" i="24" s="1"/>
  <c r="E245" i="24"/>
  <c r="E545" i="24"/>
  <c r="F545" i="24"/>
  <c r="E133" i="24"/>
  <c r="F133" i="24"/>
  <c r="G133" i="24" s="1"/>
  <c r="F1250" i="24"/>
  <c r="E1250" i="24"/>
  <c r="G1250" i="24" s="1"/>
  <c r="E291" i="24"/>
  <c r="G291" i="24" s="1"/>
  <c r="F291" i="24"/>
  <c r="E523" i="24"/>
  <c r="F523" i="24"/>
  <c r="E586" i="24"/>
  <c r="F586" i="24"/>
  <c r="F738" i="24"/>
  <c r="E738" i="24"/>
  <c r="G738" i="24"/>
  <c r="E45" i="24"/>
  <c r="F45" i="24"/>
  <c r="G45" i="24" s="1"/>
  <c r="F1560" i="24"/>
  <c r="E1560" i="24"/>
  <c r="G1560" i="24" s="1"/>
  <c r="F1224" i="24"/>
  <c r="E1224" i="24"/>
  <c r="G1224" i="24"/>
  <c r="E1647" i="24"/>
  <c r="F1647" i="24"/>
  <c r="G1647" i="24" s="1"/>
  <c r="E341" i="24"/>
  <c r="G341" i="24" s="1"/>
  <c r="F341" i="24"/>
  <c r="E1843" i="24"/>
  <c r="F1843" i="24"/>
  <c r="G1843" i="24" s="1"/>
  <c r="E1262" i="24"/>
  <c r="G1262" i="24" s="1"/>
  <c r="F1262" i="24"/>
  <c r="E1352" i="24"/>
  <c r="G1352" i="24" s="1"/>
  <c r="F1352" i="24"/>
  <c r="F1550" i="24"/>
  <c r="E1550" i="24"/>
  <c r="F582" i="24"/>
  <c r="E582" i="24"/>
  <c r="F1268" i="24"/>
  <c r="G1268" i="24" s="1"/>
  <c r="E1268" i="24"/>
  <c r="F215" i="24"/>
  <c r="G215" i="24" s="1"/>
  <c r="E215" i="24"/>
  <c r="F641" i="24"/>
  <c r="G641" i="24" s="1"/>
  <c r="E641" i="24"/>
  <c r="E1369" i="24"/>
  <c r="F1369" i="24"/>
  <c r="G1369" i="24" s="1"/>
  <c r="F707" i="24"/>
  <c r="E707" i="24"/>
  <c r="G707" i="24" s="1"/>
  <c r="F1593" i="24"/>
  <c r="G1593" i="24" s="1"/>
  <c r="E1593" i="24"/>
  <c r="E1547" i="24"/>
  <c r="F1547" i="24"/>
  <c r="G1547" i="24" s="1"/>
  <c r="E629" i="24"/>
  <c r="F629" i="24"/>
  <c r="G629" i="24" s="1"/>
  <c r="F1654" i="24"/>
  <c r="E1654" i="24"/>
  <c r="G1654" i="24" s="1"/>
  <c r="F1592" i="24"/>
  <c r="G1592" i="24" s="1"/>
  <c r="E1592" i="24"/>
  <c r="F1877" i="24"/>
  <c r="E1877" i="24"/>
  <c r="G1877" i="24" s="1"/>
  <c r="E182" i="24"/>
  <c r="F182" i="24"/>
  <c r="G182" i="24"/>
  <c r="F96" i="24"/>
  <c r="E96" i="24"/>
  <c r="G96" i="24" s="1"/>
  <c r="F981" i="24"/>
  <c r="E981" i="24"/>
  <c r="E1441" i="24"/>
  <c r="F1441" i="24"/>
  <c r="G1441" i="24"/>
  <c r="F1669" i="24"/>
  <c r="G1669" i="24" s="1"/>
  <c r="E1669" i="24"/>
  <c r="E420" i="24"/>
  <c r="G420" i="24" s="1"/>
  <c r="F420" i="24"/>
  <c r="F225" i="24"/>
  <c r="G225" i="24" s="1"/>
  <c r="E225" i="24"/>
  <c r="E846" i="24"/>
  <c r="F846" i="24"/>
  <c r="G846" i="24" s="1"/>
  <c r="F443" i="24"/>
  <c r="E443" i="24"/>
  <c r="G443" i="24" s="1"/>
  <c r="F49" i="24"/>
  <c r="G49" i="24" s="1"/>
  <c r="E49" i="24"/>
  <c r="E1012" i="24"/>
  <c r="F1012" i="24"/>
  <c r="G1012" i="24"/>
  <c r="F1868" i="24"/>
  <c r="E1868" i="24"/>
  <c r="E1564" i="24"/>
  <c r="F1564" i="24"/>
  <c r="G1564" i="24" s="1"/>
  <c r="E1775" i="24"/>
  <c r="F1775" i="24"/>
  <c r="G1775" i="24" s="1"/>
  <c r="E457" i="24"/>
  <c r="F457" i="24"/>
  <c r="E754" i="24"/>
  <c r="F754" i="24"/>
  <c r="G754" i="24"/>
  <c r="F714" i="24"/>
  <c r="E714" i="24"/>
  <c r="F176" i="24"/>
  <c r="G176" i="24" s="1"/>
  <c r="E176" i="24"/>
  <c r="F1177" i="24"/>
  <c r="G1177" i="24" s="1"/>
  <c r="E1177" i="24"/>
  <c r="F1221" i="24"/>
  <c r="E1221" i="24"/>
  <c r="G1221" i="24" s="1"/>
  <c r="F734" i="24"/>
  <c r="E734" i="24"/>
  <c r="G734" i="24"/>
  <c r="E1865" i="24"/>
  <c r="F1865" i="24"/>
  <c r="G1865" i="24" s="1"/>
  <c r="E786" i="24"/>
  <c r="F786" i="24"/>
  <c r="G786" i="24" s="1"/>
  <c r="F1131" i="24"/>
  <c r="G1131" i="24" s="1"/>
  <c r="E1131" i="24"/>
  <c r="E44" i="24"/>
  <c r="F44" i="24"/>
  <c r="F1186" i="24"/>
  <c r="G1186" i="24" s="1"/>
  <c r="E1186" i="24"/>
  <c r="F1159" i="24"/>
  <c r="G1159" i="24" s="1"/>
  <c r="E1159" i="24"/>
  <c r="F842" i="24"/>
  <c r="E842" i="24"/>
  <c r="G842" i="24"/>
  <c r="E1828" i="24"/>
  <c r="F1828" i="24"/>
  <c r="G1828" i="24" s="1"/>
  <c r="E1591" i="24"/>
  <c r="F1591" i="24"/>
  <c r="E139" i="24"/>
  <c r="F139" i="24"/>
  <c r="G139" i="24" s="1"/>
  <c r="F1128" i="24"/>
  <c r="E1128" i="24"/>
  <c r="E283" i="24"/>
  <c r="F283" i="24"/>
  <c r="G283" i="24" s="1"/>
  <c r="E290" i="24"/>
  <c r="F290" i="24"/>
  <c r="F1049" i="24"/>
  <c r="E1049" i="24"/>
  <c r="G1049" i="24"/>
  <c r="F1784" i="24"/>
  <c r="G1784" i="24" s="1"/>
  <c r="E1784" i="24"/>
  <c r="E1036" i="24"/>
  <c r="F1036" i="24"/>
  <c r="G1036" i="24"/>
  <c r="F1692" i="24"/>
  <c r="E1692" i="24"/>
  <c r="F345" i="24"/>
  <c r="G345" i="24" s="1"/>
  <c r="E345" i="24"/>
  <c r="F1536" i="24"/>
  <c r="G1536" i="24" s="1"/>
  <c r="E1536" i="24"/>
  <c r="E802" i="24"/>
  <c r="F802" i="24"/>
  <c r="F94" i="24"/>
  <c r="E94" i="24"/>
  <c r="G94" i="24"/>
  <c r="E350" i="24"/>
  <c r="F350" i="24"/>
  <c r="G350" i="24" s="1"/>
  <c r="F1099" i="24"/>
  <c r="G1099" i="24" s="1"/>
  <c r="E1099" i="24"/>
  <c r="F253" i="24"/>
  <c r="G253" i="24" s="1"/>
  <c r="E253" i="24"/>
  <c r="E492" i="24"/>
  <c r="G492" i="24" s="1"/>
  <c r="F492" i="24"/>
  <c r="E764" i="24"/>
  <c r="F764" i="24"/>
  <c r="G764" i="24" s="1"/>
  <c r="E106" i="24"/>
  <c r="F106" i="24"/>
  <c r="G106" i="24" s="1"/>
  <c r="F220" i="24"/>
  <c r="E220" i="24"/>
  <c r="E686" i="24"/>
  <c r="F686" i="24"/>
  <c r="F1252" i="24"/>
  <c r="E1252" i="24"/>
  <c r="G1252" i="24" s="1"/>
  <c r="F1097" i="24"/>
  <c r="E1097" i="24"/>
  <c r="G1097" i="24" s="1"/>
  <c r="E288" i="24"/>
  <c r="F288" i="24"/>
  <c r="F1781" i="24"/>
  <c r="E1781" i="24"/>
  <c r="G1781" i="24"/>
  <c r="F645" i="24"/>
  <c r="E645" i="24"/>
  <c r="G645" i="24" s="1"/>
  <c r="F487" i="24"/>
  <c r="G487" i="24" s="1"/>
  <c r="E487" i="24"/>
  <c r="F716" i="24"/>
  <c r="E716" i="24"/>
  <c r="G716" i="24" s="1"/>
  <c r="E909" i="24"/>
  <c r="F909" i="24"/>
  <c r="G909" i="24" s="1"/>
  <c r="F1095" i="24"/>
  <c r="G1095" i="24" s="1"/>
  <c r="E1095" i="24"/>
  <c r="F533" i="24"/>
  <c r="E533" i="24"/>
  <c r="G533" i="24" s="1"/>
  <c r="E180" i="24"/>
  <c r="F180" i="24"/>
  <c r="G180" i="24" s="1"/>
  <c r="F938" i="24"/>
  <c r="E938" i="24"/>
  <c r="G938" i="24"/>
  <c r="F1025" i="24"/>
  <c r="E1025" i="24"/>
  <c r="E149" i="24"/>
  <c r="F149" i="24"/>
  <c r="G149" i="24" s="1"/>
  <c r="F50" i="24"/>
  <c r="E50" i="24"/>
  <c r="G50" i="24" s="1"/>
  <c r="F1410" i="24"/>
  <c r="E1410" i="24"/>
  <c r="G1410" i="24"/>
  <c r="F1742" i="24"/>
  <c r="E1742" i="24"/>
  <c r="G1742" i="24"/>
  <c r="F604" i="24"/>
  <c r="E604" i="24"/>
  <c r="G604" i="24"/>
  <c r="F626" i="24"/>
  <c r="E626" i="24"/>
  <c r="G626" i="24"/>
  <c r="E1493" i="24"/>
  <c r="F1493" i="24"/>
  <c r="G1493" i="24" s="1"/>
  <c r="E574" i="24"/>
  <c r="F574" i="24"/>
  <c r="E788" i="24"/>
  <c r="F788" i="24"/>
  <c r="G788" i="24" s="1"/>
  <c r="F475" i="24"/>
  <c r="E475" i="24"/>
  <c r="G475" i="24"/>
  <c r="F85" i="24"/>
  <c r="E85" i="24"/>
  <c r="E943" i="24"/>
  <c r="F943" i="24"/>
  <c r="G943" i="24"/>
  <c r="G837" i="24"/>
  <c r="E837" i="24"/>
  <c r="F837" i="24"/>
  <c r="E1280" i="24"/>
  <c r="F1280" i="24"/>
  <c r="F1696" i="24"/>
  <c r="G1696" i="24" s="1"/>
  <c r="E1696" i="24"/>
  <c r="F172" i="24"/>
  <c r="E172" i="24"/>
  <c r="F232" i="24"/>
  <c r="E232" i="24"/>
  <c r="G232" i="24" s="1"/>
  <c r="E1256" i="24"/>
  <c r="F1256" i="24"/>
  <c r="G1256" i="24"/>
  <c r="E1374" i="24"/>
  <c r="F1374" i="24"/>
  <c r="G1374" i="24"/>
  <c r="E1174" i="24"/>
  <c r="F1174" i="24"/>
  <c r="F352" i="24"/>
  <c r="E352" i="24"/>
  <c r="G352" i="24" s="1"/>
  <c r="E941" i="24"/>
  <c r="F941" i="24"/>
  <c r="E419" i="24"/>
  <c r="G419" i="24" s="1"/>
  <c r="F419" i="24"/>
  <c r="E1568" i="24"/>
  <c r="F1568" i="24"/>
  <c r="G1568" i="24" s="1"/>
  <c r="E1874" i="24"/>
  <c r="G1874" i="24" s="1"/>
  <c r="F1874" i="24"/>
  <c r="F141" i="24"/>
  <c r="E141" i="24"/>
  <c r="G141" i="24" s="1"/>
  <c r="E158" i="24"/>
  <c r="F158" i="24"/>
  <c r="G158" i="24" s="1"/>
  <c r="F425" i="24"/>
  <c r="E425" i="24"/>
  <c r="G425" i="24"/>
  <c r="E43" i="24"/>
  <c r="G43" i="24" s="1"/>
  <c r="F43" i="24"/>
  <c r="E1053" i="24"/>
  <c r="F1053" i="24"/>
  <c r="E976" i="24"/>
  <c r="F976" i="24"/>
  <c r="F887" i="24"/>
  <c r="E887" i="24"/>
  <c r="G887" i="24"/>
  <c r="F1722" i="24"/>
  <c r="E1722" i="24"/>
  <c r="E127" i="24"/>
  <c r="G127" i="24" s="1"/>
  <c r="F127" i="24"/>
  <c r="F553" i="24"/>
  <c r="G553" i="24" s="1"/>
  <c r="E553" i="24"/>
  <c r="E301" i="24"/>
  <c r="F301" i="24"/>
  <c r="G301" i="24" s="1"/>
  <c r="E711" i="24"/>
  <c r="F711" i="24"/>
  <c r="G711" i="24"/>
  <c r="F798" i="24"/>
  <c r="E798" i="24"/>
  <c r="G798" i="24"/>
  <c r="F1115" i="24"/>
  <c r="E1115" i="24"/>
  <c r="G1115" i="24"/>
  <c r="E1469" i="24"/>
  <c r="F1469" i="24"/>
  <c r="G1469" i="24"/>
  <c r="E1625" i="24"/>
  <c r="F1625" i="24"/>
  <c r="G1625" i="24"/>
  <c r="F708" i="24"/>
  <c r="E708" i="24"/>
  <c r="G708" i="24"/>
  <c r="E5" i="24"/>
  <c r="F5" i="24"/>
  <c r="G5" i="24"/>
  <c r="E1322" i="24"/>
  <c r="F1322" i="24"/>
  <c r="G1322" i="24" s="1"/>
  <c r="E365" i="24"/>
  <c r="F365" i="24"/>
  <c r="G365" i="24" s="1"/>
  <c r="F1729" i="24"/>
  <c r="E1729" i="24"/>
  <c r="E117" i="24"/>
  <c r="F117" i="24"/>
  <c r="G117" i="24"/>
  <c r="F1084" i="24"/>
  <c r="G1084" i="24" s="1"/>
  <c r="E1084" i="24"/>
  <c r="E1062" i="24"/>
  <c r="F1062" i="24"/>
  <c r="G1062" i="24"/>
  <c r="F252" i="24"/>
  <c r="E252" i="24"/>
  <c r="F1273" i="24"/>
  <c r="G1273" i="24" s="1"/>
  <c r="E1273" i="24"/>
  <c r="E869" i="24"/>
  <c r="F869" i="24"/>
  <c r="G869" i="24"/>
  <c r="E576" i="24"/>
  <c r="F576" i="24"/>
  <c r="G576" i="24" s="1"/>
  <c r="F1602" i="24"/>
  <c r="E1602" i="24"/>
  <c r="G1602" i="24"/>
  <c r="F1346" i="24"/>
  <c r="G1346" i="24" s="1"/>
  <c r="E1346" i="24"/>
  <c r="F804" i="24"/>
  <c r="E804" i="24"/>
  <c r="G804" i="24"/>
  <c r="F59" i="24"/>
  <c r="G59" i="24" s="1"/>
  <c r="E59" i="24"/>
  <c r="E704" i="24"/>
  <c r="F704" i="24"/>
  <c r="G704" i="24"/>
  <c r="E1812" i="24"/>
  <c r="G1812" i="24" s="1"/>
  <c r="F1812" i="24"/>
  <c r="E733" i="24"/>
  <c r="F733" i="24"/>
  <c r="G733" i="24" s="1"/>
  <c r="F567" i="24"/>
  <c r="E567" i="24"/>
  <c r="E1226" i="24"/>
  <c r="G1226" i="24" s="1"/>
  <c r="F1226" i="24"/>
  <c r="E1437" i="24"/>
  <c r="F1437" i="24"/>
  <c r="G1437" i="24" s="1"/>
  <c r="E677" i="24"/>
  <c r="F677" i="24"/>
  <c r="G677" i="24" s="1"/>
  <c r="E1764" i="24"/>
  <c r="F1764" i="24"/>
  <c r="G1764" i="24" s="1"/>
  <c r="F1822" i="24"/>
  <c r="E1822" i="24"/>
  <c r="F1546" i="24"/>
  <c r="G1546" i="24" s="1"/>
  <c r="E1546" i="24"/>
  <c r="E1583" i="24"/>
  <c r="F1583" i="24"/>
  <c r="F1759" i="24"/>
  <c r="G1759" i="24" s="1"/>
  <c r="E1759" i="24"/>
  <c r="E1746" i="24"/>
  <c r="G1746" i="24"/>
  <c r="F1746" i="24"/>
  <c r="F1679" i="24"/>
  <c r="E1679" i="24"/>
  <c r="G1679" i="24"/>
  <c r="F1664" i="24"/>
  <c r="E1664" i="24"/>
  <c r="E1417" i="24"/>
  <c r="F1417" i="24"/>
  <c r="E1748" i="24"/>
  <c r="F1748" i="24"/>
  <c r="G1748" i="24" s="1"/>
  <c r="E1223" i="24"/>
  <c r="F1223" i="24"/>
  <c r="G1223" i="24" s="1"/>
  <c r="E509" i="24"/>
  <c r="F509" i="24"/>
  <c r="G509" i="24" s="1"/>
  <c r="F1098" i="24"/>
  <c r="G1098" i="24" s="1"/>
  <c r="E1098" i="24"/>
  <c r="F1526" i="24"/>
  <c r="E1526" i="24"/>
  <c r="G1526" i="24"/>
  <c r="E1630" i="24"/>
  <c r="F1630" i="24"/>
  <c r="E1832" i="24"/>
  <c r="F1832" i="24"/>
  <c r="F1380" i="24"/>
  <c r="E1380" i="24"/>
  <c r="G1380" i="24"/>
  <c r="F1884" i="24"/>
  <c r="E1884" i="24"/>
  <c r="G1884" i="24" s="1"/>
  <c r="E1029" i="24"/>
  <c r="F1029" i="24"/>
  <c r="G1029" i="24"/>
  <c r="F1716" i="24"/>
  <c r="G1716" i="24" s="1"/>
  <c r="E1716" i="24"/>
  <c r="E1739" i="24"/>
  <c r="F1739" i="24"/>
  <c r="G1739" i="24" s="1"/>
  <c r="E76" i="24"/>
  <c r="F76" i="24"/>
  <c r="G76" i="24" s="1"/>
  <c r="E902" i="24"/>
  <c r="G902" i="24" s="1"/>
  <c r="F902" i="24"/>
  <c r="F867" i="24"/>
  <c r="G867" i="24" s="1"/>
  <c r="E867" i="24"/>
  <c r="F848" i="24"/>
  <c r="G848" i="24" s="1"/>
  <c r="E848" i="24"/>
  <c r="F1258" i="24"/>
  <c r="E1258" i="24"/>
  <c r="G1258" i="24" s="1"/>
  <c r="F872" i="24"/>
  <c r="E872" i="24"/>
  <c r="E1774" i="24"/>
  <c r="G1774" i="24" s="1"/>
  <c r="F1774" i="24"/>
  <c r="F1876" i="24"/>
  <c r="G1876" i="24" s="1"/>
  <c r="E1876" i="24"/>
  <c r="E942" i="24"/>
  <c r="F942" i="24"/>
  <c r="G942" i="24"/>
  <c r="F479" i="24"/>
  <c r="E479" i="24"/>
  <c r="G479" i="24" s="1"/>
  <c r="E270" i="24"/>
  <c r="F270" i="24"/>
  <c r="G270" i="24" s="1"/>
  <c r="F1866" i="24"/>
  <c r="E1866" i="24"/>
  <c r="E628" i="24"/>
  <c r="F628" i="24"/>
  <c r="G628" i="24"/>
  <c r="E824" i="24"/>
  <c r="F824" i="24"/>
  <c r="G824" i="24"/>
  <c r="F600" i="24"/>
  <c r="E600" i="24"/>
  <c r="E501" i="24"/>
  <c r="F501" i="24"/>
  <c r="G501" i="24" s="1"/>
  <c r="F1869" i="24"/>
  <c r="E1869" i="24"/>
  <c r="G1869" i="24" s="1"/>
  <c r="F67" i="24"/>
  <c r="E67" i="24"/>
  <c r="E1091" i="24"/>
  <c r="G1091" i="24" s="1"/>
  <c r="F1091" i="24"/>
  <c r="E241" i="24"/>
  <c r="F241" i="24"/>
  <c r="G241" i="24"/>
  <c r="E1726" i="24"/>
  <c r="F1726" i="24"/>
  <c r="G1726" i="24"/>
  <c r="E631" i="24"/>
  <c r="F631" i="24"/>
  <c r="E1656" i="24"/>
  <c r="F1656" i="24"/>
  <c r="E1620" i="24"/>
  <c r="G1620" i="24" s="1"/>
  <c r="F1620" i="24"/>
  <c r="E1683" i="24"/>
  <c r="F1683" i="24"/>
  <c r="G1683" i="24" s="1"/>
  <c r="E544" i="24"/>
  <c r="F544" i="24"/>
  <c r="G544" i="24" s="1"/>
  <c r="F769" i="24"/>
  <c r="E769" i="24"/>
  <c r="F415" i="24"/>
  <c r="E415" i="24"/>
  <c r="G415" i="24"/>
  <c r="F1230" i="24"/>
  <c r="G1230" i="24" s="1"/>
  <c r="E1230" i="24"/>
  <c r="F999" i="24"/>
  <c r="E999" i="24"/>
  <c r="G999" i="24" s="1"/>
  <c r="E856" i="24"/>
  <c r="F856" i="24"/>
  <c r="G856" i="24" s="1"/>
  <c r="F1487" i="24"/>
  <c r="G1487" i="24" s="1"/>
  <c r="E1487" i="24"/>
  <c r="F227" i="24"/>
  <c r="E227" i="24"/>
  <c r="E556" i="24"/>
  <c r="G556" i="24" s="1"/>
  <c r="F556" i="24"/>
  <c r="F573" i="24"/>
  <c r="G573" i="24" s="1"/>
  <c r="E573" i="24"/>
  <c r="F157" i="24"/>
  <c r="E157" i="24"/>
  <c r="F777" i="24"/>
  <c r="G777" i="24" s="1"/>
  <c r="E777" i="24"/>
  <c r="E547" i="24"/>
  <c r="F547" i="24"/>
  <c r="G547" i="24" s="1"/>
  <c r="E1172" i="24"/>
  <c r="F1172" i="24"/>
  <c r="G1172" i="24" s="1"/>
  <c r="F1400" i="24"/>
  <c r="E1400" i="24"/>
  <c r="G1400" i="24" s="1"/>
  <c r="E1406" i="24"/>
  <c r="F1406" i="24"/>
  <c r="G1406" i="24" s="1"/>
  <c r="G961" i="24"/>
  <c r="F961" i="24"/>
  <c r="E961" i="24"/>
  <c r="E936" i="24"/>
  <c r="F936" i="24"/>
  <c r="G936" i="24"/>
  <c r="E1228" i="24"/>
  <c r="F1228" i="24"/>
  <c r="E1507" i="24"/>
  <c r="F1507" i="24"/>
  <c r="G1507" i="24" s="1"/>
  <c r="F488" i="24"/>
  <c r="E488" i="24"/>
  <c r="G488" i="24"/>
  <c r="F1190" i="24"/>
  <c r="E1190" i="24"/>
  <c r="G1190" i="24" s="1"/>
  <c r="F1643" i="24"/>
  <c r="E1643" i="24"/>
  <c r="G1643" i="24" s="1"/>
  <c r="E1838" i="24"/>
  <c r="F1838" i="24"/>
  <c r="G1838" i="24" s="1"/>
  <c r="E721" i="24"/>
  <c r="F721" i="24"/>
  <c r="G721" i="24"/>
  <c r="E1189" i="24"/>
  <c r="G1189" i="24" s="1"/>
  <c r="F1189" i="24"/>
  <c r="F1247" i="24"/>
  <c r="E1247" i="24"/>
  <c r="G1247" i="24"/>
  <c r="E695" i="24"/>
  <c r="G695" i="24" s="1"/>
  <c r="F695" i="24"/>
  <c r="F107" i="24"/>
  <c r="E107" i="24"/>
  <c r="G107" i="24"/>
  <c r="E404" i="24"/>
  <c r="G404" i="24" s="1"/>
  <c r="F404" i="24"/>
  <c r="E1750" i="24"/>
  <c r="F1750" i="24"/>
  <c r="E1109" i="24"/>
  <c r="F1109" i="24"/>
  <c r="G1109" i="24" s="1"/>
  <c r="F944" i="24"/>
  <c r="G944" i="24" s="1"/>
  <c r="E944" i="24"/>
  <c r="F1126" i="24"/>
  <c r="E1126" i="24"/>
  <c r="G1126" i="24"/>
  <c r="F1747" i="24"/>
  <c r="G1747" i="24" s="1"/>
  <c r="E1747" i="24"/>
  <c r="F1266" i="24"/>
  <c r="E1266" i="24"/>
  <c r="G1266" i="24"/>
  <c r="E1158" i="24"/>
  <c r="F1158" i="24"/>
  <c r="F1756" i="24"/>
  <c r="E1756" i="24"/>
  <c r="E1124" i="24"/>
  <c r="F1124" i="24"/>
  <c r="G1124" i="24"/>
  <c r="E726" i="24"/>
  <c r="F726" i="24"/>
  <c r="G726" i="24" s="1"/>
  <c r="E204" i="24"/>
  <c r="F204" i="24"/>
  <c r="G204" i="24"/>
  <c r="E555" i="24"/>
  <c r="F555" i="24"/>
  <c r="G555" i="24" s="1"/>
  <c r="E1211" i="24"/>
  <c r="F1211" i="24"/>
  <c r="G1211" i="24" s="1"/>
  <c r="E164" i="24"/>
  <c r="F164" i="24"/>
  <c r="G164" i="24" s="1"/>
  <c r="E630" i="24"/>
  <c r="G630" i="24" s="1"/>
  <c r="F630" i="24"/>
  <c r="F390" i="24"/>
  <c r="E390" i="24"/>
  <c r="F205" i="24"/>
  <c r="G205" i="24" s="1"/>
  <c r="E205" i="24"/>
  <c r="F335" i="24"/>
  <c r="E335" i="24"/>
  <c r="G335" i="24" s="1"/>
  <c r="F1676" i="24"/>
  <c r="E1676" i="24"/>
  <c r="G1676" i="24"/>
  <c r="E1904" i="24"/>
  <c r="F1904" i="24"/>
  <c r="G1904" i="24" s="1"/>
  <c r="F1195" i="24"/>
  <c r="E1195" i="24"/>
  <c r="G1195" i="24" s="1"/>
  <c r="F401" i="24"/>
  <c r="E401" i="24"/>
  <c r="E1279" i="24"/>
  <c r="G1279" i="24" s="1"/>
  <c r="F1279" i="24"/>
  <c r="F917" i="24"/>
  <c r="E917" i="24"/>
  <c r="E955" i="24"/>
  <c r="F955" i="24"/>
  <c r="G955" i="24" s="1"/>
  <c r="E473" i="24"/>
  <c r="F473" i="24"/>
  <c r="G473" i="24" s="1"/>
  <c r="F598" i="24"/>
  <c r="E598" i="24"/>
  <c r="F1275" i="24"/>
  <c r="E1275" i="24"/>
  <c r="G1275" i="24"/>
  <c r="F318" i="24"/>
  <c r="E318" i="24"/>
  <c r="F1323" i="24"/>
  <c r="G1323" i="24" s="1"/>
  <c r="E1323" i="24"/>
  <c r="E1318" i="24"/>
  <c r="F1318" i="24"/>
  <c r="G1318" i="24" s="1"/>
  <c r="F1210" i="24"/>
  <c r="E1210" i="24"/>
  <c r="F281" i="24"/>
  <c r="E281" i="24"/>
  <c r="G281" i="24" s="1"/>
  <c r="E433" i="24"/>
  <c r="F433" i="24"/>
  <c r="G433" i="24" s="1"/>
  <c r="E165" i="24"/>
  <c r="F165" i="24"/>
  <c r="G165" i="24" s="1"/>
  <c r="E72" i="24"/>
  <c r="F72" i="24"/>
  <c r="G72" i="24" s="1"/>
  <c r="E954" i="24"/>
  <c r="F954" i="24"/>
  <c r="G954" i="24" s="1"/>
  <c r="E1255" i="24"/>
  <c r="F1255" i="24"/>
  <c r="G1255" i="24" s="1"/>
  <c r="E514" i="24"/>
  <c r="F514" i="24"/>
  <c r="F430" i="24"/>
  <c r="G430" i="24" s="1"/>
  <c r="E430" i="24"/>
  <c r="E845" i="24"/>
  <c r="F845" i="24"/>
  <c r="G845" i="24" s="1"/>
  <c r="F664" i="24"/>
  <c r="G664" i="24" s="1"/>
  <c r="E664" i="24"/>
  <c r="E489" i="24"/>
  <c r="F489" i="24"/>
  <c r="G489" i="24" s="1"/>
  <c r="E32" i="24"/>
  <c r="F32" i="24"/>
  <c r="G32" i="24"/>
  <c r="E27" i="24"/>
  <c r="F27" i="24"/>
  <c r="F991" i="24"/>
  <c r="E991" i="24"/>
  <c r="G991" i="24"/>
  <c r="F1673" i="24"/>
  <c r="G1673" i="24" s="1"/>
  <c r="E1673" i="24"/>
  <c r="F1140" i="24"/>
  <c r="E1140" i="24"/>
  <c r="F1818" i="24"/>
  <c r="E1818" i="24"/>
  <c r="E997" i="24"/>
  <c r="F997" i="24"/>
  <c r="E749" i="24"/>
  <c r="F749" i="24"/>
  <c r="G749" i="24"/>
  <c r="E1454" i="24"/>
  <c r="F1454" i="24"/>
  <c r="G1454" i="24" s="1"/>
  <c r="E875" i="24"/>
  <c r="G875" i="24"/>
  <c r="F875" i="24"/>
  <c r="E1811" i="24"/>
  <c r="F1811" i="24"/>
  <c r="G1811" i="24" s="1"/>
  <c r="F730" i="24"/>
  <c r="E730" i="24"/>
  <c r="F229" i="24"/>
  <c r="G229" i="24" s="1"/>
  <c r="E229" i="24"/>
  <c r="F826" i="24"/>
  <c r="G826" i="24" s="1"/>
  <c r="E826" i="24"/>
  <c r="E1779" i="24"/>
  <c r="F1779" i="24"/>
  <c r="G1779" i="24" s="1"/>
  <c r="E572" i="24"/>
  <c r="F572" i="24"/>
  <c r="E1213" i="24"/>
  <c r="F1213" i="24"/>
  <c r="G1213" i="24" s="1"/>
  <c r="F719" i="24"/>
  <c r="G719" i="24" s="1"/>
  <c r="E719" i="24"/>
  <c r="F559" i="24"/>
  <c r="G559" i="24" s="1"/>
  <c r="E559" i="24"/>
  <c r="F1419" i="24"/>
  <c r="G1419" i="24" s="1"/>
  <c r="E1419" i="24"/>
  <c r="F166" i="24"/>
  <c r="E166" i="24"/>
  <c r="G166" i="24"/>
  <c r="F426" i="24"/>
  <c r="G426" i="24" s="1"/>
  <c r="E426" i="24"/>
  <c r="F454" i="24"/>
  <c r="E454" i="24"/>
  <c r="G454" i="24"/>
  <c r="E651" i="24"/>
  <c r="F651" i="24"/>
  <c r="G651" i="24" s="1"/>
  <c r="E198" i="24"/>
  <c r="F198" i="24"/>
  <c r="G198" i="24" s="1"/>
  <c r="F771" i="24"/>
  <c r="E771" i="24"/>
  <c r="E203" i="24"/>
  <c r="G203" i="24" s="1"/>
  <c r="F203" i="24"/>
  <c r="F1202" i="24"/>
  <c r="E1202" i="24"/>
  <c r="G1202" i="24"/>
  <c r="F1206" i="24"/>
  <c r="E1206" i="24"/>
  <c r="G1206" i="24" s="1"/>
  <c r="F1242" i="24"/>
  <c r="E1242" i="24"/>
  <c r="E878" i="24"/>
  <c r="F878" i="24"/>
  <c r="F860" i="24"/>
  <c r="G860" i="24" s="1"/>
  <c r="E860" i="24"/>
  <c r="F447" i="24"/>
  <c r="E447" i="24"/>
  <c r="G447" i="24" s="1"/>
  <c r="E81" i="24"/>
  <c r="F81" i="24"/>
  <c r="G81" i="24" s="1"/>
  <c r="E41" i="24"/>
  <c r="F41" i="24"/>
  <c r="E1881" i="24"/>
  <c r="F1881" i="24"/>
  <c r="G1881" i="24"/>
  <c r="F1588" i="24"/>
  <c r="E1588" i="24"/>
  <c r="G1588" i="24"/>
  <c r="E799" i="24"/>
  <c r="F799" i="24"/>
  <c r="G799" i="24" s="1"/>
  <c r="E1245" i="24"/>
  <c r="F1245" i="24"/>
  <c r="G1245" i="24" s="1"/>
  <c r="E1695" i="24"/>
  <c r="F1695" i="24"/>
  <c r="G1695" i="24"/>
  <c r="E1488" i="24"/>
  <c r="F1488" i="24"/>
  <c r="F1457" i="24"/>
  <c r="E1457" i="24"/>
  <c r="G1457" i="24" s="1"/>
  <c r="E1796" i="24"/>
  <c r="G1796" i="24" s="1"/>
  <c r="F1796" i="24"/>
  <c r="F895" i="24"/>
  <c r="E895" i="24"/>
  <c r="G895" i="24"/>
  <c r="E1681" i="24"/>
  <c r="F1681" i="24"/>
  <c r="G1681" i="24"/>
  <c r="G1755" i="24"/>
  <c r="E1755" i="24"/>
  <c r="F1755" i="24"/>
  <c r="E1176" i="24"/>
  <c r="F1176" i="24"/>
  <c r="G1176" i="24" s="1"/>
  <c r="F1651" i="24"/>
  <c r="E1651" i="24"/>
  <c r="G1651" i="24"/>
  <c r="E1657" i="24"/>
  <c r="F1657" i="24"/>
  <c r="G1657" i="24" s="1"/>
  <c r="F1132" i="24"/>
  <c r="E1132" i="24"/>
  <c r="G1132" i="24" s="1"/>
  <c r="F1776" i="24"/>
  <c r="E1776" i="24"/>
  <c r="G1776" i="24" s="1"/>
  <c r="E178" i="24"/>
  <c r="F178" i="24"/>
  <c r="G178" i="24" s="1"/>
  <c r="F1335" i="24"/>
  <c r="G1335" i="24" s="1"/>
  <c r="E1335" i="24"/>
  <c r="E1096" i="24"/>
  <c r="F1096" i="24"/>
  <c r="G1096" i="24" s="1"/>
  <c r="F1658" i="24"/>
  <c r="E1658" i="24"/>
  <c r="E1558" i="24"/>
  <c r="F1558" i="24"/>
  <c r="F452" i="24"/>
  <c r="E452" i="24"/>
  <c r="G452" i="24"/>
  <c r="F1590" i="24"/>
  <c r="G1590" i="24" s="1"/>
  <c r="E1590" i="24"/>
  <c r="E1710" i="24"/>
  <c r="F1710" i="24"/>
  <c r="G1710" i="24" s="1"/>
  <c r="E1900" i="24"/>
  <c r="F1900" i="24"/>
  <c r="G1900" i="24" s="1"/>
  <c r="F104" i="24"/>
  <c r="E104" i="24"/>
  <c r="G104" i="24"/>
  <c r="E289" i="24"/>
  <c r="F289" i="24"/>
  <c r="G289" i="24" s="1"/>
  <c r="F1432" i="24"/>
  <c r="G1432" i="24" s="1"/>
  <c r="E1432" i="24"/>
  <c r="E1577" i="24"/>
  <c r="F1577" i="24"/>
  <c r="E1738" i="24"/>
  <c r="F1738" i="24"/>
  <c r="G1738" i="24"/>
  <c r="F1787" i="24"/>
  <c r="E1787" i="24"/>
  <c r="F87" i="24"/>
  <c r="E87" i="24"/>
  <c r="E1794" i="24"/>
  <c r="F1794" i="24"/>
  <c r="G1794" i="24" s="1"/>
  <c r="F260" i="24"/>
  <c r="E260" i="24"/>
  <c r="G260" i="24" s="1"/>
  <c r="F1659" i="24"/>
  <c r="E1659" i="24"/>
  <c r="G1659" i="24" s="1"/>
  <c r="F767" i="24"/>
  <c r="G767" i="24" s="1"/>
  <c r="E767" i="24"/>
  <c r="E466" i="24"/>
  <c r="F466" i="24"/>
  <c r="G466" i="24" s="1"/>
  <c r="E383" i="24"/>
  <c r="F383" i="24"/>
  <c r="F710" i="24"/>
  <c r="E710" i="24"/>
  <c r="G710" i="24"/>
  <c r="F1383" i="24"/>
  <c r="E1383" i="24"/>
  <c r="F1611" i="24"/>
  <c r="E1611" i="24"/>
  <c r="E9" i="24"/>
  <c r="F9" i="24"/>
  <c r="G9" i="24" s="1"/>
  <c r="F596" i="24"/>
  <c r="E596" i="24"/>
  <c r="E1231" i="24"/>
  <c r="F1231" i="24"/>
  <c r="G1231" i="24"/>
  <c r="F192" i="24"/>
  <c r="E192" i="24"/>
  <c r="G192" i="24" s="1"/>
  <c r="F1616" i="24"/>
  <c r="G1616" i="24" s="1"/>
  <c r="E1616" i="24"/>
  <c r="E1754" i="24"/>
  <c r="F1754" i="24"/>
  <c r="G1754" i="24" s="1"/>
  <c r="F644" i="24"/>
  <c r="G644" i="24" s="1"/>
  <c r="E644" i="24"/>
  <c r="E102" i="24"/>
  <c r="F102" i="24"/>
  <c r="E1330" i="24"/>
  <c r="G1330" i="24" s="1"/>
  <c r="F1330" i="24"/>
  <c r="E510" i="24"/>
  <c r="F510" i="24"/>
  <c r="G510" i="24" s="1"/>
  <c r="F1187" i="24"/>
  <c r="E1187" i="24"/>
  <c r="G1187" i="24" s="1"/>
  <c r="E1120" i="24"/>
  <c r="F1120" i="24"/>
  <c r="F904" i="24"/>
  <c r="E904" i="24"/>
  <c r="G904" i="24"/>
  <c r="E1047" i="24"/>
  <c r="F1047" i="24"/>
  <c r="G1047" i="24" s="1"/>
  <c r="E1438" i="24"/>
  <c r="F1438" i="24"/>
  <c r="G1438" i="24" s="1"/>
  <c r="F584" i="24"/>
  <c r="E584" i="24"/>
  <c r="G584" i="24" s="1"/>
  <c r="F26" i="24"/>
  <c r="E26" i="24"/>
  <c r="G26" i="24" s="1"/>
  <c r="F1576" i="24"/>
  <c r="E1576" i="24"/>
  <c r="G1576" i="24" s="1"/>
  <c r="E1670" i="24"/>
  <c r="F1670" i="24"/>
  <c r="G1670" i="24" s="1"/>
  <c r="F1780" i="24"/>
  <c r="E1780" i="24"/>
  <c r="G1780" i="24"/>
  <c r="E1687" i="24"/>
  <c r="F1687" i="24"/>
  <c r="G1687" i="24"/>
  <c r="F890" i="24"/>
  <c r="E890" i="24"/>
  <c r="G890" i="24"/>
  <c r="E1494" i="24"/>
  <c r="F1494" i="24"/>
  <c r="F1529" i="24"/>
  <c r="G1529" i="24" s="1"/>
  <c r="E1529" i="24"/>
  <c r="F834" i="24"/>
  <c r="G834" i="24" s="1"/>
  <c r="E834" i="24"/>
  <c r="E638" i="24"/>
  <c r="F638" i="24"/>
  <c r="E808" i="24"/>
  <c r="F808" i="24"/>
  <c r="G808" i="24"/>
  <c r="E1265" i="24"/>
  <c r="F1265" i="24"/>
  <c r="F1141" i="24"/>
  <c r="G1141" i="24"/>
  <c r="E1141" i="24"/>
  <c r="F985" i="24"/>
  <c r="E985" i="24"/>
  <c r="G985" i="24"/>
  <c r="G838" i="24"/>
  <c r="E838" i="24"/>
  <c r="F838" i="24"/>
  <c r="F1610" i="24"/>
  <c r="E1610" i="24"/>
  <c r="E1092" i="24"/>
  <c r="F1092" i="24"/>
  <c r="F571" i="24"/>
  <c r="G571" i="24" s="1"/>
  <c r="E571" i="24"/>
  <c r="E554" i="24"/>
  <c r="F554" i="24"/>
  <c r="G554" i="24" s="1"/>
  <c r="E657" i="24"/>
  <c r="F657" i="24"/>
  <c r="F1006" i="24"/>
  <c r="G1006" i="24" s="1"/>
  <c r="E1006" i="24"/>
  <c r="F409" i="24"/>
  <c r="E409" i="24"/>
  <c r="G409" i="24"/>
  <c r="F616" i="24"/>
  <c r="E616" i="24"/>
  <c r="E467" i="24"/>
  <c r="F467" i="24"/>
  <c r="G467" i="24" s="1"/>
  <c r="E1290" i="24"/>
  <c r="F1290" i="24"/>
  <c r="F1854" i="24"/>
  <c r="G1854" i="24" s="1"/>
  <c r="E1854" i="24"/>
  <c r="E1020" i="24"/>
  <c r="F1020" i="24"/>
  <c r="G1020" i="24" s="1"/>
  <c r="E3" i="24"/>
  <c r="F3" i="24"/>
  <c r="F1300" i="24"/>
  <c r="E1300" i="24"/>
  <c r="G1300" i="24"/>
  <c r="F1103" i="24"/>
  <c r="G1103" i="24" s="1"/>
  <c r="E1103" i="24"/>
  <c r="F1414" i="24"/>
  <c r="G1414" i="24" s="1"/>
  <c r="E1414" i="24"/>
  <c r="F103" i="24"/>
  <c r="E103" i="24"/>
  <c r="G103" i="24"/>
  <c r="E1165" i="24"/>
  <c r="F1165" i="24"/>
  <c r="G1165" i="24" s="1"/>
  <c r="E502" i="24"/>
  <c r="F502" i="24"/>
  <c r="F612" i="24"/>
  <c r="E612" i="24"/>
  <c r="G612" i="24"/>
  <c r="F47" i="24"/>
  <c r="E47" i="24"/>
  <c r="G47" i="24"/>
  <c r="F1150" i="24"/>
  <c r="G1150" i="24" s="1"/>
  <c r="E1150" i="24"/>
  <c r="E587" i="24"/>
  <c r="F587" i="24"/>
  <c r="G587" i="24" s="1"/>
  <c r="F1596" i="24"/>
  <c r="G1596" i="24" s="1"/>
  <c r="E1596" i="24"/>
  <c r="F792" i="24"/>
  <c r="G792" i="24" s="1"/>
  <c r="E792" i="24"/>
  <c r="E650" i="24"/>
  <c r="F650" i="24"/>
  <c r="G650" i="24" s="1"/>
  <c r="E1375" i="24"/>
  <c r="F1375" i="24"/>
  <c r="G1375" i="24" s="1"/>
  <c r="F1200" i="24"/>
  <c r="G1200" i="24" s="1"/>
  <c r="E1200" i="24"/>
  <c r="E1002" i="24"/>
  <c r="F1002" i="24"/>
  <c r="G1002" i="24" s="1"/>
  <c r="F1139" i="24"/>
  <c r="E1139" i="24"/>
  <c r="G1139" i="24"/>
  <c r="F1548" i="24"/>
  <c r="G1548" i="24" s="1"/>
  <c r="E1548" i="24"/>
  <c r="E1312" i="24"/>
  <c r="F1312" i="24"/>
  <c r="G1312" i="24" s="1"/>
  <c r="F989" i="24"/>
  <c r="E989" i="24"/>
  <c r="G989" i="24"/>
  <c r="F652" i="24"/>
  <c r="E652" i="24"/>
  <c r="G652" i="24"/>
  <c r="E453" i="24"/>
  <c r="G453" i="24" s="1"/>
  <c r="F453" i="24"/>
  <c r="E1199" i="24"/>
  <c r="F1199" i="24"/>
  <c r="G1199" i="24" s="1"/>
  <c r="E883" i="24"/>
  <c r="F883" i="24"/>
  <c r="G883" i="24" s="1"/>
  <c r="F1059" i="24"/>
  <c r="E1059" i="24"/>
  <c r="F197" i="24"/>
  <c r="G197" i="24" s="1"/>
  <c r="E197" i="24"/>
  <c r="E1373" i="24"/>
  <c r="F1373" i="24"/>
  <c r="E1636" i="24"/>
  <c r="F1636" i="24"/>
  <c r="F134" i="24"/>
  <c r="G134" i="24" s="1"/>
  <c r="E134" i="24"/>
  <c r="F729" i="24"/>
  <c r="G729" i="24" s="1"/>
  <c r="E729" i="24"/>
  <c r="E1691" i="24"/>
  <c r="F1691" i="24"/>
  <c r="G1691" i="24"/>
  <c r="F952" i="24"/>
  <c r="E952" i="24"/>
  <c r="G952" i="24" s="1"/>
  <c r="E827" i="24"/>
  <c r="F827" i="24"/>
  <c r="G827" i="24" s="1"/>
  <c r="E323" i="24"/>
  <c r="F323" i="24"/>
  <c r="G323" i="24" s="1"/>
  <c r="F1404" i="24"/>
  <c r="E1404" i="24"/>
  <c r="G1404" i="24"/>
  <c r="F853" i="24"/>
  <c r="E853" i="24"/>
  <c r="G853" i="24" s="1"/>
  <c r="E765" i="24"/>
  <c r="F765" i="24"/>
  <c r="G765" i="24" s="1"/>
  <c r="F1321" i="24"/>
  <c r="E1321" i="24"/>
  <c r="G1321" i="24"/>
  <c r="F773" i="24"/>
  <c r="E773" i="24"/>
  <c r="G773" i="24"/>
  <c r="F189" i="24"/>
  <c r="G189" i="24" s="1"/>
  <c r="E189" i="24"/>
  <c r="F7" i="24"/>
  <c r="E7" i="24"/>
  <c r="F763" i="24"/>
  <c r="G763" i="24" s="1"/>
  <c r="E763" i="24"/>
  <c r="E1054" i="24"/>
  <c r="F1054" i="24"/>
  <c r="F772" i="24"/>
  <c r="E772" i="24"/>
  <c r="G772" i="24"/>
  <c r="E970" i="24"/>
  <c r="F970" i="24"/>
  <c r="G970" i="24" s="1"/>
  <c r="F724" i="24"/>
  <c r="E724" i="24"/>
  <c r="F1465" i="24"/>
  <c r="G1465" i="24" s="1"/>
  <c r="E1465" i="24"/>
  <c r="F534" i="24"/>
  <c r="G534" i="24" s="1"/>
  <c r="E534" i="24"/>
  <c r="F646" i="24"/>
  <c r="E646" i="24"/>
  <c r="E1638" i="24"/>
  <c r="G1638" i="24" s="1"/>
  <c r="F1638" i="24"/>
  <c r="E833" i="24"/>
  <c r="F833" i="24"/>
  <c r="G833" i="24" s="1"/>
  <c r="E432" i="24"/>
  <c r="F432" i="24"/>
  <c r="G432" i="24" s="1"/>
  <c r="F1056" i="24"/>
  <c r="G1056" i="24" s="1"/>
  <c r="E1056" i="24"/>
  <c r="F831" i="24"/>
  <c r="G831" i="24" s="1"/>
  <c r="E831" i="24"/>
  <c r="F35" i="24"/>
  <c r="G35" i="24" s="1"/>
  <c r="E35" i="24"/>
  <c r="E920" i="24"/>
  <c r="F920" i="24"/>
  <c r="E1227" i="24"/>
  <c r="F1227" i="24"/>
  <c r="G1227" i="24" s="1"/>
  <c r="F758" i="24"/>
  <c r="E758" i="24"/>
  <c r="G758" i="24"/>
  <c r="E656" i="24"/>
  <c r="G656" i="24" s="1"/>
  <c r="F656" i="24"/>
  <c r="F306" i="24"/>
  <c r="E306" i="24"/>
  <c r="F378" i="24"/>
  <c r="G378" i="24" s="1"/>
  <c r="E378" i="24"/>
  <c r="E1561" i="24"/>
  <c r="G1561" i="24" s="1"/>
  <c r="F1561" i="24"/>
  <c r="G1290" i="24" l="1"/>
  <c r="G657" i="24"/>
  <c r="G102" i="24"/>
  <c r="G1228" i="24"/>
  <c r="G1729" i="24"/>
  <c r="G941" i="24"/>
  <c r="G574" i="24"/>
  <c r="G1550" i="24"/>
  <c r="G521" i="24"/>
  <c r="G338" i="24"/>
  <c r="G830" i="24"/>
  <c r="G920" i="24"/>
  <c r="G383" i="24"/>
  <c r="G1630" i="24"/>
  <c r="G1107" i="24"/>
  <c r="G724" i="24"/>
  <c r="G1636" i="24"/>
  <c r="G502" i="24"/>
  <c r="G638" i="24"/>
  <c r="G596" i="24"/>
  <c r="G252" i="24"/>
  <c r="G1360" i="24"/>
  <c r="G1085" i="24"/>
  <c r="G1385" i="24"/>
  <c r="G1216" i="24"/>
  <c r="G306" i="24"/>
  <c r="G7" i="24"/>
  <c r="G1373" i="24"/>
  <c r="G87" i="24"/>
  <c r="G390" i="24"/>
  <c r="G227" i="24"/>
  <c r="G67" i="24"/>
  <c r="G1583" i="24"/>
  <c r="G1053" i="24"/>
  <c r="G1442" i="24"/>
  <c r="G1416" i="24"/>
  <c r="G3" i="24"/>
  <c r="G616" i="24"/>
  <c r="G1611" i="24"/>
  <c r="G1787" i="24"/>
  <c r="G1488" i="24"/>
  <c r="G1866" i="24"/>
  <c r="G1664" i="24"/>
  <c r="G529" i="24"/>
  <c r="G1171" i="24"/>
  <c r="G137" i="24"/>
  <c r="G898" i="24"/>
  <c r="G1721" i="24"/>
  <c r="G917" i="24"/>
  <c r="G220" i="24"/>
  <c r="G981" i="24"/>
  <c r="G992" i="24"/>
  <c r="G1500" i="24"/>
  <c r="G697" i="24"/>
  <c r="G1401" i="24"/>
  <c r="G129" i="24"/>
  <c r="G1065" i="24"/>
  <c r="G1328" i="24"/>
  <c r="G1658" i="24"/>
  <c r="G567" i="24"/>
  <c r="G1294" i="24"/>
  <c r="G646" i="24"/>
  <c r="G1383" i="24"/>
  <c r="G771" i="24"/>
  <c r="G1818" i="24"/>
  <c r="G318" i="24"/>
  <c r="G1054" i="24"/>
  <c r="G1059" i="24"/>
  <c r="G1610" i="24"/>
  <c r="G1265" i="24"/>
  <c r="G1494" i="24"/>
  <c r="G1577" i="24"/>
  <c r="G41" i="24"/>
  <c r="G1822" i="24"/>
  <c r="G1722" i="24"/>
  <c r="G1025" i="24"/>
  <c r="G288" i="24"/>
  <c r="G1692" i="24"/>
  <c r="G714" i="24"/>
  <c r="G1868" i="24"/>
  <c r="G863" i="24"/>
  <c r="G206" i="24"/>
  <c r="G1511" i="24"/>
  <c r="G561" i="24"/>
  <c r="G1347" i="24"/>
  <c r="G1421" i="24"/>
  <c r="G681" i="24"/>
  <c r="G1242" i="24"/>
  <c r="G1158" i="24"/>
  <c r="G769" i="24"/>
  <c r="G631" i="24"/>
  <c r="G976" i="24"/>
  <c r="G523" i="24"/>
  <c r="G1050" i="24"/>
  <c r="G654" i="24"/>
  <c r="G682" i="24"/>
  <c r="G1498" i="24"/>
  <c r="G1554" i="24"/>
  <c r="G1840" i="24"/>
  <c r="G1537" i="24"/>
  <c r="G271" i="24"/>
  <c r="G787" i="24"/>
  <c r="G1778" i="24"/>
  <c r="G498" i="24"/>
  <c r="G793" i="24"/>
  <c r="G268" i="24"/>
  <c r="G36" i="24"/>
  <c r="G190" i="24"/>
  <c r="G1269" i="24"/>
  <c r="G806" i="24"/>
  <c r="G476" i="24"/>
  <c r="G109" i="24"/>
  <c r="G690" i="24"/>
  <c r="G1026" i="24"/>
  <c r="G927" i="24"/>
  <c r="G1892" i="24"/>
  <c r="G199" i="24"/>
  <c r="G1332" i="24"/>
  <c r="G382" i="24"/>
  <c r="G1293" i="24"/>
  <c r="G1078" i="24"/>
  <c r="G48" i="24"/>
  <c r="G1340" i="24"/>
  <c r="G356" i="24"/>
  <c r="G1081" i="24"/>
  <c r="G1357" i="24"/>
  <c r="G1839" i="24"/>
  <c r="G1510" i="24"/>
  <c r="G503" i="24"/>
  <c r="G911" i="24"/>
  <c r="G1693" i="24"/>
  <c r="G987" i="24"/>
  <c r="G1188" i="24"/>
  <c r="G293" i="24"/>
  <c r="G1130" i="24"/>
  <c r="G1384" i="24"/>
  <c r="G1767" i="24"/>
  <c r="G1214" i="24"/>
  <c r="G116" i="24"/>
  <c r="G1551" i="24"/>
  <c r="G8" i="24"/>
  <c r="G1745" i="24"/>
  <c r="G1827" i="24"/>
  <c r="G391" i="24"/>
  <c r="G369" i="24"/>
  <c r="G1899" i="24"/>
  <c r="G702" i="24"/>
  <c r="G1233" i="24"/>
  <c r="G1708" i="24"/>
  <c r="G6" i="24"/>
  <c r="G1853" i="24"/>
  <c r="G183" i="24"/>
  <c r="G1595" i="24"/>
  <c r="G1824" i="24"/>
  <c r="G1753" i="24"/>
  <c r="G508" i="24"/>
  <c r="G52" i="24"/>
  <c r="G1559" i="24"/>
  <c r="G618" i="24"/>
  <c r="G1160" i="24"/>
  <c r="G436" i="24"/>
  <c r="G639" i="24"/>
  <c r="G868" i="24"/>
  <c r="G1573" i="24"/>
  <c r="G1446" i="24"/>
  <c r="G175" i="24"/>
  <c r="G162" i="24"/>
  <c r="G1042" i="24"/>
  <c r="G1147" i="24"/>
  <c r="G958" i="24"/>
  <c r="G1574" i="24"/>
  <c r="G1896" i="24"/>
  <c r="G364" i="24"/>
  <c r="G367" i="24"/>
  <c r="G1542" i="24"/>
  <c r="G130" i="24"/>
  <c r="G752" i="24"/>
  <c r="G1902" i="24"/>
  <c r="G1862" i="24"/>
  <c r="G1875" i="24"/>
  <c r="G1624" i="24"/>
  <c r="G1301" i="24"/>
  <c r="G150" i="24"/>
  <c r="G309" i="24"/>
  <c r="G603" i="24"/>
  <c r="G1808" i="24"/>
  <c r="G1393" i="24"/>
  <c r="G1555" i="24"/>
  <c r="G899" i="24"/>
  <c r="G1331" i="24"/>
  <c r="G249" i="24"/>
  <c r="G820" i="24"/>
  <c r="G145" i="24"/>
  <c r="G745" i="24"/>
  <c r="G1566" i="24"/>
  <c r="G336" i="24"/>
  <c r="G1701" i="24"/>
  <c r="G1157" i="24"/>
  <c r="G1016" i="24"/>
  <c r="G431" i="24"/>
  <c r="G1728" i="24"/>
  <c r="G1146" i="24"/>
  <c r="G427" i="24"/>
  <c r="G1558" i="24"/>
  <c r="G572" i="24"/>
  <c r="G730" i="24"/>
  <c r="G997" i="24"/>
  <c r="G1210" i="24"/>
  <c r="G1750" i="24"/>
  <c r="G1417" i="24"/>
  <c r="G1591" i="24"/>
  <c r="G44" i="24"/>
  <c r="G582" i="24"/>
  <c r="G387" i="24"/>
  <c r="G1129" i="24"/>
  <c r="G1905" i="24"/>
  <c r="G583" i="24"/>
  <c r="G530" i="24"/>
  <c r="G1169" i="24"/>
  <c r="G456" i="24"/>
  <c r="G153" i="24"/>
  <c r="G1831" i="24"/>
  <c r="G1618" i="24"/>
  <c r="G422" i="24"/>
  <c r="G1601" i="24"/>
  <c r="G1516" i="24"/>
  <c r="G1238" i="24"/>
  <c r="G1603" i="24"/>
  <c r="G591" i="24"/>
  <c r="G610" i="24"/>
  <c r="G1009" i="24"/>
  <c r="G1885" i="24"/>
  <c r="G142" i="24"/>
  <c r="G579" i="24"/>
  <c r="G747" i="24"/>
  <c r="G1890" i="24"/>
  <c r="G1425" i="24"/>
  <c r="G884" i="24"/>
  <c r="G888" i="24"/>
  <c r="G1007" i="24"/>
  <c r="G186" i="24"/>
  <c r="G1379" i="24"/>
  <c r="G40" i="24"/>
  <c r="G983" i="24"/>
  <c r="G132" i="24"/>
  <c r="G386" i="24"/>
  <c r="G517" i="24"/>
  <c r="G242" i="24"/>
  <c r="G1271" i="24"/>
  <c r="G634" i="24"/>
  <c r="G705" i="24"/>
  <c r="G371" i="24"/>
  <c r="G1786" i="24"/>
  <c r="G1533" i="24"/>
  <c r="G1770" i="24"/>
  <c r="G1120" i="24"/>
  <c r="G27" i="24"/>
  <c r="G598" i="24"/>
  <c r="G401" i="24"/>
  <c r="G600" i="24"/>
  <c r="G872" i="24"/>
  <c r="G1174" i="24"/>
  <c r="G172" i="24"/>
  <c r="G85" i="24"/>
  <c r="G290" i="24"/>
  <c r="G457" i="24"/>
  <c r="G807" i="24"/>
  <c r="G1791" i="24"/>
  <c r="G967" i="24"/>
  <c r="G1326" i="24"/>
  <c r="G1608" i="24"/>
  <c r="G885" i="24"/>
  <c r="G617" i="24"/>
  <c r="G667" i="24"/>
  <c r="G213" i="24"/>
  <c r="G1355" i="24"/>
  <c r="G1580" i="24"/>
  <c r="G712" i="24"/>
  <c r="G388" i="24"/>
  <c r="G1731" i="24"/>
  <c r="G1173" i="24"/>
  <c r="G1649" i="24"/>
  <c r="G414" i="24"/>
  <c r="G1586" i="24"/>
  <c r="G1048" i="24"/>
  <c r="G829" i="24"/>
  <c r="G247" i="24"/>
  <c r="G66" i="24"/>
  <c r="G519" i="24"/>
  <c r="G1194" i="24"/>
  <c r="G230" i="24"/>
  <c r="G1208" i="24"/>
  <c r="G984" i="24"/>
  <c r="G64" i="24"/>
  <c r="G1474" i="24"/>
  <c r="G1717" i="24"/>
  <c r="G728" i="24"/>
  <c r="G10" i="24"/>
  <c r="G821" i="24"/>
  <c r="G351" i="24"/>
  <c r="G1598" i="24"/>
  <c r="G1734" i="24"/>
  <c r="G732" i="24"/>
  <c r="G1635" i="24"/>
  <c r="G30" i="24"/>
  <c r="G1041" i="24"/>
  <c r="G1688" i="24"/>
  <c r="G294" i="24"/>
  <c r="G221" i="24"/>
  <c r="G305" i="24"/>
  <c r="G1118" i="24"/>
  <c r="G1243" i="24"/>
  <c r="G1090" i="24"/>
  <c r="G1689" i="24"/>
  <c r="G17" i="24"/>
  <c r="G766" i="24"/>
  <c r="G393" i="24"/>
  <c r="G1253" i="24"/>
  <c r="G95" i="24"/>
  <c r="G1134" i="24"/>
  <c r="G678" i="24"/>
  <c r="G722" i="24"/>
  <c r="G500" i="24"/>
  <c r="G913" i="24"/>
  <c r="G783" i="24"/>
  <c r="G1841" i="24"/>
  <c r="G893" i="24"/>
  <c r="G1472" i="24"/>
  <c r="G98" i="24"/>
  <c r="G549" i="24"/>
  <c r="G812" i="24"/>
  <c r="G979" i="24"/>
  <c r="G778" i="24"/>
  <c r="G1333" i="24"/>
  <c r="G522" i="24"/>
  <c r="G1297" i="24"/>
  <c r="G177" i="24"/>
  <c r="G1249" i="24"/>
  <c r="G1702" i="24"/>
  <c r="G1092" i="24"/>
  <c r="G878" i="24"/>
  <c r="G1140" i="24"/>
  <c r="G514" i="24"/>
  <c r="G1756" i="24"/>
  <c r="G157" i="24"/>
  <c r="G1656" i="24"/>
  <c r="G1832" i="24"/>
  <c r="G1280" i="24"/>
  <c r="G686" i="24"/>
  <c r="G802" i="24"/>
  <c r="G1128" i="24"/>
  <c r="G586" i="24"/>
  <c r="G545" i="24"/>
  <c r="G1248" i="24"/>
  <c r="G304" i="24"/>
  <c r="G257" i="24"/>
  <c r="G506" i="24"/>
  <c r="G1655" i="24"/>
  <c r="G699" i="24"/>
  <c r="G1483" i="24"/>
  <c r="G1013" i="24"/>
  <c r="G68" i="24"/>
  <c r="G321" i="24"/>
  <c r="G55" i="24"/>
  <c r="G1700" i="24"/>
  <c r="G1351" i="24"/>
  <c r="G1644" i="24"/>
  <c r="G1088" i="24"/>
  <c r="G1795" i="24"/>
  <c r="G1217" i="24"/>
  <c r="G1072" i="24"/>
  <c r="G770" i="24"/>
  <c r="G660" i="24"/>
  <c r="G152" i="24"/>
  <c r="G1296" i="24"/>
  <c r="G1572" i="24"/>
  <c r="G373" i="24"/>
  <c r="G1359" i="24"/>
  <c r="G1851" i="24"/>
  <c r="G832" i="24"/>
  <c r="G1014" i="24"/>
  <c r="G1133" i="24"/>
  <c r="G1752" i="24"/>
  <c r="G647" i="24"/>
  <c r="G1617" i="24"/>
  <c r="G1589" i="24"/>
  <c r="G797" i="24"/>
  <c r="G118" i="24"/>
  <c r="G1585" i="24"/>
  <c r="G1766" i="24"/>
  <c r="G1768" i="24"/>
  <c r="G326" i="24"/>
  <c r="G1587" i="24"/>
  <c r="G1381" i="24"/>
  <c r="G1621" i="24"/>
  <c r="G1763" i="24"/>
  <c r="G54" i="24"/>
  <c r="G565" i="24"/>
  <c r="G1575" i="24"/>
  <c r="G1680" i="24"/>
  <c r="G399" i="24"/>
  <c r="G342" i="24"/>
  <c r="G640" i="24"/>
  <c r="G1426" i="24"/>
  <c r="G1112" i="24"/>
  <c r="G1627" i="24"/>
</calcChain>
</file>

<file path=xl/comments1.xml><?xml version="1.0" encoding="utf-8"?>
<comments xmlns="http://schemas.openxmlformats.org/spreadsheetml/2006/main">
  <authors>
    <author>tc={C5B10A67-BB70-4FD6-AB0B-635021FFF67B}</author>
  </authors>
  <commentList>
    <comment ref="D3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Dès que les SC vont utiliser la nouvelle version de la trame de grille pour leurs audits internes, les informations identifiées ici ne seront plus fournies dans les synthèses de collectif. Cela ne devrait pas poser de problème mais il faut quand même s'en assurer.</t>
        </r>
      </text>
    </comment>
  </commentList>
</comments>
</file>

<file path=xl/comments2.xml><?xml version="1.0" encoding="utf-8"?>
<comments xmlns="http://schemas.openxmlformats.org/spreadsheetml/2006/main">
  <authors>
    <author>tc={BD4AD48B-A435-4EFF-BEBF-6F1911D6BE0C}</author>
    <author>tc={DD94EFDF-0BB6-437C-8305-ABDD9D7A943A}</author>
  </authors>
  <commentList>
    <comment ref="A1"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TODO : ajouter les liens vers les cellules.</t>
        </r>
      </text>
    </comment>
    <comment ref="J1"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renseigner en dur ou avec une formule si l'obligation est conditionnée selon la saisie d'une autre cellule.</t>
        </r>
      </text>
    </comment>
  </commentList>
</comments>
</file>

<file path=xl/comments3.xml><?xml version="1.0" encoding="utf-8"?>
<comments xmlns="http://schemas.openxmlformats.org/spreadsheetml/2006/main">
  <authors>
    <author>Amadéus</author>
  </authors>
  <commentList>
    <comment ref="F2" authorId="0" shapeId="0">
      <text>
        <r>
          <rPr>
            <b/>
            <sz val="10"/>
            <color indexed="81"/>
            <rFont val="Tahoma"/>
            <family val="2"/>
          </rPr>
          <t>Amadéus:</t>
        </r>
        <r>
          <rPr>
            <sz val="10"/>
            <color indexed="81"/>
            <rFont val="Tahoma"/>
            <family val="2"/>
          </rPr>
          <t xml:space="preserve">
les cellules vides ne seront pas en anomalie
- l'adresse ne contient qu'une fois le caractère @
- @ est le seul caractère spécial autorisé et il doit être
- précédé d'une chaîne de caractères alphanumériques en minuscules pouvant comporter 1,n point, tiret ou underscore
- suivi d'une chaîne de caractères alphanumériques en minuscules pouvant comporter 1,n tiret ou underscore et devant comporter un seul point précédant une chaîne d'au moins 2 caractères.
Il faudrait qu'apparaissent facilement les cellules en anomalie.
Dernière chose (Ouf !  ) : il faudrait que cela soit compatible avec Excel 2003.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<sst xmlns="http://schemas.openxmlformats.org/spreadsheetml/2006/main" count="10117" uniqueCount="5259">
  <si>
    <t>Listes pour menus déroulants</t>
  </si>
  <si>
    <t>EARL</t>
  </si>
  <si>
    <t>GAEC</t>
  </si>
  <si>
    <t>Groupement de fait</t>
  </si>
  <si>
    <t>Société civile (SCEA)</t>
  </si>
  <si>
    <t>Société commerciale ou coopérative (SA ou SARL)</t>
  </si>
  <si>
    <t xml:space="preserve">Autre personne morale </t>
  </si>
  <si>
    <t>Autre personne physique</t>
  </si>
  <si>
    <t>Société en participation (SEP)</t>
  </si>
  <si>
    <t>Régions</t>
  </si>
  <si>
    <t>Alsace</t>
  </si>
  <si>
    <t>Aquitaine</t>
  </si>
  <si>
    <t>Auvergne</t>
  </si>
  <si>
    <t>Basse-Normandie</t>
  </si>
  <si>
    <t>Bourgogne</t>
  </si>
  <si>
    <t>Bretagne</t>
  </si>
  <si>
    <t>Centre</t>
  </si>
  <si>
    <t>Champagne-Ardenne</t>
  </si>
  <si>
    <t>Corse</t>
  </si>
  <si>
    <t>Franche-Comté</t>
  </si>
  <si>
    <t>Haute-Normandie</t>
  </si>
  <si>
    <t>Ile-de-France</t>
  </si>
  <si>
    <t>Languedoc-Roussillon</t>
  </si>
  <si>
    <t>Limousin</t>
  </si>
  <si>
    <t>Lorraine</t>
  </si>
  <si>
    <t>Midi-Pyrénées</t>
  </si>
  <si>
    <t>Nord-Pas-de-Calais</t>
  </si>
  <si>
    <t>Pays de la Loire</t>
  </si>
  <si>
    <t>Picardie</t>
  </si>
  <si>
    <t>Poitou-Charentes</t>
  </si>
  <si>
    <t>Provence-Alpes-Côte d'Azur</t>
  </si>
  <si>
    <t>Rhône-Alpes</t>
  </si>
  <si>
    <t>Activité animale</t>
  </si>
  <si>
    <t>Horticulture</t>
  </si>
  <si>
    <t>Viticulture</t>
  </si>
  <si>
    <t>Autres végétaux</t>
  </si>
  <si>
    <t>Apiculture</t>
  </si>
  <si>
    <t>Bovins lait</t>
  </si>
  <si>
    <t>Bovins viande</t>
  </si>
  <si>
    <t>Caprins</t>
  </si>
  <si>
    <t>Équins</t>
  </si>
  <si>
    <t>Lapins</t>
  </si>
  <si>
    <t>Œufs</t>
  </si>
  <si>
    <t>Ovins</t>
  </si>
  <si>
    <t>Porcins</t>
  </si>
  <si>
    <t>Volailles</t>
  </si>
  <si>
    <t>Autres animaux</t>
  </si>
  <si>
    <t>Bassin viticole</t>
  </si>
  <si>
    <t>Bordelais</t>
  </si>
  <si>
    <t>Dordogne</t>
  </si>
  <si>
    <t>Lot-et-Garonne</t>
  </si>
  <si>
    <t>Beaujolais</t>
  </si>
  <si>
    <t>Bugey-Savoie</t>
  </si>
  <si>
    <t>Val de Loire</t>
  </si>
  <si>
    <t>Champagne</t>
  </si>
  <si>
    <t>Charentes</t>
  </si>
  <si>
    <t>Pyrénées-Orientales</t>
  </si>
  <si>
    <t>Cahors</t>
  </si>
  <si>
    <t>Gaillac</t>
  </si>
  <si>
    <t>Gers</t>
  </si>
  <si>
    <t>Bouches-du-Rhône</t>
  </si>
  <si>
    <t>Var-Vaucluse</t>
  </si>
  <si>
    <t>Cher</t>
  </si>
  <si>
    <t>Initial</t>
  </si>
  <si>
    <t>Suivi</t>
  </si>
  <si>
    <t>Renouvellement</t>
  </si>
  <si>
    <t>Oui</t>
  </si>
  <si>
    <t>3 - Restitution</t>
  </si>
  <si>
    <t>SAU : surface agricole utile</t>
  </si>
  <si>
    <t>SNE : surface agricole temporairement non exploitée</t>
  </si>
  <si>
    <t>Tas de fumier</t>
  </si>
  <si>
    <t>Peupleraie (plantation de peupliers en futaie)</t>
  </si>
  <si>
    <t>Production d’osier destiné à la vannerie</t>
  </si>
  <si>
    <t>Surface implantée d’ajoncs, brande à balai, genêts</t>
  </si>
  <si>
    <t>Sol nu (sans couvert végétal), hors cas des jachères noires</t>
  </si>
  <si>
    <t xml:space="preserve">Éléments suivants si aucun couvert n’est présent ou s’il n’est pas suffisamment couvrant : </t>
  </si>
  <si>
    <t>Surface initialement agricole mais utilisée temporairement pour une activité non agricole dont l’intensité, la nature ou la durée perturbe significativement l’activité agricole :</t>
  </si>
  <si>
    <t>Surfaces dont la vigne a été arrachée et non replantée, et qui ne font pas l’objet d’une demande d’aide à la restructuration et/ou à la reconversion du vignoble</t>
  </si>
  <si>
    <t>SNA : surface non agricole</t>
  </si>
  <si>
    <t>Éléments artificiels (route, chemin, bâtiment…)</t>
  </si>
  <si>
    <t>Végétaux naturels (arbre, haie, forêt, bosquet, broussaille…)</t>
  </si>
  <si>
    <t>Autres éléments naturels qui ne sont pas des végétaux (mares, affleurements rocheux…)</t>
  </si>
  <si>
    <t>Marais salants</t>
  </si>
  <si>
    <t>Surface totale de l’exploitation</t>
  </si>
  <si>
    <t>Chemins de rampe frontale ou de pivot pour l’irrigation</t>
  </si>
  <si>
    <t>Passages d’enrouleurs pour l’irrigation et leurs bandes de service</t>
  </si>
  <si>
    <t>Bandes de séparation des cultures de production de semences</t>
  </si>
  <si>
    <t>Bandes de séparation des cultures de maraîchage ou allées</t>
  </si>
  <si>
    <t>Espaces entre deux serres</t>
  </si>
  <si>
    <t>Surface où sont implantés des panneaux photovoltaïques</t>
  </si>
  <si>
    <t>Surface où sont effectués des travaux ou une construction</t>
  </si>
  <si>
    <t>Surface où sont effectuées des fouilles archéologiques</t>
  </si>
  <si>
    <t>N</t>
  </si>
  <si>
    <t>N-1</t>
  </si>
  <si>
    <t>N-2</t>
  </si>
  <si>
    <t>Zone de stockage non artificialisée ou silos (pour betteraves par exemple)</t>
  </si>
  <si>
    <t xml:space="preserve"> Zone dont la végétation et les autres éléments naturels non agricoles de type rochers, pierriers ou autre apparaissent homogènes en photo-interprétation</t>
  </si>
  <si>
    <r>
      <t>Zones de densité homogène</t>
    </r>
    <r>
      <rPr>
        <b/>
        <sz val="11"/>
        <color rgb="FFFF0000"/>
        <rFont val="Calibri"/>
        <family val="2"/>
      </rPr>
      <t>*</t>
    </r>
  </si>
  <si>
    <t>Céréales</t>
  </si>
  <si>
    <t>Blé tendre</t>
  </si>
  <si>
    <t>Blé dur</t>
  </si>
  <si>
    <t>Maïs</t>
  </si>
  <si>
    <t>Orge</t>
  </si>
  <si>
    <t>Triticale</t>
  </si>
  <si>
    <t>Autres céréales</t>
  </si>
  <si>
    <t>Oléagineux</t>
  </si>
  <si>
    <t>Colza et navette</t>
  </si>
  <si>
    <t>Tournesol</t>
  </si>
  <si>
    <t>Soja</t>
  </si>
  <si>
    <t>Autres oléagineux (chanvre oléagineux, lin non textile, œillette, etc.)</t>
  </si>
  <si>
    <t>Protéagineux et légumineuses à grain</t>
  </si>
  <si>
    <t>Pois protéagineux</t>
  </si>
  <si>
    <t>Autres protéagineux (fève, féverole, lupin doux, etc.)</t>
  </si>
  <si>
    <t>Légumes secs / légumineuses à grain (lentilles, pois chiches, vesces)</t>
  </si>
  <si>
    <t>Mélanges de cultures contenant des légumineuses, protéagineux ou légumes secs</t>
  </si>
  <si>
    <t>Chanvre et lin</t>
  </si>
  <si>
    <t>Déshydratation</t>
  </si>
  <si>
    <t>Maïs fourrage et ensilage</t>
  </si>
  <si>
    <t>Autres fourrages annuels, plantes sarclées fourragères</t>
  </si>
  <si>
    <t xml:space="preserve">Surfaces en herbe </t>
  </si>
  <si>
    <t xml:space="preserve">Cultures industrielles (pas encore comptées, hors pommes de terre) </t>
  </si>
  <si>
    <t>Betteraves industrielles</t>
  </si>
  <si>
    <t>Autres cultures industrielles non comptées</t>
  </si>
  <si>
    <t>Pommes de terre</t>
  </si>
  <si>
    <t>Cultures hors sol</t>
  </si>
  <si>
    <t>Vignes</t>
  </si>
  <si>
    <t>Autres cultures permanentes</t>
  </si>
  <si>
    <t xml:space="preserve">NB : Conformément au plan de contrôle, dans l’ensemble de cet outil Excel, on définit : 
-          les prairies permanentes (PP) comme l’ensemble des prairies naturelles, des prairies temporaires de plus de cinq ans et des landes, parcours, alpages et estives individuels (les landes, parcours, alpages et estives collectifs ne sont pas comptabilisés dans la SAU) ;
-          les prairies temporaires (PT) comme les prairies temporaires de 5 ans et moins. </t>
  </si>
  <si>
    <t>Vergers :</t>
  </si>
  <si>
    <t>Label_culture</t>
  </si>
  <si>
    <t>Abricotier</t>
  </si>
  <si>
    <t>Airelle</t>
  </si>
  <si>
    <t>Amandier</t>
  </si>
  <si>
    <t>Azerolier</t>
  </si>
  <si>
    <t>Cassissier</t>
  </si>
  <si>
    <t>Cerisier</t>
  </si>
  <si>
    <t>Chataignier</t>
  </si>
  <si>
    <t>Citronnier</t>
  </si>
  <si>
    <t>Clémentinier</t>
  </si>
  <si>
    <t>Cognassier</t>
  </si>
  <si>
    <t>Cynhorodon</t>
  </si>
  <si>
    <t>Figuier</t>
  </si>
  <si>
    <t>Framboisier</t>
  </si>
  <si>
    <t>Groseillier</t>
  </si>
  <si>
    <t>Jujubier</t>
  </si>
  <si>
    <t>Kiwi</t>
  </si>
  <si>
    <t>Limettes</t>
  </si>
  <si>
    <t>Mandarinier</t>
  </si>
  <si>
    <t>Mirabellier</t>
  </si>
  <si>
    <t>Mûre morus sp</t>
  </si>
  <si>
    <t>Mûres rubus sp</t>
  </si>
  <si>
    <t>Mûres des haies</t>
  </si>
  <si>
    <t>Myrtillier</t>
  </si>
  <si>
    <t>Nashi</t>
  </si>
  <si>
    <t>Nectarinier</t>
  </si>
  <si>
    <t>Néflier</t>
  </si>
  <si>
    <t>Noisetier</t>
  </si>
  <si>
    <t>Noyer</t>
  </si>
  <si>
    <t>Olivier</t>
  </si>
  <si>
    <t>Oranger</t>
  </si>
  <si>
    <t>Pamplemoussier</t>
  </si>
  <si>
    <t>Pêcher</t>
  </si>
  <si>
    <t>Poirier</t>
  </si>
  <si>
    <t>Pommette</t>
  </si>
  <si>
    <t>Pommier</t>
  </si>
  <si>
    <t>Prunier</t>
  </si>
  <si>
    <t>Sureau noir</t>
  </si>
  <si>
    <t>Kaki</t>
  </si>
  <si>
    <t>Grenadier</t>
  </si>
  <si>
    <t>Pistachier</t>
  </si>
  <si>
    <t>Kiwai</t>
  </si>
  <si>
    <t>Prunier du Japon</t>
  </si>
  <si>
    <t>Ananas</t>
  </si>
  <si>
    <t>Autres</t>
  </si>
  <si>
    <t>Bananier</t>
  </si>
  <si>
    <t>Barbadines</t>
  </si>
  <si>
    <t>Carambole</t>
  </si>
  <si>
    <t>Cherimole</t>
  </si>
  <si>
    <t>Corossol</t>
  </si>
  <si>
    <t>Fruit de l'arbre à pain</t>
  </si>
  <si>
    <t>Fruit de la passion</t>
  </si>
  <si>
    <t>Goyavier</t>
  </si>
  <si>
    <t>Grenadilles</t>
  </si>
  <si>
    <t>Litchi</t>
  </si>
  <si>
    <t>Longanis</t>
  </si>
  <si>
    <t>Manguier</t>
  </si>
  <si>
    <t>Papayer</t>
  </si>
  <si>
    <t>Avocatier</t>
  </si>
  <si>
    <t>Choix 1</t>
  </si>
  <si>
    <t>Choix 2</t>
  </si>
  <si>
    <t>Choix 3</t>
  </si>
  <si>
    <t>Choix 4</t>
  </si>
  <si>
    <t>Choix 5</t>
  </si>
  <si>
    <t>Choix 6</t>
  </si>
  <si>
    <t>Choix 7</t>
  </si>
  <si>
    <t>Choix 8</t>
  </si>
  <si>
    <t>Choix 9</t>
  </si>
  <si>
    <t>Choix 10</t>
  </si>
  <si>
    <t>Choix 11</t>
  </si>
  <si>
    <t>Choix 12</t>
  </si>
  <si>
    <t>Choix 13</t>
  </si>
  <si>
    <t>Choix 14</t>
  </si>
  <si>
    <t>Choix 15</t>
  </si>
  <si>
    <t>Élément</t>
  </si>
  <si>
    <t>CO*</t>
  </si>
  <si>
    <t>CP*</t>
  </si>
  <si>
    <t>Unité</t>
  </si>
  <si>
    <t>Coefficient en m²</t>
  </si>
  <si>
    <t>Haie</t>
  </si>
  <si>
    <t>x</t>
  </si>
  <si>
    <t>m linéaire</t>
  </si>
  <si>
    <t>Alignement d’arbres</t>
  </si>
  <si>
    <t>Arbre isolé</t>
  </si>
  <si>
    <t>arbre</t>
  </si>
  <si>
    <t>Bosquets</t>
  </si>
  <si>
    <t>Mare</t>
  </si>
  <si>
    <t>Fossé non maçonné</t>
  </si>
  <si>
    <t>Mur traditionnel en pierres</t>
  </si>
  <si>
    <t>Bordures non productives</t>
  </si>
  <si>
    <t>Bordures non productives complément*</t>
  </si>
  <si>
    <t>Jachère</t>
  </si>
  <si>
    <t>Jachère mellifère</t>
  </si>
  <si>
    <t>Zones humides</t>
  </si>
  <si>
    <t>Verger haute-tige =  pré-verger</t>
  </si>
  <si>
    <t>Bandes enherbées intra-parcellaires</t>
  </si>
  <si>
    <t>Prairies permanentes, landes, parcours, alpages, estives situés en zone Natura 2000</t>
  </si>
  <si>
    <t>Zones herbacées mises en défens et retirées de la production</t>
  </si>
  <si>
    <t>« Autres milieux »</t>
  </si>
  <si>
    <t>Tableau de points du critère points</t>
  </si>
  <si>
    <t>Valeur de l’item (I) : % de la surface de l’exploitation en infrastructure agro-écologique</t>
  </si>
  <si>
    <t>Nombre de points</t>
  </si>
  <si>
    <t>0 % ≤ I &lt; 4 %</t>
  </si>
  <si>
    <t>4 % ≤ I &lt; 5 %</t>
  </si>
  <si>
    <t>5 % ≤ I &lt; 6 %</t>
  </si>
  <si>
    <t>6 % ≤ I &lt; 7 %</t>
  </si>
  <si>
    <t>7 % ≤ I &lt; 8 %</t>
  </si>
  <si>
    <t>8 % ≤ I &lt; 9 %</t>
  </si>
  <si>
    <t>9 % ≤ I &lt; 10 %</t>
  </si>
  <si>
    <t>10 % ≤ I</t>
  </si>
  <si>
    <t>Résultats en points</t>
  </si>
  <si>
    <t>Socle de l'item (en %)</t>
  </si>
  <si>
    <t>ID Element</t>
  </si>
  <si>
    <t>Famille</t>
  </si>
  <si>
    <t>ID</t>
  </si>
  <si>
    <t>ligneux</t>
  </si>
  <si>
    <t>aquatique</t>
  </si>
  <si>
    <t>rocheux</t>
  </si>
  <si>
    <t>herbager</t>
  </si>
  <si>
    <t>à masquer</t>
  </si>
  <si>
    <t>Min</t>
  </si>
  <si>
    <t>Max</t>
  </si>
  <si>
    <t>Ratio</t>
  </si>
  <si>
    <t>en hectares</t>
  </si>
  <si>
    <t>Surface de la culture principale</t>
  </si>
  <si>
    <t>Surface culture principale</t>
  </si>
  <si>
    <t>Cultures fourragères annuelles</t>
  </si>
  <si>
    <t>Autres cultures arables</t>
  </si>
  <si>
    <t>Nb</t>
  </si>
  <si>
    <t>Prairies temporaires de 5 ans et moins (PT)</t>
  </si>
  <si>
    <t>Nombre d'espèces semées pures</t>
  </si>
  <si>
    <t>Surfaces semées en mélange de légumineuses</t>
  </si>
  <si>
    <t>Surfaces semées en mélange de graminées</t>
  </si>
  <si>
    <t>Surfaces semées en mélange complexe de légumineuses ET graminées</t>
  </si>
  <si>
    <t>Part des PP dans la SAU</t>
  </si>
  <si>
    <t>Prairies permanentes (PP)</t>
  </si>
  <si>
    <t>Autres cultures</t>
  </si>
  <si>
    <t>Légumes et fruits hors arboriculture</t>
  </si>
  <si>
    <t>Fleurs</t>
  </si>
  <si>
    <t>Arboriculture et autres cultures permanentes</t>
  </si>
  <si>
    <t>Cultures arables</t>
  </si>
  <si>
    <t>Total</t>
  </si>
  <si>
    <t>Nombre d'espèces bovines</t>
  </si>
  <si>
    <t>Nombre d'espèces porcines</t>
  </si>
  <si>
    <t>Nombre d'espèces ovines</t>
  </si>
  <si>
    <t>Nombre d'espèces caprines</t>
  </si>
  <si>
    <t>Nombre d'espèces de volailles</t>
  </si>
  <si>
    <t>Total espèces</t>
  </si>
  <si>
    <t>Autres espèces élevées</t>
  </si>
  <si>
    <t>Nombre de ruches</t>
  </si>
  <si>
    <t>Nb de points</t>
  </si>
  <si>
    <t>Taille des parcelles</t>
  </si>
  <si>
    <t>Poids de la culture principale</t>
  </si>
  <si>
    <t>Nombre d'espèces végétales cultivées</t>
  </si>
  <si>
    <t>Nombre d'espèces animales élevées</t>
  </si>
  <si>
    <t>Total ruches</t>
  </si>
  <si>
    <t>Région</t>
  </si>
  <si>
    <t>Herbicides – plancher</t>
  </si>
  <si>
    <t>Hors herbicides – plancher</t>
  </si>
  <si>
    <t>Guadeloupe</t>
  </si>
  <si>
    <t>Guyane</t>
  </si>
  <si>
    <t>Martinique</t>
  </si>
  <si>
    <t>Valeurs notation HVE Herbicides</t>
  </si>
  <si>
    <t>Valeurs notation HVE Hors Herbicides</t>
  </si>
  <si>
    <t>Plancher</t>
  </si>
  <si>
    <t>Plafond</t>
  </si>
  <si>
    <t>France entière</t>
  </si>
  <si>
    <t>Île-de-France</t>
  </si>
  <si>
    <t>Si oui, existe-t-il une dérogation exceptionnelle ?</t>
  </si>
  <si>
    <t>Total SAU</t>
  </si>
  <si>
    <t>Références à utiliser pour calculer les points</t>
  </si>
  <si>
    <t xml:space="preserve">IFT - hors herbicides </t>
  </si>
  <si>
    <t xml:space="preserve">IFT - herbicides </t>
  </si>
  <si>
    <t>Critère obligatoire</t>
  </si>
  <si>
    <t>IFT - herbicides</t>
  </si>
  <si>
    <t>IFT hors herbicides</t>
  </si>
  <si>
    <t>IFT réalisé sur l'exploitation</t>
  </si>
  <si>
    <t>Vigne</t>
  </si>
  <si>
    <t>IFT</t>
  </si>
  <si>
    <t>Arboriculture</t>
  </si>
  <si>
    <t>Non</t>
  </si>
  <si>
    <t>Outil de diagnostic précoce</t>
  </si>
  <si>
    <t>Campagne collective</t>
  </si>
  <si>
    <t>On tient compte ici des méthodes de :</t>
  </si>
  <si>
    <t>- lutte physique : travail du sol (faux semis), désherbage mécanique ou thermique, utilisation de filets…</t>
  </si>
  <si>
    <t>Surface sur laquelle est utilisée au moins une méthode alternative</t>
  </si>
  <si>
    <t>Nombre de clones</t>
  </si>
  <si>
    <t>Arboriculture et autres cultures pérennes</t>
  </si>
  <si>
    <t xml:space="preserve">Nombre total d'espèces </t>
  </si>
  <si>
    <t>Nombre d'espèces avec 2 variétés cultivées</t>
  </si>
  <si>
    <t>Nombre d'espèces avec au moins 3 variétés cultivées</t>
  </si>
  <si>
    <t>Total surface vignes</t>
  </si>
  <si>
    <t>Total surface arboriculture et autres cultures pérennes</t>
  </si>
  <si>
    <t>m3</t>
  </si>
  <si>
    <t>Volume annuel d'eau recyclé et traité avant tout rejet dans le milieu</t>
  </si>
  <si>
    <t>Surfaces non traitées</t>
  </si>
  <si>
    <t>Surveillance active des parcelles</t>
  </si>
  <si>
    <t>Diversité spécifique et variétale</t>
  </si>
  <si>
    <t>Recyclage et traitement des eaux d'irrigation</t>
  </si>
  <si>
    <t>Balance globale azotée (BGA)</t>
  </si>
  <si>
    <t>Bilan apparent</t>
  </si>
  <si>
    <t>en kg N/ha</t>
  </si>
  <si>
    <t>Cultures "principales"</t>
  </si>
  <si>
    <t>Grandes cultures</t>
  </si>
  <si>
    <t>Utilisation d'un outil ODP (outil de pilotage)</t>
  </si>
  <si>
    <t>Surface concernée</t>
  </si>
  <si>
    <t>Vigne, arboriculture, maraîchage</t>
  </si>
  <si>
    <t>Cultures "mineures"</t>
  </si>
  <si>
    <t>Prairies permanentes non fertilisées</t>
  </si>
  <si>
    <t>Part non fertilisée de la SAU</t>
  </si>
  <si>
    <t>surface en Ha</t>
  </si>
  <si>
    <t xml:space="preserve">Part de la surface concernée </t>
  </si>
  <si>
    <t>Système de recyclage partiel des cultures hors sol</t>
  </si>
  <si>
    <t>en m3</t>
  </si>
  <si>
    <t>Part de l'azote organique apporté</t>
  </si>
  <si>
    <t>Utilisation d'OAD</t>
  </si>
  <si>
    <t>Pourcentage de la SAU non fertilisée</t>
  </si>
  <si>
    <t>Part des légumineuses dans la SAU</t>
  </si>
  <si>
    <t>Couverture des sols</t>
  </si>
  <si>
    <t>Volume total d'eau prélevé</t>
  </si>
  <si>
    <t>hors période d'étiage</t>
  </si>
  <si>
    <t>Présence d'un cahier d'enregistrement des pratiques d'irrigation</t>
  </si>
  <si>
    <t>Nombre de parcelles irriguées</t>
  </si>
  <si>
    <t>Nombre total d'apports d'eau sur les parcelles irriguées</t>
  </si>
  <si>
    <t>Nombre de données à enregistrer</t>
  </si>
  <si>
    <t>Données à enregistrer concernant l'apport</t>
  </si>
  <si>
    <t>Date et période (étiage ou hors étiage) de l'apport</t>
  </si>
  <si>
    <t>Estimation du volume de l'apport</t>
  </si>
  <si>
    <t>Surface irriguée</t>
  </si>
  <si>
    <t>Mode d'irrigation (gravité, aspersion, micro-irrigation)</t>
  </si>
  <si>
    <t>Matériel utilisé</t>
  </si>
  <si>
    <t>Origine de l'eau (retenue collinaire, forage, rivière…)</t>
  </si>
  <si>
    <t>Facteur déclenchant l'irrigation (analyses, données météo…)</t>
  </si>
  <si>
    <t>Données à enregistrer concernant la parcelle</t>
  </si>
  <si>
    <t>Culture irriguée</t>
  </si>
  <si>
    <t>Variété irriguée (résistante ou non à la sécheresse)</t>
  </si>
  <si>
    <t>Date de semis</t>
  </si>
  <si>
    <t>Autres pratiques réduisant les besoins en eau</t>
  </si>
  <si>
    <t>Rendement de la parcelle</t>
  </si>
  <si>
    <t>Nombre total de données manquantes</t>
  </si>
  <si>
    <t>Nombre de données manquantes</t>
  </si>
  <si>
    <t>Nombre d'outils avec pour objectif : évaluation de l'offre</t>
  </si>
  <si>
    <t>Nombre d'outils avec pour objectif : évaluation de la demande de la plante</t>
  </si>
  <si>
    <t>Nombre d'outils avec pour objectif : mixte</t>
  </si>
  <si>
    <t>Part de la surface équipée</t>
  </si>
  <si>
    <t>Adhésion à une démarche collective</t>
  </si>
  <si>
    <t>Surface de la SAU irriguée avec des pratiques économisant l'eau</t>
  </si>
  <si>
    <t>Part de la surface irriguée concernée</t>
  </si>
  <si>
    <t>Volume total d'eau</t>
  </si>
  <si>
    <t>Part des prélèvements en période d'étiage</t>
  </si>
  <si>
    <t>en période d'étiage (juin, juillet, août)</t>
  </si>
  <si>
    <t>Mise en place d'un dispositif de récupération des eaux de pluie à partir des surfaces hors sol</t>
  </si>
  <si>
    <t>Pratiques agronomiques mises en œuvre pour économiser l'eau</t>
  </si>
  <si>
    <t>Récupération des eaux de pluie</t>
  </si>
  <si>
    <t>Surface totale de l'exploitation</t>
  </si>
  <si>
    <t xml:space="preserve"> </t>
  </si>
  <si>
    <t>Nombre de matériels utilisés</t>
  </si>
  <si>
    <t>Surface totale des PP</t>
  </si>
  <si>
    <t>Ancien plafond</t>
  </si>
  <si>
    <t>Part des surfaces concernées par rapport à la SAU</t>
  </si>
  <si>
    <t>Plantes en pot</t>
  </si>
  <si>
    <t>Autres Arbres et arbustes</t>
  </si>
  <si>
    <t>Autres fleurs coupées</t>
  </si>
  <si>
    <t>Autres cultures couvertes</t>
  </si>
  <si>
    <t>Substances actives (kg sa/ha/an)</t>
  </si>
  <si>
    <t>Azote (kg N/ha/an)</t>
  </si>
  <si>
    <t>Plantes à massif; Plantes vivaces, Plants potagers</t>
  </si>
  <si>
    <t>Arbres et arbustes (acidophiles, croissance  lente)</t>
  </si>
  <si>
    <t>Plantes méditérranéennes</t>
  </si>
  <si>
    <t>Fleurs coupées d'été</t>
  </si>
  <si>
    <t>Production couverte</t>
  </si>
  <si>
    <t>Productions</t>
  </si>
  <si>
    <t>Plantes vivaces en pot</t>
  </si>
  <si>
    <t>Plantes vivaces pleine terre</t>
  </si>
  <si>
    <t>Chrysanthème en pot</t>
  </si>
  <si>
    <t>Production extérieures</t>
  </si>
  <si>
    <t>Arbres et arbustes (acidophiles, croissance  lente) en pot</t>
  </si>
  <si>
    <t>Plantes méditérranéennes en pot</t>
  </si>
  <si>
    <t>Arbres, pleine terre</t>
  </si>
  <si>
    <t>Arbres fruitiers, pleine terre</t>
  </si>
  <si>
    <t>Rosier pleine terre</t>
  </si>
  <si>
    <t>Fleurs d'été pleine terre</t>
  </si>
  <si>
    <t>Bulbes pleine terre</t>
  </si>
  <si>
    <t>Autres cultures non couvertes</t>
  </si>
  <si>
    <t>surface totale en cultures annuelles</t>
  </si>
  <si>
    <t>Prorata concerné</t>
  </si>
  <si>
    <t>surface totale en cultures pérennes</t>
  </si>
  <si>
    <t>Total points retenus</t>
  </si>
  <si>
    <t>Gestion de la temporalité des référentiels</t>
  </si>
  <si>
    <t>Date mise à jour référentiels</t>
  </si>
  <si>
    <t>Campagne culturale limite</t>
  </si>
  <si>
    <t>Grandes cultures et PdT</t>
  </si>
  <si>
    <t>Total des points retenus</t>
  </si>
  <si>
    <t>surfaces en Ha</t>
  </si>
  <si>
    <t>L'exploitation est-elle concernée par ce critère obligatoire ?</t>
  </si>
  <si>
    <t>surface en prairies temporaires et/ou en jachère et/ou en légumineuses supérieure à 75 % des terres arables de l’exploitation</t>
  </si>
  <si>
    <t>surface en herbe (prairies permanentes et/ou temporaires) et/ou en riz supérieure à 75 % de la SAU de l’exploitation</t>
  </si>
  <si>
    <t>Calcul des points</t>
  </si>
  <si>
    <t>Exploitations bovines spécialisées – orientation lait</t>
  </si>
  <si>
    <t>Exploitations bovines spécialisées – orientation viande</t>
  </si>
  <si>
    <t>Exploitations bovines – lait, élevage et viande combinés</t>
  </si>
  <si>
    <t>Exploitations ovines spécialisées</t>
  </si>
  <si>
    <t>Exploitations avec ovins et bovins combinés</t>
  </si>
  <si>
    <t>Exploitations caprines spécialisées</t>
  </si>
  <si>
    <t>Exploitations d’équidés et/ou autres herbivores</t>
  </si>
  <si>
    <t>Exploitations mixtes combinant bovins laitiers avec grandes cultures</t>
  </si>
  <si>
    <t>Exploitations mixtes combinant grandes cultures avec herbivores non laitiers</t>
  </si>
  <si>
    <t>Exploitations mixtes combinant herbivores non laitiers avec grandes cultures</t>
  </si>
  <si>
    <t>Exploitations mixtes avec cultures permanentes et herbivores</t>
  </si>
  <si>
    <t>Code OTEX</t>
  </si>
  <si>
    <t>Description OTEX</t>
  </si>
  <si>
    <t>Méthode de calcul Balance Globale Azotée (BGA)</t>
  </si>
  <si>
    <t>Entrées</t>
  </si>
  <si>
    <t>Sorties</t>
  </si>
  <si>
    <t>Balance globale de fertilisation après engrais minéraux</t>
  </si>
  <si>
    <t>Méthode de calcul Bilan apparent</t>
  </si>
  <si>
    <t>Solde balance globale de fertilisation avant engrais minéraux</t>
  </si>
  <si>
    <t>Présence d'une OTEX concernée</t>
  </si>
  <si>
    <t>Méthode de calcul retenue par l'exploitant</t>
  </si>
  <si>
    <t>Surface de la SAU</t>
  </si>
  <si>
    <t>Part des cultures mineures dans la SAU</t>
  </si>
  <si>
    <t xml:space="preserve">Correction nombre de points ? </t>
  </si>
  <si>
    <t>Total nombre de points retenus</t>
  </si>
  <si>
    <t>Total surface de blé</t>
  </si>
  <si>
    <t>Max de points</t>
  </si>
  <si>
    <t>Utilisation d'un outil de diagnostic précoce pour la gestion des ravageurs et des maladies des plantes ou d'un outil de modélisation du risque</t>
  </si>
  <si>
    <t>Surface en prairies permanentes</t>
  </si>
  <si>
    <t>AIN</t>
  </si>
  <si>
    <t>AISNE</t>
  </si>
  <si>
    <t>ALLIER</t>
  </si>
  <si>
    <t>ALPES-DE-HAUTE-PROVENCE</t>
  </si>
  <si>
    <t>HAUTES-ALPES</t>
  </si>
  <si>
    <t>ALPES-MARITIME</t>
  </si>
  <si>
    <t>ARDECHE</t>
  </si>
  <si>
    <t>ARDENNES</t>
  </si>
  <si>
    <t>ARIEGE</t>
  </si>
  <si>
    <t>AUBE</t>
  </si>
  <si>
    <t>AUDE</t>
  </si>
  <si>
    <t>AVEYRON</t>
  </si>
  <si>
    <t>BOUCHES-DU-RHONE</t>
  </si>
  <si>
    <t>CALVADOS</t>
  </si>
  <si>
    <t>CANTAL</t>
  </si>
  <si>
    <t>CHARENTE</t>
  </si>
  <si>
    <t>CHARENTE-MARITIME</t>
  </si>
  <si>
    <t>CHER</t>
  </si>
  <si>
    <t>CORREZE</t>
  </si>
  <si>
    <t>CORSE-DU-SUD</t>
  </si>
  <si>
    <t>HAUTE-CORSE</t>
  </si>
  <si>
    <t>COTE-D'OR</t>
  </si>
  <si>
    <t>COTES D'ARMOR</t>
  </si>
  <si>
    <t>CREUSE</t>
  </si>
  <si>
    <t>DORDOGNE</t>
  </si>
  <si>
    <t>DOUBS</t>
  </si>
  <si>
    <t>DROME</t>
  </si>
  <si>
    <t>EURE</t>
  </si>
  <si>
    <t>EURE-ET-LOIR</t>
  </si>
  <si>
    <t>FINISTERE</t>
  </si>
  <si>
    <t>GARD</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</si>
  <si>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</si>
  <si>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</si>
  <si>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</si>
  <si>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</si>
  <si>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</si>
  <si>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</si>
  <si>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</si>
  <si>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</si>
  <si>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</si>
  <si>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</si>
  <si>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</si>
  <si>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</si>
  <si>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</si>
  <si>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</si>
  <si>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</si>
  <si>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</si>
  <si>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</si>
  <si>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</si>
  <si>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</si>
  <si>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</si>
  <si>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</si>
  <si>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</si>
  <si>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</si>
  <si>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</si>
  <si>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</si>
  <si>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</si>
  <si>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</si>
  <si>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</si>
  <si>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</si>
  <si>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</si>
  <si>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</si>
  <si>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</si>
  <si>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</si>
  <si>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</si>
  <si>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</si>
  <si>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</si>
  <si>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</si>
  <si>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</si>
  <si>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</si>
  <si>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</si>
  <si>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</si>
  <si>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</si>
  <si>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</si>
  <si>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</si>
  <si>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</si>
  <si>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</si>
  <si>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</si>
  <si>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</si>
  <si>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</si>
  <si>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</si>
  <si>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</si>
  <si>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</si>
  <si>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</si>
  <si>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</si>
  <si>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</si>
  <si>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</si>
  <si>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</si>
  <si>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</si>
  <si>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</si>
  <si>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ESSONE</t>
  </si>
  <si>
    <t>HAUTS-DE-SEINE</t>
  </si>
  <si>
    <t>SEINE-SAINT-DENIS</t>
  </si>
  <si>
    <t>VAL-DE-MARNE</t>
  </si>
  <si>
    <t>VAL-D'OISE</t>
  </si>
  <si>
    <t>GUADELOUPE</t>
  </si>
  <si>
    <t>MARTINIQUE</t>
  </si>
  <si>
    <t>GUYANE</t>
  </si>
  <si>
    <t>LA REUNION</t>
  </si>
  <si>
    <t>Département</t>
  </si>
  <si>
    <t>Total en nombre d'espèces</t>
  </si>
  <si>
    <t>1 - Saisie préalable</t>
  </si>
  <si>
    <t>2 - Calculs des indicateurs</t>
  </si>
  <si>
    <t>Autre démarche 3</t>
  </si>
  <si>
    <t>Fruits</t>
  </si>
  <si>
    <t>Légumes</t>
  </si>
  <si>
    <t>Autre(s) démarche(s) qualité (SIQO, CCP, mention valorisante) dans laquelle/lesquelles l'exploitation est engagée :</t>
  </si>
  <si>
    <t>Riz</t>
  </si>
  <si>
    <t>Fourrages (hors légumineuses fourragères qui sont comptées dans les prairies temporaires en légumineuse pure ou en mélange de légumineuses)</t>
  </si>
  <si>
    <t>PT (prairies temporaires)  : légumineuse pure (luzerne, trèfle…)</t>
  </si>
  <si>
    <t>PT (prairies temporaires)  : mélange de légumineuses</t>
  </si>
  <si>
    <t>PT (prairies temporaires)  : graminée pure</t>
  </si>
  <si>
    <t>PT (prairies temporaires)  : mélange de graminées</t>
  </si>
  <si>
    <t>PT (prairies temporaires)  : mélange complexe graminées et légumineuses</t>
  </si>
  <si>
    <t>PP (prairies permanentes) non fertilisées (hors déjections animaux pâturant) et non traitées</t>
  </si>
  <si>
    <t>PP (prairies permanentes) fertilisées mais non traitées</t>
  </si>
  <si>
    <t>INDICATEUR BIODIVERSITE</t>
  </si>
  <si>
    <t>« Autres milieux » surfaciques</t>
  </si>
  <si>
    <t>Terres arables de l'exploitation</t>
  </si>
  <si>
    <t>Nom de la culture principale (hors prairies permanentes)</t>
  </si>
  <si>
    <t>SAU exploitation (hors prairies permanentes)</t>
  </si>
  <si>
    <t>Nb d'espèces / équivalent nb d'espèces</t>
  </si>
  <si>
    <t>Nb total d'espèces</t>
  </si>
  <si>
    <t>Poids de la culture principale en % de la SAU</t>
  </si>
  <si>
    <t>Option(s) choisie(s) par l'agriculteur</t>
  </si>
  <si>
    <t>INDICATEUR STRATEGIE PHYTOSANITAIRE</t>
  </si>
  <si>
    <t>Surface totale non traitée</t>
  </si>
  <si>
    <t>Part de la SAU non traitée</t>
  </si>
  <si>
    <t>Plancher pondéré</t>
  </si>
  <si>
    <t>Plafond pondéré</t>
  </si>
  <si>
    <t>des surfaces en cultures annuelles</t>
  </si>
  <si>
    <t>surface concernée en cultures annuelles</t>
  </si>
  <si>
    <t>des surfaces en cultures pérennes</t>
  </si>
  <si>
    <t>surface concernée en cultures pérennes</t>
  </si>
  <si>
    <t>Dispositif de collecte de données</t>
  </si>
  <si>
    <t>Part de la SAU concernée par la pratique</t>
  </si>
  <si>
    <t>- lutte biologique : méthodes utilisant les produits de biocontrôle tels que définis dans l’article L253-6 du Code rural et de la pêche maritime</t>
  </si>
  <si>
    <t>Part de la surface concernée vignes</t>
  </si>
  <si>
    <r>
      <t xml:space="preserve">Surfaces concernées par un système de recyclage et de traitement </t>
    </r>
    <r>
      <rPr>
        <b/>
        <sz val="11"/>
        <color theme="1"/>
        <rFont val="Calibri"/>
        <family val="2"/>
      </rPr>
      <t>total</t>
    </r>
  </si>
  <si>
    <r>
      <t xml:space="preserve">Surfaces concernées par un système de recyclage et de traitement </t>
    </r>
    <r>
      <rPr>
        <b/>
        <sz val="11"/>
        <color theme="1"/>
        <rFont val="Calibri"/>
        <family val="2"/>
      </rPr>
      <t>partiel</t>
    </r>
  </si>
  <si>
    <t>INDICATEUR FERTILISATION</t>
  </si>
  <si>
    <t xml:space="preserve">Utilisation d’un outil PPF (plan prévisionnel de fertilisation) </t>
  </si>
  <si>
    <t>Utilisation d’un outil PPF Aj (ajustement du PPF)</t>
  </si>
  <si>
    <t>Utilisation d'un outil OPI (outil de pilotage intégral) pour le blé</t>
  </si>
  <si>
    <t>Part de la surface concernée par ODP</t>
  </si>
  <si>
    <t>Part de la surface concernée par OPI (pour le blé)</t>
  </si>
  <si>
    <t>Total surface cultures mineures</t>
  </si>
  <si>
    <t>Total surface cultures principales vigne, arboriculture, maraîchage</t>
  </si>
  <si>
    <t>Rappel : part des cultures mineures de la SAU</t>
  </si>
  <si>
    <t>Total surfaces légumineuses</t>
  </si>
  <si>
    <t>Part de la surface en légumineuses</t>
  </si>
  <si>
    <t>Couverture sur la SAU hors cultures pérennes</t>
  </si>
  <si>
    <t>INDICATEUR IRRIGATION</t>
  </si>
  <si>
    <t xml:space="preserve">Total des points retenus </t>
  </si>
  <si>
    <t>Pourcentage de la surface de l'exploitation en IAE</t>
  </si>
  <si>
    <t>Présence de ruches</t>
  </si>
  <si>
    <t>Variété, race ou espèce menacée</t>
  </si>
  <si>
    <t>Limitation de l'utilisation de substances CMR</t>
  </si>
  <si>
    <t>Indicateur de fréquence de traitement phytosanitaire</t>
  </si>
  <si>
    <t>Utilisation des méthodes alternatives</t>
  </si>
  <si>
    <t>Conditions d'application des traitements</t>
  </si>
  <si>
    <t>Utilisation d'outils de mesure</t>
  </si>
  <si>
    <t>Indicateur Phytosanitaire</t>
  </si>
  <si>
    <t>Indicateur Fertilisation</t>
  </si>
  <si>
    <t>Indicateur Biodiversité</t>
  </si>
  <si>
    <t>Indicateur Irrigation</t>
  </si>
  <si>
    <t>AB</t>
  </si>
  <si>
    <t>AOP</t>
  </si>
  <si>
    <t>IGP</t>
  </si>
  <si>
    <t>STG</t>
  </si>
  <si>
    <t>Label rouge</t>
  </si>
  <si>
    <t>AOC</t>
  </si>
  <si>
    <t>Produit de montagne</t>
  </si>
  <si>
    <t>Montagne</t>
  </si>
  <si>
    <t>Fermier</t>
  </si>
  <si>
    <t>Produit de la ferme</t>
  </si>
  <si>
    <t>Produit à la ferme</t>
  </si>
  <si>
    <t>Produit pays</t>
  </si>
  <si>
    <t>CCP</t>
  </si>
  <si>
    <t>Système Grandes Cultures</t>
  </si>
  <si>
    <t>Pomme de Terre</t>
  </si>
  <si>
    <t>Verger</t>
  </si>
  <si>
    <t>Culture enquête PK à utiliser pour la mise à jour des valeurs</t>
  </si>
  <si>
    <t>Agrumes</t>
  </si>
  <si>
    <t>Nectarinier-Pêcher</t>
  </si>
  <si>
    <t>Grand bassin viticole (France Agrimer)</t>
  </si>
  <si>
    <t>Herbicides – plafond</t>
  </si>
  <si>
    <t>Hors Herbicides – plafond</t>
  </si>
  <si>
    <t>Alsace-Est</t>
  </si>
  <si>
    <t>Autres zones viticoles - Alsace-Est</t>
  </si>
  <si>
    <t>Bordeaux-Aquitaine</t>
  </si>
  <si>
    <t>Bourgogne-Beaujolais-Savoie-Jura</t>
  </si>
  <si>
    <t>Jura</t>
  </si>
  <si>
    <t>Autres zones viticoles -Bourgogne-Beaujolais-Savoie-Jura</t>
  </si>
  <si>
    <t>Autres zones viticoles - Champagne</t>
  </si>
  <si>
    <t>Vallée du Rhône - Provence</t>
  </si>
  <si>
    <t>Côtes-du-Rhône-Nord (septentrional)</t>
  </si>
  <si>
    <t>Côtes-du-Rhône-Sud (méridional)</t>
  </si>
  <si>
    <t>Autres zones viticoles Vallée du Rhône-Provence</t>
  </si>
  <si>
    <t>Sud-Ouest</t>
  </si>
  <si>
    <t>Autres zones viticoles - Sud-Ouest</t>
  </si>
  <si>
    <t>Val de Loire - Centre</t>
  </si>
  <si>
    <t>Autres zones viticoles Val de Loire - Centre</t>
  </si>
  <si>
    <t>Autres zones viticoles</t>
  </si>
  <si>
    <t>Herbicides</t>
  </si>
  <si>
    <t>Hors Herbicides</t>
  </si>
  <si>
    <t>Notations IFT</t>
  </si>
  <si>
    <t>IFT Grandes cultures Herbicides</t>
  </si>
  <si>
    <t>IFT Grandes cultures Hors Herbicides</t>
  </si>
  <si>
    <t>IFT Vignes Herbicides</t>
  </si>
  <si>
    <t>IFT Vignes Hors Herbicides</t>
  </si>
  <si>
    <t>IFT Arboricultures Herbicides</t>
  </si>
  <si>
    <t>IFT Arboricultures Hors Herbicides</t>
  </si>
  <si>
    <t>1.30 =&lt; IFT &lt; 1.40</t>
  </si>
  <si>
    <t>1.20 =&lt; IFT &lt; 1.30</t>
  </si>
  <si>
    <t>1.10 =&lt; IFT &lt; 1.20</t>
  </si>
  <si>
    <t>1 =&lt; IFT &lt; 1.10</t>
  </si>
  <si>
    <t>Merci de modifier, si besoin, uniquement les variables de la ligne 125 pour modifier la valeur des maximums des noations</t>
  </si>
  <si>
    <t>Maximums de points</t>
  </si>
  <si>
    <t>Département du siège social de l'exploitation</t>
  </si>
  <si>
    <t>01</t>
  </si>
  <si>
    <t>02</t>
  </si>
  <si>
    <t>04</t>
  </si>
  <si>
    <t>05</t>
  </si>
  <si>
    <t>06</t>
  </si>
  <si>
    <t>09</t>
  </si>
  <si>
    <t>03</t>
  </si>
  <si>
    <t xml:space="preserve">Tableau des valeurs plancher et plafond à utiliser pour le calcul des points </t>
  </si>
  <si>
    <t>Région:</t>
  </si>
  <si>
    <t>plancher</t>
  </si>
  <si>
    <t>plafond</t>
  </si>
  <si>
    <t>herbicides</t>
  </si>
  <si>
    <t>HH</t>
  </si>
  <si>
    <t>Corresp</t>
  </si>
  <si>
    <t>Clé</t>
  </si>
  <si>
    <t>Clé  Scoring actuel</t>
  </si>
  <si>
    <t>Clé  Ancien scoring</t>
  </si>
  <si>
    <t>Clé 2 pour pK</t>
  </si>
  <si>
    <t>Clé 2 pour PK</t>
  </si>
  <si>
    <t>clé 2</t>
  </si>
  <si>
    <t>clé 3</t>
  </si>
  <si>
    <t>à masquer : pour IFT</t>
  </si>
  <si>
    <t>ancien système</t>
  </si>
  <si>
    <t>Nombre de points sur IFT – herbicides</t>
  </si>
  <si>
    <t>Nombre de points sur IFT – hors herbicides</t>
  </si>
  <si>
    <t>Nb de points sur IFT – herbicides – ancienne notation</t>
  </si>
  <si>
    <t>Nb de points sur IFT – hors herbicides – ancienne notation</t>
  </si>
  <si>
    <t>Condition utilisation ancienne notation</t>
  </si>
  <si>
    <t>Sélection ancienne notation</t>
  </si>
  <si>
    <t xml:space="preserve">AUDIT DE NIVEAU 3 : HAUTE VALEUR ENVIRONNEMENTALE </t>
  </si>
  <si>
    <t>CERTIFICATION ENVIRONNEMENTALE DES EXPLOITATIONS AGRICOLES V2022</t>
  </si>
  <si>
    <t>AUDIT DE NIVEAU 3 : HAUTE VALEUR ENVIRONNEMENTALE</t>
  </si>
  <si>
    <t>Surfaces en hectares</t>
  </si>
  <si>
    <t xml:space="preserve">Légumes, fleurs (y compris les plantes médicinales, à parfum, ornementales, aromatiques) et fruits hors arboriculture </t>
  </si>
  <si>
    <t>Total horticulture et pépinière</t>
  </si>
  <si>
    <t>Surface des IAE sur terres arables convertie</t>
  </si>
  <si>
    <t>Surface des IAE sur la surface totale de l'exploitation convertie</t>
  </si>
  <si>
    <t>Max points théorique</t>
  </si>
  <si>
    <t xml:space="preserve">L'enregistrement des IAE est-il exhaustif ? </t>
  </si>
  <si>
    <t>SAU de l'exploitation</t>
  </si>
  <si>
    <t>Surfaces en prairies permanentes non traitées</t>
  </si>
  <si>
    <t>Quantité à saisir (kg)</t>
  </si>
  <si>
    <t>Autre démarche 1</t>
  </si>
  <si>
    <t>Autre démarche 2</t>
  </si>
  <si>
    <t>Surface en hectares</t>
  </si>
  <si>
    <t xml:space="preserve">Total des points obtenus </t>
  </si>
  <si>
    <t>Total des points retenus au prorata de la surface concernée</t>
  </si>
  <si>
    <t>Plafond retenu</t>
  </si>
  <si>
    <t>Plancher retenu</t>
  </si>
  <si>
    <t>utilisant l'un des matériels listés à l'annexe 6 du plan de contrôle.</t>
  </si>
  <si>
    <t xml:space="preserve">Les méthodes manuelles, si elles sont une opération équivalente à la mise en œuvre d’un matériel de l’annexe 6 et sous réserve qu’elles soient contrôlables, sont prises en compte. </t>
  </si>
  <si>
    <r>
      <t>Quantité à saisir en</t>
    </r>
    <r>
      <rPr>
        <b/>
        <sz val="8.5"/>
        <color theme="1"/>
        <rFont val="Calibri"/>
        <family val="2"/>
      </rPr>
      <t xml:space="preserve"> t</t>
    </r>
  </si>
  <si>
    <t>Quantité totale d'azote apporté</t>
  </si>
  <si>
    <t>Part d'azote organique</t>
  </si>
  <si>
    <t>Total points cultures principales</t>
  </si>
  <si>
    <t>Cultures mineures : utilisation d'un outil PPF</t>
  </si>
  <si>
    <t>Total points cultures mineures</t>
  </si>
  <si>
    <t>Utilisation d'un outil PPF (plan prévisionnel de fertilisation)</t>
  </si>
  <si>
    <t>Utilisation d’un outil PPF Aj (ajustement du PPF) ou ODP (outil de pilotage)</t>
  </si>
  <si>
    <t>Total des points obtenus</t>
  </si>
  <si>
    <t>Bilan azoté</t>
  </si>
  <si>
    <t>x = distance /4</t>
  </si>
  <si>
    <t>2x</t>
  </si>
  <si>
    <t>3x</t>
  </si>
  <si>
    <t>4x</t>
  </si>
  <si>
    <t>points</t>
  </si>
  <si>
    <t>Culture IFT</t>
  </si>
  <si>
    <t>Kumquat</t>
  </si>
  <si>
    <r>
      <rPr>
        <b/>
        <sz val="11"/>
        <color theme="1"/>
        <rFont val="Calibri"/>
        <family val="2"/>
      </rPr>
      <t>Source</t>
    </r>
    <r>
      <rPr>
        <sz val="11"/>
        <color theme="1"/>
        <rFont val="Calibri"/>
        <family val="2"/>
        <scheme val="minor"/>
      </rPr>
      <t> : SSP – Agreste – Grandes cultures : enquêtes sur les pratiques culturales en 2011 et en 2017, et sur les pratiques phytosanitaires en 2014</t>
    </r>
  </si>
  <si>
    <t>Code_departement</t>
  </si>
  <si>
    <t>Nom_departement</t>
  </si>
  <si>
    <t>REGION</t>
  </si>
  <si>
    <t>Nom_ancienne_region</t>
  </si>
  <si>
    <t>Bassin_viticole</t>
  </si>
  <si>
    <t>Ain</t>
  </si>
  <si>
    <t>Aisne</t>
  </si>
  <si>
    <t>Allier</t>
  </si>
  <si>
    <t>Alpes-de-Haute-Provence</t>
  </si>
  <si>
    <t>Hautes-Alpes</t>
  </si>
  <si>
    <t>Alpes-Maritimes</t>
  </si>
  <si>
    <t>07</t>
  </si>
  <si>
    <t>Ardèche</t>
  </si>
  <si>
    <t>08</t>
  </si>
  <si>
    <t>Ardennes</t>
  </si>
  <si>
    <t>Ariège</t>
  </si>
  <si>
    <t>Aube</t>
  </si>
  <si>
    <t>Aude</t>
  </si>
  <si>
    <t>Aveyron</t>
  </si>
  <si>
    <t>Calvados</t>
  </si>
  <si>
    <t>Cantal</t>
  </si>
  <si>
    <t>Charente</t>
  </si>
  <si>
    <t>Charente-Maritime</t>
  </si>
  <si>
    <t>Corrèze</t>
  </si>
  <si>
    <t>Côte-d'Or</t>
  </si>
  <si>
    <t>Côtes-d'Armor</t>
  </si>
  <si>
    <t>Creuse</t>
  </si>
  <si>
    <t>Doubs</t>
  </si>
  <si>
    <t>Drôme</t>
  </si>
  <si>
    <t>Eure</t>
  </si>
  <si>
    <t>Eure-et-Loir</t>
  </si>
  <si>
    <t>Finistère</t>
  </si>
  <si>
    <t>Gard</t>
  </si>
  <si>
    <t>Haute-Garonne</t>
  </si>
  <si>
    <t>Gironde</t>
  </si>
  <si>
    <t>Hérault</t>
  </si>
  <si>
    <t>Ille-et-Vilaine</t>
  </si>
  <si>
    <t>Indre</t>
  </si>
  <si>
    <t>Indre-et-Loire</t>
  </si>
  <si>
    <t>Isère</t>
  </si>
  <si>
    <t>Landes</t>
  </si>
  <si>
    <t>Loir-et-Cher</t>
  </si>
  <si>
    <t>Loire</t>
  </si>
  <si>
    <t>Haute-Loire</t>
  </si>
  <si>
    <t>Loire-Atlantique</t>
  </si>
  <si>
    <t>Loiret</t>
  </si>
  <si>
    <t>Lot</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</si>
  <si>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</si>
  <si>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</si>
  <si>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</si>
  <si>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</si>
  <si>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</si>
  <si>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</si>
  <si>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</si>
  <si>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</si>
  <si>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</si>
  <si>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</si>
  <si>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</si>
  <si>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</si>
  <si>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</si>
  <si>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</si>
  <si>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</si>
  <si>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</si>
  <si>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</si>
  <si>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</si>
  <si>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Bas-Rhin</t>
  </si>
  <si>
    <t>Haut-Rhin</t>
  </si>
  <si>
    <t>Rhône</t>
  </si>
  <si>
    <t>Périmètre AOC Beaujolais</t>
  </si>
  <si>
    <t>Hors périmètre AOC Beaujolais</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</si>
  <si>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</si>
  <si>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</si>
  <si>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</si>
  <si>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</si>
  <si>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</si>
  <si>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</si>
  <si>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</si>
  <si>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</si>
  <si>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</si>
  <si>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</si>
  <si>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</si>
  <si>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</si>
  <si>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</si>
  <si>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</si>
  <si>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</si>
  <si>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</si>
  <si>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</si>
  <si>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</si>
  <si>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</si>
  <si>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</si>
  <si>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</si>
  <si>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</si>
  <si>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</si>
  <si>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</si>
  <si>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</si>
  <si>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</si>
  <si>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La Réunion</t>
  </si>
  <si>
    <t>Mayotte</t>
  </si>
  <si>
    <t>Corse-du-Sud</t>
  </si>
  <si>
    <t>Haute-Corse</t>
  </si>
  <si>
    <t>Partie nord</t>
  </si>
  <si>
    <t>Partie sud</t>
  </si>
  <si>
    <t>Pays De La Loire</t>
  </si>
  <si>
    <t>Nord-Pas-De-Calais</t>
  </si>
  <si>
    <t>Ile-De-France</t>
  </si>
  <si>
    <t>La Reunion</t>
  </si>
  <si>
    <t>Surface</t>
  </si>
  <si>
    <t>Modalités prise en compte ancienne méthode IFT en grandes cultures :</t>
  </si>
  <si>
    <t>Prise en compte sans pénalité surfacique = 1</t>
  </si>
  <si>
    <t>Prise en compte avec pénalité surfacique = 2</t>
  </si>
  <si>
    <t>Pas de prise en compte ancienne méthode (uniquement maj notation) = 3</t>
  </si>
  <si>
    <t>Région de référence</t>
  </si>
  <si>
    <t>Informations relatives à l'exploitation</t>
  </si>
  <si>
    <t>Activité végétale</t>
  </si>
  <si>
    <t xml:space="preserve">Information sur la certification </t>
  </si>
  <si>
    <t>Organisme Certificateur</t>
  </si>
  <si>
    <t>N°SIRET</t>
  </si>
  <si>
    <t>Nom ou Raison sociale</t>
  </si>
  <si>
    <t>Adresse</t>
  </si>
  <si>
    <t>Code Postal</t>
  </si>
  <si>
    <t xml:space="preserve">Région </t>
  </si>
  <si>
    <r>
      <t xml:space="preserve">Département
</t>
    </r>
    <r>
      <rPr>
        <i/>
        <sz val="10"/>
        <rFont val="Arial"/>
        <family val="2"/>
      </rPr>
      <t>(en toutes lettres)</t>
    </r>
  </si>
  <si>
    <t>Commune</t>
  </si>
  <si>
    <t>Téléphone</t>
  </si>
  <si>
    <t>email</t>
  </si>
  <si>
    <t>Site internet</t>
  </si>
  <si>
    <t>Activité principale 
(secteur animal)</t>
  </si>
  <si>
    <t>Activité secondaire
(secteur animal)</t>
  </si>
  <si>
    <t>Autre activité
(secteur animal)</t>
  </si>
  <si>
    <t>Activité principale 
(secteur végétal)</t>
  </si>
  <si>
    <t>Activité secondaire
(secteur végétal)</t>
  </si>
  <si>
    <t>Autre activité
(secteur végétal)</t>
  </si>
  <si>
    <t>Niveau</t>
  </si>
  <si>
    <t>Option</t>
  </si>
  <si>
    <t>Surface totale de l'exploitation (en ha)</t>
  </si>
  <si>
    <r>
      <t xml:space="preserve">Type de certification
</t>
    </r>
    <r>
      <rPr>
        <i/>
        <sz val="10"/>
        <rFont val="Arial"/>
        <family val="2"/>
      </rPr>
      <t>(Individuelle/collective)</t>
    </r>
  </si>
  <si>
    <r>
      <t xml:space="preserve">Nom de la structure collective </t>
    </r>
    <r>
      <rPr>
        <i/>
        <sz val="10"/>
        <rFont val="Arial"/>
        <family val="2"/>
      </rPr>
      <t>(le cas échéant)</t>
    </r>
  </si>
  <si>
    <t>Engagement dans une démarche de niveau 2</t>
  </si>
  <si>
    <t>Engagement dans un autre mode de valorisation officiel de la qualité</t>
  </si>
  <si>
    <t>Vente directe</t>
  </si>
  <si>
    <r>
      <rPr>
        <b/>
        <sz val="10"/>
        <rFont val="Arial"/>
        <family val="2"/>
      </rPr>
      <t xml:space="preserve">Accord annuaire
</t>
    </r>
    <r>
      <rPr>
        <i/>
        <sz val="10"/>
        <rFont val="Arial"/>
        <family val="2"/>
      </rPr>
      <t>(OUI/NON)</t>
    </r>
  </si>
  <si>
    <t>Commentaire OC</t>
  </si>
  <si>
    <t>Bassin viticole de référence</t>
  </si>
  <si>
    <t>Part de la surface concernée arboriculture et autres cultures pérennes</t>
  </si>
  <si>
    <t>Part de la surface concernée cultures hors sol</t>
  </si>
  <si>
    <t>Total SAU irriguée</t>
  </si>
  <si>
    <t>Niveau 3</t>
  </si>
  <si>
    <t>Ancien plancher</t>
  </si>
  <si>
    <t>Auvergne-Rhône-Alpes</t>
  </si>
  <si>
    <t>Bourgogne-Franche-Comté</t>
  </si>
  <si>
    <t>Centre-Val de Loire</t>
  </si>
  <si>
    <t>Grand Est</t>
  </si>
  <si>
    <t>Hauts-de-France</t>
  </si>
  <si>
    <t>Normandie</t>
  </si>
  <si>
    <t>Nouvelle-Aquitaine</t>
  </si>
  <si>
    <t>Occitanie</t>
  </si>
  <si>
    <t xml:space="preserve">Liste des communes localisées dans les parties nord / sud de l'Ardèche et de la Drôme </t>
  </si>
  <si>
    <t>Se référer à cette liste pour sélectionner la bonne modalité de la variable  "Département" dans la table Identification. Elle est déterminante pour définir le bassin viticole correspondant à l'exploitation et procéder au calcul de la note du critère IFT</t>
  </si>
  <si>
    <t>Nom de la commune</t>
  </si>
  <si>
    <t>Sous-zonage pour l'identification du bassin viticole</t>
  </si>
  <si>
    <t>Code_commune_insee_2021</t>
  </si>
  <si>
    <t>Accons</t>
  </si>
  <si>
    <t>07001</t>
  </si>
  <si>
    <t>Ailhon</t>
  </si>
  <si>
    <t>07002</t>
  </si>
  <si>
    <t>Aizac</t>
  </si>
  <si>
    <t>07003</t>
  </si>
  <si>
    <t>Ajoux</t>
  </si>
  <si>
    <t>07004</t>
  </si>
  <si>
    <t>Alba-la-Romaine</t>
  </si>
  <si>
    <t>07005</t>
  </si>
  <si>
    <t>Albon</t>
  </si>
  <si>
    <t>26002</t>
  </si>
  <si>
    <t>Albon-d'Ardèche</t>
  </si>
  <si>
    <t>07006</t>
  </si>
  <si>
    <t>Alboussière</t>
  </si>
  <si>
    <t>07007</t>
  </si>
  <si>
    <t>Aleyrac</t>
  </si>
  <si>
    <t>26003</t>
  </si>
  <si>
    <t>Alissas</t>
  </si>
  <si>
    <t>07008</t>
  </si>
  <si>
    <t>Alixan</t>
  </si>
  <si>
    <t>26004</t>
  </si>
  <si>
    <t>Allan</t>
  </si>
  <si>
    <t>26005</t>
  </si>
  <si>
    <t>Allex</t>
  </si>
  <si>
    <t>26006</t>
  </si>
  <si>
    <t>Ambonil</t>
  </si>
  <si>
    <t>26007</t>
  </si>
  <si>
    <t>Ancône</t>
  </si>
  <si>
    <t>26008</t>
  </si>
  <si>
    <t>Andance</t>
  </si>
  <si>
    <t>07009</t>
  </si>
  <si>
    <t>Andancette</t>
  </si>
  <si>
    <t>26009</t>
  </si>
  <si>
    <t>Anneyron</t>
  </si>
  <si>
    <t>26010</t>
  </si>
  <si>
    <t>Annonay</t>
  </si>
  <si>
    <t>07010</t>
  </si>
  <si>
    <t>Aouste-sur-Sye</t>
  </si>
  <si>
    <t>26011</t>
  </si>
  <si>
    <t>Arcens</t>
  </si>
  <si>
    <t>07012</t>
  </si>
  <si>
    <t>Ardoix</t>
  </si>
  <si>
    <t>07013</t>
  </si>
  <si>
    <t>Arlebosc</t>
  </si>
  <si>
    <t>07014</t>
  </si>
  <si>
    <t>Arnayon</t>
  </si>
  <si>
    <t>26012</t>
  </si>
  <si>
    <t>Arpavon</t>
  </si>
  <si>
    <t>26013</t>
  </si>
  <si>
    <t>Arras-sur-Rhône</t>
  </si>
  <si>
    <t>07015</t>
  </si>
  <si>
    <t>Arthémonay</t>
  </si>
  <si>
    <t>26014</t>
  </si>
  <si>
    <t>Astet</t>
  </si>
  <si>
    <t>07018</t>
  </si>
  <si>
    <t>Aubenas</t>
  </si>
  <si>
    <t>07019</t>
  </si>
  <si>
    <t>Aubenasson</t>
  </si>
  <si>
    <t>26015</t>
  </si>
  <si>
    <t>Aubignas</t>
  </si>
  <si>
    <t>07020</t>
  </si>
  <si>
    <t>Aubres</t>
  </si>
  <si>
    <t>26016</t>
  </si>
  <si>
    <t>Aucelon</t>
  </si>
  <si>
    <t>26017</t>
  </si>
  <si>
    <t>Aulan</t>
  </si>
  <si>
    <t>26018</t>
  </si>
  <si>
    <t>Aurel</t>
  </si>
  <si>
    <t>26019</t>
  </si>
  <si>
    <t>Autichamp</t>
  </si>
  <si>
    <t>26021</t>
  </si>
  <si>
    <t>Baix</t>
  </si>
  <si>
    <t>07022</t>
  </si>
  <si>
    <t>Balazuc</t>
  </si>
  <si>
    <t>07023</t>
  </si>
  <si>
    <t>Ballons</t>
  </si>
  <si>
    <t>26022</t>
  </si>
  <si>
    <t>Banne</t>
  </si>
  <si>
    <t>07024</t>
  </si>
  <si>
    <t>Barbières</t>
  </si>
  <si>
    <t>26023</t>
  </si>
  <si>
    <t>Barcelonne</t>
  </si>
  <si>
    <t>26024</t>
  </si>
  <si>
    <t>Barnas</t>
  </si>
  <si>
    <t>07025</t>
  </si>
  <si>
    <t>Barnave</t>
  </si>
  <si>
    <t>26025</t>
  </si>
  <si>
    <t>Barret-de-Lioure</t>
  </si>
  <si>
    <t>26026</t>
  </si>
  <si>
    <t>Barsac</t>
  </si>
  <si>
    <t>26027</t>
  </si>
  <si>
    <t>Bathernay</t>
  </si>
  <si>
    <t>26028</t>
  </si>
  <si>
    <t>Beauchastel</t>
  </si>
  <si>
    <t>07027</t>
  </si>
  <si>
    <t>Beaufort-sur-Gervanne</t>
  </si>
  <si>
    <t>26035</t>
  </si>
  <si>
    <t>Beaulieu</t>
  </si>
  <si>
    <t>07028</t>
  </si>
  <si>
    <t>Beaumont</t>
  </si>
  <si>
    <t>07029</t>
  </si>
  <si>
    <t>Beaumont-en-Diois</t>
  </si>
  <si>
    <t>26036</t>
  </si>
  <si>
    <t>Beaumont-lès-Valence</t>
  </si>
  <si>
    <t>26037</t>
  </si>
  <si>
    <t>Beaumont-Monteux</t>
  </si>
  <si>
    <t>26038</t>
  </si>
  <si>
    <t>Beauregard-Baret</t>
  </si>
  <si>
    <t>26039</t>
  </si>
  <si>
    <t>Beaurières</t>
  </si>
  <si>
    <t>26040</t>
  </si>
  <si>
    <t>Beausemblant</t>
  </si>
  <si>
    <t>26041</t>
  </si>
  <si>
    <t>Beauvallon</t>
  </si>
  <si>
    <t>26042</t>
  </si>
  <si>
    <t>Beauvène</t>
  </si>
  <si>
    <t>07030</t>
  </si>
  <si>
    <t>Beauvoisin</t>
  </si>
  <si>
    <t>26043</t>
  </si>
  <si>
    <t>Bellecombe-Tarendol</t>
  </si>
  <si>
    <t>26046</t>
  </si>
  <si>
    <t>Bellegarde-en-Diois</t>
  </si>
  <si>
    <t>26047</t>
  </si>
  <si>
    <t>Belsentes</t>
  </si>
  <si>
    <t>07165</t>
  </si>
  <si>
    <t>Bénivay-Ollon</t>
  </si>
  <si>
    <t>26048</t>
  </si>
  <si>
    <t>Berrias-et-Casteljau</t>
  </si>
  <si>
    <t>07031</t>
  </si>
  <si>
    <t>Berzème</t>
  </si>
  <si>
    <t>07032</t>
  </si>
  <si>
    <t>Bésayes</t>
  </si>
  <si>
    <t>26049</t>
  </si>
  <si>
    <t>Bésignan</t>
  </si>
  <si>
    <t>26050</t>
  </si>
  <si>
    <t>Bessas</t>
  </si>
  <si>
    <t>07033</t>
  </si>
  <si>
    <t>Bézaudun-sur-Bîne</t>
  </si>
  <si>
    <t>26051</t>
  </si>
  <si>
    <t>Bidon</t>
  </si>
  <si>
    <t>07034</t>
  </si>
  <si>
    <t>Boffres</t>
  </si>
  <si>
    <t>07035</t>
  </si>
  <si>
    <t>Bogy</t>
  </si>
  <si>
    <t>07036</t>
  </si>
  <si>
    <t>Bonlieu-sur-Roubion</t>
  </si>
  <si>
    <t>26052</t>
  </si>
  <si>
    <t>Borée</t>
  </si>
  <si>
    <t>07037</t>
  </si>
  <si>
    <t>Borne</t>
  </si>
  <si>
    <t>07038</t>
  </si>
  <si>
    <t>Bouchet</t>
  </si>
  <si>
    <t>26054</t>
  </si>
  <si>
    <t>Boucieu-le-Roi</t>
  </si>
  <si>
    <t>07040</t>
  </si>
  <si>
    <t>Boulc</t>
  </si>
  <si>
    <t>26055</t>
  </si>
  <si>
    <t>Boulieu-lès-Annonay</t>
  </si>
  <si>
    <t>07041</t>
  </si>
  <si>
    <t>Bourdeaux</t>
  </si>
  <si>
    <t>26056</t>
  </si>
  <si>
    <t>Bourg-de-Péage</t>
  </si>
  <si>
    <t>26057</t>
  </si>
  <si>
    <t>Bourg-lès-Valence</t>
  </si>
  <si>
    <t>26058</t>
  </si>
  <si>
    <t>Bourg-Saint-Andéol</t>
  </si>
  <si>
    <t>07042</t>
  </si>
  <si>
    <t>Bouvante</t>
  </si>
  <si>
    <t>26059</t>
  </si>
  <si>
    <t>Bouvières</t>
  </si>
  <si>
    <t>26060</t>
  </si>
  <si>
    <t>Bozas</t>
  </si>
  <si>
    <t>07039</t>
  </si>
  <si>
    <t>Bren</t>
  </si>
  <si>
    <t>26061</t>
  </si>
  <si>
    <t>Brette</t>
  </si>
  <si>
    <t>26062</t>
  </si>
  <si>
    <t>Brossainc</t>
  </si>
  <si>
    <t>07044</t>
  </si>
  <si>
    <t>Buis-les-Baronnies</t>
  </si>
  <si>
    <t>26063</t>
  </si>
  <si>
    <t>Burzet</t>
  </si>
  <si>
    <t>07045</t>
  </si>
  <si>
    <t>Cellier-du-Luc</t>
  </si>
  <si>
    <t>07047</t>
  </si>
  <si>
    <t>Chabeuil</t>
  </si>
  <si>
    <t>26064</t>
  </si>
  <si>
    <t>Chabrillan</t>
  </si>
  <si>
    <t>26065</t>
  </si>
  <si>
    <t>Chalancon</t>
  </si>
  <si>
    <t>26067</t>
  </si>
  <si>
    <t>Chalencon</t>
  </si>
  <si>
    <t>07048</t>
  </si>
  <si>
    <t>Chamaloc</t>
  </si>
  <si>
    <t>26069</t>
  </si>
  <si>
    <t>Chamaret</t>
  </si>
  <si>
    <t>26070</t>
  </si>
  <si>
    <t>Chambonas</t>
  </si>
  <si>
    <t>07050</t>
  </si>
  <si>
    <t>07051</t>
  </si>
  <si>
    <t>Champis</t>
  </si>
  <si>
    <t>07052</t>
  </si>
  <si>
    <t>Chandolas</t>
  </si>
  <si>
    <t>07053</t>
  </si>
  <si>
    <t>Chanéac</t>
  </si>
  <si>
    <t>07054</t>
  </si>
  <si>
    <t>Chanos-Curson</t>
  </si>
  <si>
    <t>26071</t>
  </si>
  <si>
    <t>Chantemerle-les-Blés</t>
  </si>
  <si>
    <t>26072</t>
  </si>
  <si>
    <t>Chantemerle-lès-Grignan</t>
  </si>
  <si>
    <t>26073</t>
  </si>
  <si>
    <t>Charens</t>
  </si>
  <si>
    <t>26076</t>
  </si>
  <si>
    <t>Charmes-sur-l'Herbasse</t>
  </si>
  <si>
    <t>26077</t>
  </si>
  <si>
    <t>Charmes-sur-Rhône</t>
  </si>
  <si>
    <t>07055</t>
  </si>
  <si>
    <t>Charnas</t>
  </si>
  <si>
    <t>07056</t>
  </si>
  <si>
    <t>Charols</t>
  </si>
  <si>
    <t>26078</t>
  </si>
  <si>
    <t>Charpey</t>
  </si>
  <si>
    <t>26079</t>
  </si>
  <si>
    <t>Chassiers</t>
  </si>
  <si>
    <t>07058</t>
  </si>
  <si>
    <t>Chastel-Arnaud</t>
  </si>
  <si>
    <t>26080</t>
  </si>
  <si>
    <t>Châteaubourg</t>
  </si>
  <si>
    <t>07059</t>
  </si>
  <si>
    <t>Châteaudouble</t>
  </si>
  <si>
    <t>26081</t>
  </si>
  <si>
    <t>Châteauneuf-de-Bordette</t>
  </si>
  <si>
    <t>26082</t>
  </si>
  <si>
    <t>Châteauneuf-de-Galaure</t>
  </si>
  <si>
    <t>26083</t>
  </si>
  <si>
    <t>Châteauneuf-de-Vernoux</t>
  </si>
  <si>
    <t>07060</t>
  </si>
  <si>
    <t>Châteauneuf-du-Rhône</t>
  </si>
  <si>
    <t>26085</t>
  </si>
  <si>
    <t>Châteauneuf-sur-Isère</t>
  </si>
  <si>
    <t>26084</t>
  </si>
  <si>
    <t>Châtillon-en-Diois</t>
  </si>
  <si>
    <t>26086</t>
  </si>
  <si>
    <t>Châtillon-Saint-Jean</t>
  </si>
  <si>
    <t>26087</t>
  </si>
  <si>
    <t>Chatuzange-le-Goubet</t>
  </si>
  <si>
    <t>26088</t>
  </si>
  <si>
    <t>Chaudebonne</t>
  </si>
  <si>
    <t>26089</t>
  </si>
  <si>
    <t>Chauvac-Laux-Montaux</t>
  </si>
  <si>
    <t>26091</t>
  </si>
  <si>
    <t>Chauzon</t>
  </si>
  <si>
    <t>07061</t>
  </si>
  <si>
    <t>Chavannes</t>
  </si>
  <si>
    <t>26092</t>
  </si>
  <si>
    <t>Chazeaux</t>
  </si>
  <si>
    <t>07062</t>
  </si>
  <si>
    <t>Cheminas</t>
  </si>
  <si>
    <t>07063</t>
  </si>
  <si>
    <t>Chirols</t>
  </si>
  <si>
    <t>07065</t>
  </si>
  <si>
    <t>Chomérac</t>
  </si>
  <si>
    <t>07066</t>
  </si>
  <si>
    <t>Clansayes</t>
  </si>
  <si>
    <t>26093</t>
  </si>
  <si>
    <t>Claveyson</t>
  </si>
  <si>
    <t>26094</t>
  </si>
  <si>
    <t>Cléon-d'Andran</t>
  </si>
  <si>
    <t>26095</t>
  </si>
  <si>
    <t>Clérieux</t>
  </si>
  <si>
    <t>26096</t>
  </si>
  <si>
    <t>Cliousclat</t>
  </si>
  <si>
    <t>26097</t>
  </si>
  <si>
    <t>Cobonne</t>
  </si>
  <si>
    <t>26098</t>
  </si>
  <si>
    <t>Colombier-le-Cardinal</t>
  </si>
  <si>
    <t>07067</t>
  </si>
  <si>
    <t>Colombier-le-Jeune</t>
  </si>
  <si>
    <t>07068</t>
  </si>
  <si>
    <t>Colombier-le-Vieux</t>
  </si>
  <si>
    <t>07069</t>
  </si>
  <si>
    <t>Colonzelle</t>
  </si>
  <si>
    <t>26099</t>
  </si>
  <si>
    <t>Combovin</t>
  </si>
  <si>
    <t>26100</t>
  </si>
  <si>
    <t>Comps</t>
  </si>
  <si>
    <t>26101</t>
  </si>
  <si>
    <t>Condillac</t>
  </si>
  <si>
    <t>26102</t>
  </si>
  <si>
    <t>Condorcet</t>
  </si>
  <si>
    <t>26103</t>
  </si>
  <si>
    <t>Cornas</t>
  </si>
  <si>
    <t>07070</t>
  </si>
  <si>
    <t>Cornillac</t>
  </si>
  <si>
    <t>26104</t>
  </si>
  <si>
    <t>Cornillon-sur-l'Oule</t>
  </si>
  <si>
    <t>26105</t>
  </si>
  <si>
    <t>Coucouron</t>
  </si>
  <si>
    <t>07071</t>
  </si>
  <si>
    <t>Coux</t>
  </si>
  <si>
    <t>07072</t>
  </si>
  <si>
    <t>Crépol</t>
  </si>
  <si>
    <t>26107</t>
  </si>
  <si>
    <t>Crest</t>
  </si>
  <si>
    <t>26108</t>
  </si>
  <si>
    <t>Creysseilles</t>
  </si>
  <si>
    <t>07074</t>
  </si>
  <si>
    <t>Cros-de-Géorand</t>
  </si>
  <si>
    <t>07075</t>
  </si>
  <si>
    <t>Crozes-Hermitage</t>
  </si>
  <si>
    <t>26110</t>
  </si>
  <si>
    <t>Cruas</t>
  </si>
  <si>
    <t>07076</t>
  </si>
  <si>
    <t>Crupies</t>
  </si>
  <si>
    <t>26111</t>
  </si>
  <si>
    <t>Curnier</t>
  </si>
  <si>
    <t>26112</t>
  </si>
  <si>
    <t>Darbres</t>
  </si>
  <si>
    <t>07077</t>
  </si>
  <si>
    <t>Davézieux</t>
  </si>
  <si>
    <t>07078</t>
  </si>
  <si>
    <t>Désaignes</t>
  </si>
  <si>
    <t>07079</t>
  </si>
  <si>
    <t>Devesset</t>
  </si>
  <si>
    <t>07080</t>
  </si>
  <si>
    <t>Die</t>
  </si>
  <si>
    <t>26113</t>
  </si>
  <si>
    <t>Dieulefit</t>
  </si>
  <si>
    <t>26114</t>
  </si>
  <si>
    <t>Divajeu</t>
  </si>
  <si>
    <t>26115</t>
  </si>
  <si>
    <t>Dompnac</t>
  </si>
  <si>
    <t>07081</t>
  </si>
  <si>
    <t>Donzère</t>
  </si>
  <si>
    <t>26116</t>
  </si>
  <si>
    <t>Dornas</t>
  </si>
  <si>
    <t>07082</t>
  </si>
  <si>
    <t>Dunière-sur-Eyrieux</t>
  </si>
  <si>
    <t>07083</t>
  </si>
  <si>
    <t>Échevis</t>
  </si>
  <si>
    <t>26117</t>
  </si>
  <si>
    <t>Eclassan</t>
  </si>
  <si>
    <t>07084</t>
  </si>
  <si>
    <t>Empurany</t>
  </si>
  <si>
    <t>07085</t>
  </si>
  <si>
    <t>Épinouze</t>
  </si>
  <si>
    <t>26118</t>
  </si>
  <si>
    <t>Érôme</t>
  </si>
  <si>
    <t>26119</t>
  </si>
  <si>
    <t>Espeluche</t>
  </si>
  <si>
    <t>26121</t>
  </si>
  <si>
    <t>Espenel</t>
  </si>
  <si>
    <t>26122</t>
  </si>
  <si>
    <t>Establet</t>
  </si>
  <si>
    <t>26123</t>
  </si>
  <si>
    <t>Étables</t>
  </si>
  <si>
    <t>07086</t>
  </si>
  <si>
    <t>Étoile-sur-Rhône</t>
  </si>
  <si>
    <t>26124</t>
  </si>
  <si>
    <t>Eurre</t>
  </si>
  <si>
    <t>26125</t>
  </si>
  <si>
    <t>Eygalayes</t>
  </si>
  <si>
    <t>26126</t>
  </si>
  <si>
    <t>Eygaliers</t>
  </si>
  <si>
    <t>26127</t>
  </si>
  <si>
    <t>Eygluy-Escoulin</t>
  </si>
  <si>
    <t>26128</t>
  </si>
  <si>
    <t>Eymeux</t>
  </si>
  <si>
    <t>26129</t>
  </si>
  <si>
    <t>Eyroles</t>
  </si>
  <si>
    <t>26130</t>
  </si>
  <si>
    <t>Eyzahut</t>
  </si>
  <si>
    <t>26131</t>
  </si>
  <si>
    <t>Fabras</t>
  </si>
  <si>
    <t>07087</t>
  </si>
  <si>
    <t>Faugères</t>
  </si>
  <si>
    <t>07088</t>
  </si>
  <si>
    <t>Fay-le-Clos</t>
  </si>
  <si>
    <t>26133</t>
  </si>
  <si>
    <t>Félines</t>
  </si>
  <si>
    <t>07089</t>
  </si>
  <si>
    <t>Félines-sur-Rimandoule</t>
  </si>
  <si>
    <t>26134</t>
  </si>
  <si>
    <t>Ferrassières</t>
  </si>
  <si>
    <t>26135</t>
  </si>
  <si>
    <t>Flaviac</t>
  </si>
  <si>
    <t>07090</t>
  </si>
  <si>
    <t>Fons</t>
  </si>
  <si>
    <t>07091</t>
  </si>
  <si>
    <t>Francillon-sur-Roubion</t>
  </si>
  <si>
    <t>26137</t>
  </si>
  <si>
    <t>Freyssenet</t>
  </si>
  <si>
    <t>07092</t>
  </si>
  <si>
    <t>Genestelle</t>
  </si>
  <si>
    <t>07093</t>
  </si>
  <si>
    <t>Génissieux</t>
  </si>
  <si>
    <t>26139</t>
  </si>
  <si>
    <t>Gervans</t>
  </si>
  <si>
    <t>26380</t>
  </si>
  <si>
    <t>Geyssans</t>
  </si>
  <si>
    <t>26140</t>
  </si>
  <si>
    <t>Gigors-et-Lozeron</t>
  </si>
  <si>
    <t>26141</t>
  </si>
  <si>
    <t>Gilhac-et-Bruzac</t>
  </si>
  <si>
    <t>07094</t>
  </si>
  <si>
    <t>Gilhoc-sur-Ormèze</t>
  </si>
  <si>
    <t>07095</t>
  </si>
  <si>
    <t>Glandage</t>
  </si>
  <si>
    <t>26142</t>
  </si>
  <si>
    <t>Gluiras</t>
  </si>
  <si>
    <t>07096</t>
  </si>
  <si>
    <t>Glun</t>
  </si>
  <si>
    <t>07097</t>
  </si>
  <si>
    <t>Gourdon</t>
  </si>
  <si>
    <t>07098</t>
  </si>
  <si>
    <t>Grane</t>
  </si>
  <si>
    <t>26144</t>
  </si>
  <si>
    <t>Granges-les-Beaumont</t>
  </si>
  <si>
    <t>26379</t>
  </si>
  <si>
    <t>Gras</t>
  </si>
  <si>
    <t>07099</t>
  </si>
  <si>
    <t>Gravières</t>
  </si>
  <si>
    <t>07100</t>
  </si>
  <si>
    <t>Grignan</t>
  </si>
  <si>
    <t>26146</t>
  </si>
  <si>
    <t>Grospierres</t>
  </si>
  <si>
    <t>07101</t>
  </si>
  <si>
    <t>Guilherand-Granges</t>
  </si>
  <si>
    <t>07102</t>
  </si>
  <si>
    <t>Gumiane</t>
  </si>
  <si>
    <t>26147</t>
  </si>
  <si>
    <t>Hauterives</t>
  </si>
  <si>
    <t>26148</t>
  </si>
  <si>
    <t>Hostun</t>
  </si>
  <si>
    <t>26149</t>
  </si>
  <si>
    <t>Issamoulenc</t>
  </si>
  <si>
    <t>07104</t>
  </si>
  <si>
    <t>Issanlas</t>
  </si>
  <si>
    <t>07105</t>
  </si>
  <si>
    <t>Issarlès</t>
  </si>
  <si>
    <t>07106</t>
  </si>
  <si>
    <t>Izon-la-Bruisse</t>
  </si>
  <si>
    <t>26150</t>
  </si>
  <si>
    <t>Jaillans</t>
  </si>
  <si>
    <t>26381</t>
  </si>
  <si>
    <t>Jaujac</t>
  </si>
  <si>
    <t>07107</t>
  </si>
  <si>
    <t>Jaunac</t>
  </si>
  <si>
    <t>07108</t>
  </si>
  <si>
    <t>Joannas</t>
  </si>
  <si>
    <t>07109</t>
  </si>
  <si>
    <t>Jonchères</t>
  </si>
  <si>
    <t>26152</t>
  </si>
  <si>
    <t>Joyeuse</t>
  </si>
  <si>
    <t>07110</t>
  </si>
  <si>
    <t>Juvinas</t>
  </si>
  <si>
    <t>07111</t>
  </si>
  <si>
    <t>La Bâtie-des-Fonds</t>
  </si>
  <si>
    <t>26030</t>
  </si>
  <si>
    <t>La Bâtie-Rolland</t>
  </si>
  <si>
    <t>26031</t>
  </si>
  <si>
    <t>La Baume-Cornillane</t>
  </si>
  <si>
    <t>26032</t>
  </si>
  <si>
    <t>La Baume-d'Hostun</t>
  </si>
  <si>
    <t>26034</t>
  </si>
  <si>
    <t>La Baume-de-Transit</t>
  </si>
  <si>
    <t>26033</t>
  </si>
  <si>
    <t>La Bégude-de-Mazenc</t>
  </si>
  <si>
    <t>26045</t>
  </si>
  <si>
    <t>La Chapelle-en-Vercors</t>
  </si>
  <si>
    <t>26074</t>
  </si>
  <si>
    <t>La Charce</t>
  </si>
  <si>
    <t>26075</t>
  </si>
  <si>
    <t>La Chaudière</t>
  </si>
  <si>
    <t>26090</t>
  </si>
  <si>
    <t>La Coucourde</t>
  </si>
  <si>
    <t>26106</t>
  </si>
  <si>
    <t>La Garde-Adhémar</t>
  </si>
  <si>
    <t>26138</t>
  </si>
  <si>
    <t>La Laupie</t>
  </si>
  <si>
    <t>26157</t>
  </si>
  <si>
    <t>La Motte-Chalancon</t>
  </si>
  <si>
    <t>26215</t>
  </si>
  <si>
    <t>La Motte-de-Galaure</t>
  </si>
  <si>
    <t>26216</t>
  </si>
  <si>
    <t>La Motte-Fanjas</t>
  </si>
  <si>
    <t>26217</t>
  </si>
  <si>
    <t>La Penne-sur-l'Ouvèze</t>
  </si>
  <si>
    <t>26229</t>
  </si>
  <si>
    <t>La Répara-Auriples</t>
  </si>
  <si>
    <t>26020</t>
  </si>
  <si>
    <t>La Roche-de-Glun</t>
  </si>
  <si>
    <t>26271</t>
  </si>
  <si>
    <t>La Roche-sur-Grane</t>
  </si>
  <si>
    <t>26277</t>
  </si>
  <si>
    <t>La Roche-sur-le-Buis</t>
  </si>
  <si>
    <t>26278</t>
  </si>
  <si>
    <t>La Rochette</t>
  </si>
  <si>
    <t>07195</t>
  </si>
  <si>
    <t>La Rochette-du-Buis</t>
  </si>
  <si>
    <t>26279</t>
  </si>
  <si>
    <t>La Souche</t>
  </si>
  <si>
    <t>07315</t>
  </si>
  <si>
    <t>La Touche</t>
  </si>
  <si>
    <t>26352</t>
  </si>
  <si>
    <t>La Voulte-sur-Rhône</t>
  </si>
  <si>
    <t>07349</t>
  </si>
  <si>
    <t>Labastide-de-Virac</t>
  </si>
  <si>
    <t>07113</t>
  </si>
  <si>
    <t>Labastide-sur-Bésorgues</t>
  </si>
  <si>
    <t>07112</t>
  </si>
  <si>
    <t>Labatie-d'Andaure</t>
  </si>
  <si>
    <t>07114</t>
  </si>
  <si>
    <t>Labeaume</t>
  </si>
  <si>
    <t>07115</t>
  </si>
  <si>
    <t>Labégude</t>
  </si>
  <si>
    <t>07116</t>
  </si>
  <si>
    <t>Lablachère</t>
  </si>
  <si>
    <t>07117</t>
  </si>
  <si>
    <t>Laborel</t>
  </si>
  <si>
    <t>26153</t>
  </si>
  <si>
    <t>Laboule</t>
  </si>
  <si>
    <t>07118</t>
  </si>
  <si>
    <t>Lachamp-Raphaël</t>
  </si>
  <si>
    <t>07120</t>
  </si>
  <si>
    <t>Lachapelle-Graillouse</t>
  </si>
  <si>
    <t>07121</t>
  </si>
  <si>
    <t>Lachapelle-sous-Aubenas</t>
  </si>
  <si>
    <t>07122</t>
  </si>
  <si>
    <t>Lachapelle-sous-Chanéac</t>
  </si>
  <si>
    <t>07123</t>
  </si>
  <si>
    <t>Lachau</t>
  </si>
  <si>
    <t>26154</t>
  </si>
  <si>
    <t>Lafarre</t>
  </si>
  <si>
    <t>07124</t>
  </si>
  <si>
    <t>Lagorce</t>
  </si>
  <si>
    <t>07126</t>
  </si>
  <si>
    <t>Lalevade-d'Ardèche</t>
  </si>
  <si>
    <t>07127</t>
  </si>
  <si>
    <t>Lalouvesc</t>
  </si>
  <si>
    <t>07128</t>
  </si>
  <si>
    <t>Lamastre</t>
  </si>
  <si>
    <t>07129</t>
  </si>
  <si>
    <t>Lanarce</t>
  </si>
  <si>
    <t>07130</t>
  </si>
  <si>
    <t>Lanas</t>
  </si>
  <si>
    <t>07131</t>
  </si>
  <si>
    <t>Lapeyrouse-Mornay</t>
  </si>
  <si>
    <t>26155</t>
  </si>
  <si>
    <t>Largentière</t>
  </si>
  <si>
    <t>07132</t>
  </si>
  <si>
    <t>Larnage</t>
  </si>
  <si>
    <t>26156</t>
  </si>
  <si>
    <t>Larnas</t>
  </si>
  <si>
    <t>07133</t>
  </si>
  <si>
    <t>Laurac-en-Vivarais</t>
  </si>
  <si>
    <t>07134</t>
  </si>
  <si>
    <t>Laval-d'Aix</t>
  </si>
  <si>
    <t>26159</t>
  </si>
  <si>
    <t>Laveyron</t>
  </si>
  <si>
    <t>26160</t>
  </si>
  <si>
    <t>Laveyrune</t>
  </si>
  <si>
    <t>07136</t>
  </si>
  <si>
    <t>Lavillatte</t>
  </si>
  <si>
    <t>07137</t>
  </si>
  <si>
    <t>Lavilledieu</t>
  </si>
  <si>
    <t>07138</t>
  </si>
  <si>
    <t>Laviolle</t>
  </si>
  <si>
    <t>07139</t>
  </si>
  <si>
    <t>Le Béage</t>
  </si>
  <si>
    <t>07026</t>
  </si>
  <si>
    <t>Le Chaffal</t>
  </si>
  <si>
    <t>26066</t>
  </si>
  <si>
    <t>Le Chalon</t>
  </si>
  <si>
    <t>26068</t>
  </si>
  <si>
    <t>Le Chambon</t>
  </si>
  <si>
    <t>07049</t>
  </si>
  <si>
    <t>Le Cheylard</t>
  </si>
  <si>
    <t>07064</t>
  </si>
  <si>
    <t>Le Crestet</t>
  </si>
  <si>
    <t>07073</t>
  </si>
  <si>
    <t>Le Grand-Serre</t>
  </si>
  <si>
    <t>26143</t>
  </si>
  <si>
    <t>Le Lac-d'Issarlès</t>
  </si>
  <si>
    <t>07119</t>
  </si>
  <si>
    <t>Le Pègue</t>
  </si>
  <si>
    <t>26226</t>
  </si>
  <si>
    <t>Le Plagnal</t>
  </si>
  <si>
    <t>07175</t>
  </si>
  <si>
    <t>Le Poët-Célard</t>
  </si>
  <si>
    <t>26241</t>
  </si>
  <si>
    <t>Le Poët-en-Percip</t>
  </si>
  <si>
    <t>26242</t>
  </si>
  <si>
    <t>Le Poët-Laval</t>
  </si>
  <si>
    <t>26243</t>
  </si>
  <si>
    <t>Le Poët-Sigillat</t>
  </si>
  <si>
    <t>26244</t>
  </si>
  <si>
    <t>Le Pouzin</t>
  </si>
  <si>
    <t>07181</t>
  </si>
  <si>
    <t>Le Roux</t>
  </si>
  <si>
    <t>07200</t>
  </si>
  <si>
    <t>Le Teil</t>
  </si>
  <si>
    <t>07319</t>
  </si>
  <si>
    <t>Lemps</t>
  </si>
  <si>
    <t>26161</t>
  </si>
  <si>
    <t>07140</t>
  </si>
  <si>
    <t>Lens-Lestang</t>
  </si>
  <si>
    <t>26162</t>
  </si>
  <si>
    <t>Lentillères</t>
  </si>
  <si>
    <t>07141</t>
  </si>
  <si>
    <t>Léoncel</t>
  </si>
  <si>
    <t>26163</t>
  </si>
  <si>
    <t>Les Assions</t>
  </si>
  <si>
    <t>07017</t>
  </si>
  <si>
    <t>Les Granges-Gontardes</t>
  </si>
  <si>
    <t>26145</t>
  </si>
  <si>
    <t>Les Ollières-sur-Eyrieux</t>
  </si>
  <si>
    <t>07167</t>
  </si>
  <si>
    <t>Les Pilles</t>
  </si>
  <si>
    <t>26238</t>
  </si>
  <si>
    <t>Les Prés</t>
  </si>
  <si>
    <t>26255</t>
  </si>
  <si>
    <t>Les Salelles</t>
  </si>
  <si>
    <t>07305</t>
  </si>
  <si>
    <t>Les Tonils</t>
  </si>
  <si>
    <t>26351</t>
  </si>
  <si>
    <t>Les Tourrettes</t>
  </si>
  <si>
    <t>26353</t>
  </si>
  <si>
    <t>Les Vans</t>
  </si>
  <si>
    <t>07334</t>
  </si>
  <si>
    <t>Lesches-en-Diois</t>
  </si>
  <si>
    <t>26164</t>
  </si>
  <si>
    <t>Lespéron</t>
  </si>
  <si>
    <t>07142</t>
  </si>
  <si>
    <t>Limony</t>
  </si>
  <si>
    <t>07143</t>
  </si>
  <si>
    <t>Livron-sur-Drôme</t>
  </si>
  <si>
    <t>26165</t>
  </si>
  <si>
    <t>Loriol-sur-Drôme</t>
  </si>
  <si>
    <t>26166</t>
  </si>
  <si>
    <t>Loubaresse</t>
  </si>
  <si>
    <t>07144</t>
  </si>
  <si>
    <t>Luc-en-Diois</t>
  </si>
  <si>
    <t>26167</t>
  </si>
  <si>
    <t>Lus-la-Croix-Haute</t>
  </si>
  <si>
    <t>26168</t>
  </si>
  <si>
    <t>Lussas</t>
  </si>
  <si>
    <t>07145</t>
  </si>
  <si>
    <t>Lyas</t>
  </si>
  <si>
    <t>07146</t>
  </si>
  <si>
    <t>Malarce-sur-la-Thines</t>
  </si>
  <si>
    <t>07147</t>
  </si>
  <si>
    <t>Malataverne</t>
  </si>
  <si>
    <t>26169</t>
  </si>
  <si>
    <t>Malbosc</t>
  </si>
  <si>
    <t>07148</t>
  </si>
  <si>
    <t>Malissard</t>
  </si>
  <si>
    <t>26170</t>
  </si>
  <si>
    <t>Manas</t>
  </si>
  <si>
    <t>26171</t>
  </si>
  <si>
    <t>Manthes</t>
  </si>
  <si>
    <t>26172</t>
  </si>
  <si>
    <t>Marches</t>
  </si>
  <si>
    <t>26173</t>
  </si>
  <si>
    <t>Marcols-les-Eaux</t>
  </si>
  <si>
    <t>07149</t>
  </si>
  <si>
    <t>Margès</t>
  </si>
  <si>
    <t>26174</t>
  </si>
  <si>
    <t>Mariac</t>
  </si>
  <si>
    <t>07150</t>
  </si>
  <si>
    <t>Marignac-en-Diois</t>
  </si>
  <si>
    <t>26175</t>
  </si>
  <si>
    <t>Mars</t>
  </si>
  <si>
    <t>07151</t>
  </si>
  <si>
    <t>Marsanne</t>
  </si>
  <si>
    <t>26176</t>
  </si>
  <si>
    <t>Marsaz</t>
  </si>
  <si>
    <t>26177</t>
  </si>
  <si>
    <t>Mauves</t>
  </si>
  <si>
    <t>07152</t>
  </si>
  <si>
    <t>Mayres</t>
  </si>
  <si>
    <t>07153</t>
  </si>
  <si>
    <t>Mazan-l'Abbaye</t>
  </si>
  <si>
    <t>07154</t>
  </si>
  <si>
    <t>Menglon</t>
  </si>
  <si>
    <t>26178</t>
  </si>
  <si>
    <t>Mercuer</t>
  </si>
  <si>
    <t>07155</t>
  </si>
  <si>
    <t>Mercurol-Veaunes</t>
  </si>
  <si>
    <t>26179</t>
  </si>
  <si>
    <t>Mérindol-les-Oliviers</t>
  </si>
  <si>
    <t>26180</t>
  </si>
  <si>
    <t>Mévouillon</t>
  </si>
  <si>
    <t>26181</t>
  </si>
  <si>
    <t>Meyras</t>
  </si>
  <si>
    <t>07156</t>
  </si>
  <si>
    <t>Meysse</t>
  </si>
  <si>
    <t>07157</t>
  </si>
  <si>
    <t>Mézilhac</t>
  </si>
  <si>
    <t>07158</t>
  </si>
  <si>
    <t>Mirabel</t>
  </si>
  <si>
    <t>07159</t>
  </si>
  <si>
    <t>Mirabel-aux-Baronnies</t>
  </si>
  <si>
    <t>26182</t>
  </si>
  <si>
    <t>Mirabel-et-Blacons</t>
  </si>
  <si>
    <t>26183</t>
  </si>
  <si>
    <t>Mirmande</t>
  </si>
  <si>
    <t>26185</t>
  </si>
  <si>
    <t>Miscon</t>
  </si>
  <si>
    <t>26186</t>
  </si>
  <si>
    <t>Mollans-sur-Ouvèze</t>
  </si>
  <si>
    <t>26188</t>
  </si>
  <si>
    <t>Monestier</t>
  </si>
  <si>
    <t>07160</t>
  </si>
  <si>
    <t>Montauban-sur-l'Ouvèze</t>
  </si>
  <si>
    <t>26189</t>
  </si>
  <si>
    <t>Montaulieu</t>
  </si>
  <si>
    <t>26190</t>
  </si>
  <si>
    <t>Montboucher-sur-Jabron</t>
  </si>
  <si>
    <t>26191</t>
  </si>
  <si>
    <t>Montbrison-sur-Lez</t>
  </si>
  <si>
    <t>26192</t>
  </si>
  <si>
    <t>Montbrun-les-Bains</t>
  </si>
  <si>
    <t>26193</t>
  </si>
  <si>
    <t>Montchenu</t>
  </si>
  <si>
    <t>26194</t>
  </si>
  <si>
    <t>Montclar-sur-Gervanne</t>
  </si>
  <si>
    <t>26195</t>
  </si>
  <si>
    <t>Montéléger</t>
  </si>
  <si>
    <t>26196</t>
  </si>
  <si>
    <t>Montélier</t>
  </si>
  <si>
    <t>26197</t>
  </si>
  <si>
    <t>Montélimar</t>
  </si>
  <si>
    <t>26198</t>
  </si>
  <si>
    <t>Montferrand-la-Fare</t>
  </si>
  <si>
    <t>26199</t>
  </si>
  <si>
    <t>Montfroc</t>
  </si>
  <si>
    <t>26200</t>
  </si>
  <si>
    <t>Montguers</t>
  </si>
  <si>
    <t>26201</t>
  </si>
  <si>
    <t>Montjoux</t>
  </si>
  <si>
    <t>26202</t>
  </si>
  <si>
    <t>Montjoyer</t>
  </si>
  <si>
    <t>26203</t>
  </si>
  <si>
    <t>Montlaur-en-Diois</t>
  </si>
  <si>
    <t>26204</t>
  </si>
  <si>
    <t>Montmaur-en-Diois</t>
  </si>
  <si>
    <t>26205</t>
  </si>
  <si>
    <t>Montmeyran</t>
  </si>
  <si>
    <t>26206</t>
  </si>
  <si>
    <t>Montmiral</t>
  </si>
  <si>
    <t>26207</t>
  </si>
  <si>
    <t>Montoison</t>
  </si>
  <si>
    <t>26208</t>
  </si>
  <si>
    <t>Montpezat-sous-Bauzon</t>
  </si>
  <si>
    <t>07161</t>
  </si>
  <si>
    <t>Montréal</t>
  </si>
  <si>
    <t>07162</t>
  </si>
  <si>
    <t>Montréal-les-Sources</t>
  </si>
  <si>
    <t>26209</t>
  </si>
  <si>
    <t>Montségur-sur-Lauzon</t>
  </si>
  <si>
    <t>26211</t>
  </si>
  <si>
    <t>Montselgues</t>
  </si>
  <si>
    <t>07163</t>
  </si>
  <si>
    <t>Montvendre</t>
  </si>
  <si>
    <t>26212</t>
  </si>
  <si>
    <t>Moras-en-Valloire</t>
  </si>
  <si>
    <t>26213</t>
  </si>
  <si>
    <t>Mornans</t>
  </si>
  <si>
    <t>26214</t>
  </si>
  <si>
    <t>Mours-Saint-Eusèbe</t>
  </si>
  <si>
    <t>26218</t>
  </si>
  <si>
    <t>Mureils</t>
  </si>
  <si>
    <t>26219</t>
  </si>
  <si>
    <t>Nozières</t>
  </si>
  <si>
    <t>07166</t>
  </si>
  <si>
    <t>Nyons</t>
  </si>
  <si>
    <t>26220</t>
  </si>
  <si>
    <t>Omblèze</t>
  </si>
  <si>
    <t>26221</t>
  </si>
  <si>
    <t>Orcinas</t>
  </si>
  <si>
    <t>26222</t>
  </si>
  <si>
    <t>Orgnac-l'Aven</t>
  </si>
  <si>
    <t>07168</t>
  </si>
  <si>
    <t>Oriol-en-Royans</t>
  </si>
  <si>
    <t>26223</t>
  </si>
  <si>
    <t>Ourches</t>
  </si>
  <si>
    <t>26224</t>
  </si>
  <si>
    <t>Ozon</t>
  </si>
  <si>
    <t>07169</t>
  </si>
  <si>
    <t>Pailharès</t>
  </si>
  <si>
    <t>07170</t>
  </si>
  <si>
    <t>Parnans</t>
  </si>
  <si>
    <t>26225</t>
  </si>
  <si>
    <t>Payzac</t>
  </si>
  <si>
    <t>07171</t>
  </si>
  <si>
    <t>Peaugres</t>
  </si>
  <si>
    <t>07172</t>
  </si>
  <si>
    <t>Pelonne</t>
  </si>
  <si>
    <t>26227</t>
  </si>
  <si>
    <t>Pennes-le-Sec</t>
  </si>
  <si>
    <t>26228</t>
  </si>
  <si>
    <t>Péreyres</t>
  </si>
  <si>
    <t>07173</t>
  </si>
  <si>
    <t>Peyraud</t>
  </si>
  <si>
    <t>07174</t>
  </si>
  <si>
    <t>Peyrins</t>
  </si>
  <si>
    <t>26231</t>
  </si>
  <si>
    <t>Peyrus</t>
  </si>
  <si>
    <t>26232</t>
  </si>
  <si>
    <t>Piégon</t>
  </si>
  <si>
    <t>26233</t>
  </si>
  <si>
    <t>Piégros-la-Clastre</t>
  </si>
  <si>
    <t>26234</t>
  </si>
  <si>
    <t>Pierrelatte</t>
  </si>
  <si>
    <t>26235</t>
  </si>
  <si>
    <t>Pierrelongue</t>
  </si>
  <si>
    <t>26236</t>
  </si>
  <si>
    <t>Plaisians</t>
  </si>
  <si>
    <t>26239</t>
  </si>
  <si>
    <t>Plan-de-Baix</t>
  </si>
  <si>
    <t>26240</t>
  </si>
  <si>
    <t>Planzolles</t>
  </si>
  <si>
    <t>07176</t>
  </si>
  <si>
    <t>Plats</t>
  </si>
  <si>
    <t>07177</t>
  </si>
  <si>
    <t>Pommerol</t>
  </si>
  <si>
    <t>26245</t>
  </si>
  <si>
    <t>Ponet-et-Saint-Auban</t>
  </si>
  <si>
    <t>26246</t>
  </si>
  <si>
    <t>Ponsas</t>
  </si>
  <si>
    <t>26247</t>
  </si>
  <si>
    <t>Pont-de-Barret</t>
  </si>
  <si>
    <t>26249</t>
  </si>
  <si>
    <t>Pont-de-l'Isère</t>
  </si>
  <si>
    <t>26250</t>
  </si>
  <si>
    <t>Pont-de-Labeaume</t>
  </si>
  <si>
    <t>07178</t>
  </si>
  <si>
    <t>Pontaix</t>
  </si>
  <si>
    <t>26248</t>
  </si>
  <si>
    <t>Portes-en-Valdaine</t>
  </si>
  <si>
    <t>26251</t>
  </si>
  <si>
    <t>Portes-lès-Valence</t>
  </si>
  <si>
    <t>26252</t>
  </si>
  <si>
    <t>Pourchères</t>
  </si>
  <si>
    <t>07179</t>
  </si>
  <si>
    <t>Poyols</t>
  </si>
  <si>
    <t>26253</t>
  </si>
  <si>
    <t>Pradelle</t>
  </si>
  <si>
    <t>26254</t>
  </si>
  <si>
    <t>Prades</t>
  </si>
  <si>
    <t>07182</t>
  </si>
  <si>
    <t>Pradons</t>
  </si>
  <si>
    <t>07183</t>
  </si>
  <si>
    <t>Pranles</t>
  </si>
  <si>
    <t>07184</t>
  </si>
  <si>
    <t>Préaux</t>
  </si>
  <si>
    <t>07185</t>
  </si>
  <si>
    <t>Privas</t>
  </si>
  <si>
    <t>07186</t>
  </si>
  <si>
    <t>Propiac</t>
  </si>
  <si>
    <t>26256</t>
  </si>
  <si>
    <t>Prunet</t>
  </si>
  <si>
    <t>07187</t>
  </si>
  <si>
    <t>Puy-Saint-Martin</t>
  </si>
  <si>
    <t>26258</t>
  </si>
  <si>
    <t>Puygiron</t>
  </si>
  <si>
    <t>26257</t>
  </si>
  <si>
    <t>Quintenas</t>
  </si>
  <si>
    <t>07188</t>
  </si>
  <si>
    <t>Ratières</t>
  </si>
  <si>
    <t>26259</t>
  </si>
  <si>
    <t>Réauville</t>
  </si>
  <si>
    <t>26261</t>
  </si>
  <si>
    <t>Recoubeau-Jansac</t>
  </si>
  <si>
    <t>26262</t>
  </si>
  <si>
    <t>Reilhanette</t>
  </si>
  <si>
    <t>26263</t>
  </si>
  <si>
    <t>Rémuzat</t>
  </si>
  <si>
    <t>26264</t>
  </si>
  <si>
    <t>Ribes</t>
  </si>
  <si>
    <t>07189</t>
  </si>
  <si>
    <t>Rimon-et-Savel</t>
  </si>
  <si>
    <t>26266</t>
  </si>
  <si>
    <t>Rioms</t>
  </si>
  <si>
    <t>26267</t>
  </si>
  <si>
    <t>Roche-Saint-Secret-Béconne</t>
  </si>
  <si>
    <t>26276</t>
  </si>
  <si>
    <t>Rochebaudin</t>
  </si>
  <si>
    <t>26268</t>
  </si>
  <si>
    <t>Rochebrune</t>
  </si>
  <si>
    <t>26269</t>
  </si>
  <si>
    <t>Rochechinard</t>
  </si>
  <si>
    <t>26270</t>
  </si>
  <si>
    <t>Rochecolombe</t>
  </si>
  <si>
    <t>07190</t>
  </si>
  <si>
    <t>Rochefort-en-Valdaine</t>
  </si>
  <si>
    <t>26272</t>
  </si>
  <si>
    <t>Rochefort-Samson</t>
  </si>
  <si>
    <t>26273</t>
  </si>
  <si>
    <t>Rochefourchat</t>
  </si>
  <si>
    <t>26274</t>
  </si>
  <si>
    <t>Rochegude</t>
  </si>
  <si>
    <t>26275</t>
  </si>
  <si>
    <t>Rochemaure</t>
  </si>
  <si>
    <t>07191</t>
  </si>
  <si>
    <t>Rochepaule</t>
  </si>
  <si>
    <t>07192</t>
  </si>
  <si>
    <t>Rocher</t>
  </si>
  <si>
    <t>07193</t>
  </si>
  <si>
    <t>Rochessauve</t>
  </si>
  <si>
    <t>07194</t>
  </si>
  <si>
    <t>Rocles</t>
  </si>
  <si>
    <t>07196</t>
  </si>
  <si>
    <t>Roiffieux</t>
  </si>
  <si>
    <t>07197</t>
  </si>
  <si>
    <t>Romans-sur-Isère</t>
  </si>
  <si>
    <t>26281</t>
  </si>
  <si>
    <t>Romeyer</t>
  </si>
  <si>
    <t>26282</t>
  </si>
  <si>
    <t>Rompon</t>
  </si>
  <si>
    <t>07198</t>
  </si>
  <si>
    <t>Rosières</t>
  </si>
  <si>
    <t>07199</t>
  </si>
  <si>
    <t>Rottier</t>
  </si>
  <si>
    <t>26283</t>
  </si>
  <si>
    <t>Roussas</t>
  </si>
  <si>
    <t>26284</t>
  </si>
  <si>
    <t>Rousset-les-Vignes</t>
  </si>
  <si>
    <t>26285</t>
  </si>
  <si>
    <t>Roussieux</t>
  </si>
  <si>
    <t>26286</t>
  </si>
  <si>
    <t>Roynac</t>
  </si>
  <si>
    <t>26287</t>
  </si>
  <si>
    <t>Ruoms</t>
  </si>
  <si>
    <t>07201</t>
  </si>
  <si>
    <t>Sablières</t>
  </si>
  <si>
    <t>07202</t>
  </si>
  <si>
    <t>Sagnes-et-Goudoulet</t>
  </si>
  <si>
    <t>07203</t>
  </si>
  <si>
    <t>Sahune</t>
  </si>
  <si>
    <t>26288</t>
  </si>
  <si>
    <t>Saillans</t>
  </si>
  <si>
    <t>26289</t>
  </si>
  <si>
    <t>Saint-Agnan-en-Vercors</t>
  </si>
  <si>
    <t>26290</t>
  </si>
  <si>
    <t>Saint-Agrève</t>
  </si>
  <si>
    <t>07204</t>
  </si>
  <si>
    <t>Saint-Alban-Auriolles</t>
  </si>
  <si>
    <t>07207</t>
  </si>
  <si>
    <t>Saint-Alban-d'Ay</t>
  </si>
  <si>
    <t>07205</t>
  </si>
  <si>
    <t>Saint-Alban-en-Montagne</t>
  </si>
  <si>
    <t>07206</t>
  </si>
  <si>
    <t>Saint-Andéol</t>
  </si>
  <si>
    <t>26291</t>
  </si>
  <si>
    <t>Saint-Andéol-de-Berg</t>
  </si>
  <si>
    <t>07208</t>
  </si>
  <si>
    <t>Saint-Andéol-de-Fourchades</t>
  </si>
  <si>
    <t>07209</t>
  </si>
  <si>
    <t>Saint-Andéol-de-Vals</t>
  </si>
  <si>
    <t>07210</t>
  </si>
  <si>
    <t>Saint-André-de-Cruzières</t>
  </si>
  <si>
    <t>07211</t>
  </si>
  <si>
    <t>Saint-André-en-Vivarais</t>
  </si>
  <si>
    <t>07212</t>
  </si>
  <si>
    <t>Saint-André-Lachamp</t>
  </si>
  <si>
    <t>07213</t>
  </si>
  <si>
    <t>Saint-Apollinaire-de-Rias</t>
  </si>
  <si>
    <t>07214</t>
  </si>
  <si>
    <t>Saint-Auban-sur-l'Ouvèze</t>
  </si>
  <si>
    <t>26292</t>
  </si>
  <si>
    <t>Saint-Avit</t>
  </si>
  <si>
    <t>26293</t>
  </si>
  <si>
    <t>Saint-Bardoux</t>
  </si>
  <si>
    <t>26294</t>
  </si>
  <si>
    <t>Saint-Barthélemy-de-Vals</t>
  </si>
  <si>
    <t>26295</t>
  </si>
  <si>
    <t>Saint-Barthélemy-Grozon</t>
  </si>
  <si>
    <t>07216</t>
  </si>
  <si>
    <t>Saint-Barthélemy-le-Meil</t>
  </si>
  <si>
    <t>07215</t>
  </si>
  <si>
    <t>Saint-Barthélemy-le-Plain</t>
  </si>
  <si>
    <t>07217</t>
  </si>
  <si>
    <t>Saint-Basile</t>
  </si>
  <si>
    <t>07218</t>
  </si>
  <si>
    <t>Saint-Bauzile</t>
  </si>
  <si>
    <t>07219</t>
  </si>
  <si>
    <t>Saint-Benoit-en-Diois</t>
  </si>
  <si>
    <t>26296</t>
  </si>
  <si>
    <t>Saint-Christol</t>
  </si>
  <si>
    <t>07220</t>
  </si>
  <si>
    <t>Saint-Christophe-et-le-Laris</t>
  </si>
  <si>
    <t>26298</t>
  </si>
  <si>
    <t>Saint-Cierge-la-Serre</t>
  </si>
  <si>
    <t>07221</t>
  </si>
  <si>
    <t>Saint-Cierge-sous-le-Cheylard</t>
  </si>
  <si>
    <t>07222</t>
  </si>
  <si>
    <t>Saint-Cirgues-de-Prades</t>
  </si>
  <si>
    <t>07223</t>
  </si>
  <si>
    <t>Saint-Cirgues-en-Montagne</t>
  </si>
  <si>
    <t>07224</t>
  </si>
  <si>
    <t>Saint-Clair</t>
  </si>
  <si>
    <t>07225</t>
  </si>
  <si>
    <t>Saint-Clément</t>
  </si>
  <si>
    <t>07226</t>
  </si>
  <si>
    <t>Saint-Cyr</t>
  </si>
  <si>
    <t>07227</t>
  </si>
  <si>
    <t>Saint-Désirat</t>
  </si>
  <si>
    <t>07228</t>
  </si>
  <si>
    <t>Saint-Didier-sous-Aubenas</t>
  </si>
  <si>
    <t>07229</t>
  </si>
  <si>
    <t>Saint-Dizier-en-Diois</t>
  </si>
  <si>
    <t>26300</t>
  </si>
  <si>
    <t>Saint-Donat-sur-l'Herbasse</t>
  </si>
  <si>
    <t>26301</t>
  </si>
  <si>
    <t>Saint-Étienne-de-Boulogne</t>
  </si>
  <si>
    <t>07230</t>
  </si>
  <si>
    <t>Saint-Étienne-de-Fontbellon</t>
  </si>
  <si>
    <t>07231</t>
  </si>
  <si>
    <t>Saint-Étienne-de-Lugdarès</t>
  </si>
  <si>
    <t>07232</t>
  </si>
  <si>
    <t>Saint-Étienne-de-Serre</t>
  </si>
  <si>
    <t>07233</t>
  </si>
  <si>
    <t>Saint-Étienne-de-Valoux</t>
  </si>
  <si>
    <t>07234</t>
  </si>
  <si>
    <t>Saint-Félicien</t>
  </si>
  <si>
    <t>07236</t>
  </si>
  <si>
    <t>Saint-Ferréol-Trente-Pas</t>
  </si>
  <si>
    <t>26304</t>
  </si>
  <si>
    <t>Saint-Fortunat-sur-Eyrieux</t>
  </si>
  <si>
    <t>07237</t>
  </si>
  <si>
    <t>Saint-Genest-de-Beauzon</t>
  </si>
  <si>
    <t>07238</t>
  </si>
  <si>
    <t>Saint-Genest-Lachamp</t>
  </si>
  <si>
    <t>07239</t>
  </si>
  <si>
    <t>Saint-Georges-les-Bains</t>
  </si>
  <si>
    <t>07240</t>
  </si>
  <si>
    <t>Saint-Germain</t>
  </si>
  <si>
    <t>07241</t>
  </si>
  <si>
    <t>Saint-Gervais-sur-Roubion</t>
  </si>
  <si>
    <t>26305</t>
  </si>
  <si>
    <t>Saint-Gineys-en-Coiron</t>
  </si>
  <si>
    <t>07242</t>
  </si>
  <si>
    <t>Saint-Jacques-d'Atticieux</t>
  </si>
  <si>
    <t>07243</t>
  </si>
  <si>
    <t>Saint-Jean-Chambre</t>
  </si>
  <si>
    <t>07244</t>
  </si>
  <si>
    <t>Saint-Jean-de-Muzols</t>
  </si>
  <si>
    <t>07245</t>
  </si>
  <si>
    <t>Saint-Jean-en-Royans</t>
  </si>
  <si>
    <t>26307</t>
  </si>
  <si>
    <t>Saint-Jean-le-Centenier</t>
  </si>
  <si>
    <t>07247</t>
  </si>
  <si>
    <t>Saint-Jean-Roure</t>
  </si>
  <si>
    <t>07248</t>
  </si>
  <si>
    <t>Saint-Jeure-d'Andaure</t>
  </si>
  <si>
    <t>07249</t>
  </si>
  <si>
    <t>Saint-Jeure-d'Ay</t>
  </si>
  <si>
    <t>07250</t>
  </si>
  <si>
    <t>Saint-Joseph-des-Bancs</t>
  </si>
  <si>
    <t>07251</t>
  </si>
  <si>
    <t>Saint-Julien-d'Intres</t>
  </si>
  <si>
    <t>07103</t>
  </si>
  <si>
    <t>Saint-Julien-du-Gua</t>
  </si>
  <si>
    <t>07253</t>
  </si>
  <si>
    <t>Saint-Julien-du-Serre</t>
  </si>
  <si>
    <t>07254</t>
  </si>
  <si>
    <t>Saint-Julien-en-Quint</t>
  </si>
  <si>
    <t>26308</t>
  </si>
  <si>
    <t>Saint-Julien-en-Saint-Alban</t>
  </si>
  <si>
    <t>07255</t>
  </si>
  <si>
    <t>Saint-Julien-en-Vercors</t>
  </si>
  <si>
    <t>26309</t>
  </si>
  <si>
    <t>Saint-Julien-le-Roux</t>
  </si>
  <si>
    <t>07257</t>
  </si>
  <si>
    <t>Saint-Julien-Vocance</t>
  </si>
  <si>
    <t>07258</t>
  </si>
  <si>
    <t>Saint-Just-d'Ardèche</t>
  </si>
  <si>
    <t>07259</t>
  </si>
  <si>
    <t>Saint-Lager-Bressac</t>
  </si>
  <si>
    <t>07260</t>
  </si>
  <si>
    <t>Saint-Laurent-d'Onay</t>
  </si>
  <si>
    <t>26310</t>
  </si>
  <si>
    <t>Saint-Laurent-du-Pape</t>
  </si>
  <si>
    <t>07261</t>
  </si>
  <si>
    <t>Saint-Laurent-en-Royans</t>
  </si>
  <si>
    <t>26311</t>
  </si>
  <si>
    <t>Saint-Laurent-les-Bains-Laval-d'Aurelle</t>
  </si>
  <si>
    <t>07262</t>
  </si>
  <si>
    <t>Saint-Laurent-sous-Coiron</t>
  </si>
  <si>
    <t>07263</t>
  </si>
  <si>
    <t>Saint-Marcel-d'Ardèche</t>
  </si>
  <si>
    <t>07264</t>
  </si>
  <si>
    <t>Saint-Marcel-lès-Annonay</t>
  </si>
  <si>
    <t>07265</t>
  </si>
  <si>
    <t>Saint-Marcel-lès-Sauzet</t>
  </si>
  <si>
    <t>26312</t>
  </si>
  <si>
    <t>Saint-Marcel-lès-Valence</t>
  </si>
  <si>
    <t>26313</t>
  </si>
  <si>
    <t>Saint-Martial</t>
  </si>
  <si>
    <t>07267</t>
  </si>
  <si>
    <t>Saint-Martin-d'Août</t>
  </si>
  <si>
    <t>26314</t>
  </si>
  <si>
    <t>Saint-Martin-d'Ardèche</t>
  </si>
  <si>
    <t>07268</t>
  </si>
  <si>
    <t>Saint-Martin-de-Valamas</t>
  </si>
  <si>
    <t>07269</t>
  </si>
  <si>
    <t>Saint-Martin-en-Vercors</t>
  </si>
  <si>
    <t>26315</t>
  </si>
  <si>
    <t>Saint-Martin-le-Colonel</t>
  </si>
  <si>
    <t>26316</t>
  </si>
  <si>
    <t>Saint-Martin-sur-Lavezon</t>
  </si>
  <si>
    <t>07270</t>
  </si>
  <si>
    <t>Saint-Maurice-d'Ardèche</t>
  </si>
  <si>
    <t>07272</t>
  </si>
  <si>
    <t>Saint-Maurice-d'Ibie</t>
  </si>
  <si>
    <t>07273</t>
  </si>
  <si>
    <t>Saint-Maurice-en-Chalencon</t>
  </si>
  <si>
    <t>07274</t>
  </si>
  <si>
    <t>Saint-Maurice-sur-Eygues</t>
  </si>
  <si>
    <t>26317</t>
  </si>
  <si>
    <t>Saint-May</t>
  </si>
  <si>
    <t>26318</t>
  </si>
  <si>
    <t>Saint-Mélany</t>
  </si>
  <si>
    <t>07275</t>
  </si>
  <si>
    <t>Saint-Michel-d'Aurance</t>
  </si>
  <si>
    <t>07276</t>
  </si>
  <si>
    <t>Saint-Michel-de-Boulogne</t>
  </si>
  <si>
    <t>07277</t>
  </si>
  <si>
    <t>Saint-Michel-de-Chabrillanoux</t>
  </si>
  <si>
    <t>07278</t>
  </si>
  <si>
    <t>Saint-Michel-sur-Savasse</t>
  </si>
  <si>
    <t>26319</t>
  </si>
  <si>
    <t>Saint-Montan</t>
  </si>
  <si>
    <t>07279</t>
  </si>
  <si>
    <t>Saint-Nazaire-en-Royans</t>
  </si>
  <si>
    <t>26320</t>
  </si>
  <si>
    <t>Saint-Nazaire-le-Désert</t>
  </si>
  <si>
    <t>26321</t>
  </si>
  <si>
    <t>Saint-Pantaléon-les-Vignes</t>
  </si>
  <si>
    <t>26322</t>
  </si>
  <si>
    <t>Saint-Paul-le-Jeune</t>
  </si>
  <si>
    <t>07280</t>
  </si>
  <si>
    <t>Saint-Paul-lès-Romans</t>
  </si>
  <si>
    <t>26323</t>
  </si>
  <si>
    <t>Saint-Paul-Trois-Châteaux</t>
  </si>
  <si>
    <t>26324</t>
  </si>
  <si>
    <t>Saint-Péray</t>
  </si>
  <si>
    <t>07281</t>
  </si>
  <si>
    <t>Saint-Pierre-de-Colombier</t>
  </si>
  <si>
    <t>07282</t>
  </si>
  <si>
    <t>Saint-Pierre-la-Roche</t>
  </si>
  <si>
    <t>07283</t>
  </si>
  <si>
    <t>Saint-Pierre-Saint-Jean</t>
  </si>
  <si>
    <t>07284</t>
  </si>
  <si>
    <t>Saint-Pierre-sur-Doux</t>
  </si>
  <si>
    <t>07285</t>
  </si>
  <si>
    <t>Saint-Pierreville</t>
  </si>
  <si>
    <t>07286</t>
  </si>
  <si>
    <t>Saint-Pons</t>
  </si>
  <si>
    <t>07287</t>
  </si>
  <si>
    <t>Saint-Priest</t>
  </si>
  <si>
    <t>07288</t>
  </si>
  <si>
    <t>Saint-Privat</t>
  </si>
  <si>
    <t>07289</t>
  </si>
  <si>
    <t>Saint-Prix</t>
  </si>
  <si>
    <t>07290</t>
  </si>
  <si>
    <t>Saint-Rambert-d'Albon</t>
  </si>
  <si>
    <t>26325</t>
  </si>
  <si>
    <t>Saint-Remèze</t>
  </si>
  <si>
    <t>07291</t>
  </si>
  <si>
    <t>Saint-Restitut</t>
  </si>
  <si>
    <t>26326</t>
  </si>
  <si>
    <t>Saint-Romain-d'Ay</t>
  </si>
  <si>
    <t>07292</t>
  </si>
  <si>
    <t>Saint-Romain-de-Lerps</t>
  </si>
  <si>
    <t>07293</t>
  </si>
  <si>
    <t>Saint-Roman</t>
  </si>
  <si>
    <t>26327</t>
  </si>
  <si>
    <t>Saint-Sauveur-de-Cruzières</t>
  </si>
  <si>
    <t>07294</t>
  </si>
  <si>
    <t>Saint-Sauveur-de-Montagut</t>
  </si>
  <si>
    <t>07295</t>
  </si>
  <si>
    <t>Saint-Sauveur-en-Diois</t>
  </si>
  <si>
    <t>26328</t>
  </si>
  <si>
    <t>Saint-Sauveur-Gouvernet</t>
  </si>
  <si>
    <t>26329</t>
  </si>
  <si>
    <t>Saint-Sernin</t>
  </si>
  <si>
    <t>07296</t>
  </si>
  <si>
    <t>Saint-Sorlin-en-Valloire</t>
  </si>
  <si>
    <t>26330</t>
  </si>
  <si>
    <t>Saint-Sylvestre</t>
  </si>
  <si>
    <t>07297</t>
  </si>
  <si>
    <t>Saint-Symphorien-de-Mahun</t>
  </si>
  <si>
    <t>07299</t>
  </si>
  <si>
    <t>Saint-Symphorien-sous-Chomérac</t>
  </si>
  <si>
    <t>07298</t>
  </si>
  <si>
    <t>Saint-Thomas-en-Royans</t>
  </si>
  <si>
    <t>26331</t>
  </si>
  <si>
    <t>Saint-Thomé</t>
  </si>
  <si>
    <t>07300</t>
  </si>
  <si>
    <t>Saint-Uze</t>
  </si>
  <si>
    <t>26332</t>
  </si>
  <si>
    <t>Saint-Vallier</t>
  </si>
  <si>
    <t>26333</t>
  </si>
  <si>
    <t>Saint-Victor</t>
  </si>
  <si>
    <t>07301</t>
  </si>
  <si>
    <t>Saint-Vincent-de-Barrès</t>
  </si>
  <si>
    <t>07302</t>
  </si>
  <si>
    <t>Saint-Vincent-de-Durfort</t>
  </si>
  <si>
    <t>07303</t>
  </si>
  <si>
    <t>Saint-Vincent-la-Commanderie</t>
  </si>
  <si>
    <t>26382</t>
  </si>
  <si>
    <t>Sainte-Croix</t>
  </si>
  <si>
    <t>26299</t>
  </si>
  <si>
    <t>Sainte-Eulalie</t>
  </si>
  <si>
    <t>07235</t>
  </si>
  <si>
    <t>Sainte-Eulalie-en-Royans</t>
  </si>
  <si>
    <t>26302</t>
  </si>
  <si>
    <t>Sainte-Euphémie-sur-Ouvèze</t>
  </si>
  <si>
    <t>26303</t>
  </si>
  <si>
    <t>Sainte-Jalle</t>
  </si>
  <si>
    <t>26306</t>
  </si>
  <si>
    <t>Sainte-Marguerite-Lafigère</t>
  </si>
  <si>
    <t>07266</t>
  </si>
  <si>
    <t>Salavas</t>
  </si>
  <si>
    <t>07304</t>
  </si>
  <si>
    <t>Salettes</t>
  </si>
  <si>
    <t>26334</t>
  </si>
  <si>
    <t>Salles-sous-Bois</t>
  </si>
  <si>
    <t>26335</t>
  </si>
  <si>
    <t>Sampzon</t>
  </si>
  <si>
    <t>07306</t>
  </si>
  <si>
    <t>Sanilhac</t>
  </si>
  <si>
    <t>07307</t>
  </si>
  <si>
    <t>Saou</t>
  </si>
  <si>
    <t>26336</t>
  </si>
  <si>
    <t>Sarras</t>
  </si>
  <si>
    <t>07308</t>
  </si>
  <si>
    <t>Satillieu</t>
  </si>
  <si>
    <t>07309</t>
  </si>
  <si>
    <t>Saulce-sur-Rhône</t>
  </si>
  <si>
    <t>26337</t>
  </si>
  <si>
    <t>Sauzet</t>
  </si>
  <si>
    <t>26338</t>
  </si>
  <si>
    <t>Savas</t>
  </si>
  <si>
    <t>07310</t>
  </si>
  <si>
    <t>Savasse</t>
  </si>
  <si>
    <t>26339</t>
  </si>
  <si>
    <t>Sceautres</t>
  </si>
  <si>
    <t>07311</t>
  </si>
  <si>
    <t>Sécheras</t>
  </si>
  <si>
    <t>07312</t>
  </si>
  <si>
    <t>Séderon</t>
  </si>
  <si>
    <t>26340</t>
  </si>
  <si>
    <t>Serrières</t>
  </si>
  <si>
    <t>07313</t>
  </si>
  <si>
    <t>Serves-sur-Rhône</t>
  </si>
  <si>
    <t>26341</t>
  </si>
  <si>
    <t>Silhac</t>
  </si>
  <si>
    <t>07314</t>
  </si>
  <si>
    <t>Solaure en Diois</t>
  </si>
  <si>
    <t>26001</t>
  </si>
  <si>
    <t>Solérieux</t>
  </si>
  <si>
    <t>26342</t>
  </si>
  <si>
    <t>Souspierre</t>
  </si>
  <si>
    <t>26343</t>
  </si>
  <si>
    <t>Soyans</t>
  </si>
  <si>
    <t>26344</t>
  </si>
  <si>
    <t>Soyons</t>
  </si>
  <si>
    <t>07316</t>
  </si>
  <si>
    <t>Suze</t>
  </si>
  <si>
    <t>26346</t>
  </si>
  <si>
    <t>Suze-la-Rousse</t>
  </si>
  <si>
    <t>26345</t>
  </si>
  <si>
    <t>Tain-l'Hermitage</t>
  </si>
  <si>
    <t>26347</t>
  </si>
  <si>
    <t>Talencieux</t>
  </si>
  <si>
    <t>07317</t>
  </si>
  <si>
    <t>Taulignan</t>
  </si>
  <si>
    <t>26348</t>
  </si>
  <si>
    <t>Tauriers</t>
  </si>
  <si>
    <t>07318</t>
  </si>
  <si>
    <t>Tersanne</t>
  </si>
  <si>
    <t>26349</t>
  </si>
  <si>
    <t>Teyssières</t>
  </si>
  <si>
    <t>26350</t>
  </si>
  <si>
    <t>Thorrenc</t>
  </si>
  <si>
    <t>07321</t>
  </si>
  <si>
    <t>Thueyts</t>
  </si>
  <si>
    <t>07322</t>
  </si>
  <si>
    <t>Toulaud</t>
  </si>
  <si>
    <t>07323</t>
  </si>
  <si>
    <t>Tournon-sur-Rhône</t>
  </si>
  <si>
    <t>07324</t>
  </si>
  <si>
    <t>Triors</t>
  </si>
  <si>
    <t>26355</t>
  </si>
  <si>
    <t>Truinas</t>
  </si>
  <si>
    <t>26356</t>
  </si>
  <si>
    <t>Tulette</t>
  </si>
  <si>
    <t>26357</t>
  </si>
  <si>
    <t>Ucel</t>
  </si>
  <si>
    <t>07325</t>
  </si>
  <si>
    <t>Upie</t>
  </si>
  <si>
    <t>26358</t>
  </si>
  <si>
    <t>Usclades-et-Rieutord</t>
  </si>
  <si>
    <t>07326</t>
  </si>
  <si>
    <t>Uzer</t>
  </si>
  <si>
    <t>07327</t>
  </si>
  <si>
    <t>Vachères-en-Quint</t>
  </si>
  <si>
    <t>26359</t>
  </si>
  <si>
    <t>Vagnas</t>
  </si>
  <si>
    <t>07328</t>
  </si>
  <si>
    <t>Val-Maravel</t>
  </si>
  <si>
    <t>26136</t>
  </si>
  <si>
    <t>Valaurie</t>
  </si>
  <si>
    <t>26360</t>
  </si>
  <si>
    <t>Valdrôme</t>
  </si>
  <si>
    <t>26361</t>
  </si>
  <si>
    <t>Valence</t>
  </si>
  <si>
    <t>26362</t>
  </si>
  <si>
    <t>Valgorge</t>
  </si>
  <si>
    <t>07329</t>
  </si>
  <si>
    <t>Valherbasse</t>
  </si>
  <si>
    <t>26210</t>
  </si>
  <si>
    <t>Vallées-d'Antraigues-Asperjoc</t>
  </si>
  <si>
    <t>07011</t>
  </si>
  <si>
    <t>Vallon-Pont-d'Arc</t>
  </si>
  <si>
    <t>07330</t>
  </si>
  <si>
    <t>Valouse</t>
  </si>
  <si>
    <t>26363</t>
  </si>
  <si>
    <t>Vals-les-Bains</t>
  </si>
  <si>
    <t>07331</t>
  </si>
  <si>
    <t>Valvignères</t>
  </si>
  <si>
    <t>07332</t>
  </si>
  <si>
    <t>Vanosc</t>
  </si>
  <si>
    <t>07333</t>
  </si>
  <si>
    <t>Vassieux-en-Vercors</t>
  </si>
  <si>
    <t>26364</t>
  </si>
  <si>
    <t>Vaudevant</t>
  </si>
  <si>
    <t>07335</t>
  </si>
  <si>
    <t>Vaunaveys-la-Rochette</t>
  </si>
  <si>
    <t>26365</t>
  </si>
  <si>
    <t>Venterol</t>
  </si>
  <si>
    <t>26367</t>
  </si>
  <si>
    <t>Vercheny</t>
  </si>
  <si>
    <t>26368</t>
  </si>
  <si>
    <t>Verclause</t>
  </si>
  <si>
    <t>26369</t>
  </si>
  <si>
    <t>Vercoiran</t>
  </si>
  <si>
    <t>26370</t>
  </si>
  <si>
    <t>Vernon</t>
  </si>
  <si>
    <t>07336</t>
  </si>
  <si>
    <t>Vernosc-lès-Annonay</t>
  </si>
  <si>
    <t>07337</t>
  </si>
  <si>
    <t>Vernoux-en-Vivarais</t>
  </si>
  <si>
    <t>07338</t>
  </si>
  <si>
    <t>Véronne</t>
  </si>
  <si>
    <t>26371</t>
  </si>
  <si>
    <t>Vers-sur-Méouge</t>
  </si>
  <si>
    <t>26372</t>
  </si>
  <si>
    <t>Vesc</t>
  </si>
  <si>
    <t>26373</t>
  </si>
  <si>
    <t>Vesseaux</t>
  </si>
  <si>
    <t>07339</t>
  </si>
  <si>
    <t>Veyras</t>
  </si>
  <si>
    <t>07340</t>
  </si>
  <si>
    <t>Villebois-les-Pins</t>
  </si>
  <si>
    <t>26374</t>
  </si>
  <si>
    <t>Villefranche-le-Château</t>
  </si>
  <si>
    <t>26375</t>
  </si>
  <si>
    <t>Villeneuve-de-Berg</t>
  </si>
  <si>
    <t>07341</t>
  </si>
  <si>
    <t>Villeperdrix</t>
  </si>
  <si>
    <t>26376</t>
  </si>
  <si>
    <t>Villevocance</t>
  </si>
  <si>
    <t>07342</t>
  </si>
  <si>
    <t>Vinezac</t>
  </si>
  <si>
    <t>07343</t>
  </si>
  <si>
    <t>Vinsobres</t>
  </si>
  <si>
    <t>26377</t>
  </si>
  <si>
    <t>Vinzieux</t>
  </si>
  <si>
    <t>07344</t>
  </si>
  <si>
    <t>Vion</t>
  </si>
  <si>
    <t>07345</t>
  </si>
  <si>
    <t>Viviers</t>
  </si>
  <si>
    <t>07346</t>
  </si>
  <si>
    <t>Vocance</t>
  </si>
  <si>
    <t>07347</t>
  </si>
  <si>
    <t>Vogüé</t>
  </si>
  <si>
    <t>07348</t>
  </si>
  <si>
    <t>Volvent</t>
  </si>
  <si>
    <t>26378</t>
  </si>
  <si>
    <t>Nouvelle région</t>
  </si>
  <si>
    <t>Information à saisir ou à sélectionner dans un menu déroulant</t>
  </si>
  <si>
    <t>Information calculée automatiquement</t>
  </si>
  <si>
    <t>Nombre de points obtenus</t>
  </si>
  <si>
    <t>Nombre maximum de points possibles pour l'item</t>
  </si>
  <si>
    <t>à renseigner au format "aaaa-aa"</t>
  </si>
  <si>
    <t>Paramètres E1C : NE PAS MODIFIER</t>
  </si>
  <si>
    <t>campagne en cours</t>
  </si>
  <si>
    <t>campagne n-1</t>
  </si>
  <si>
    <t>campagne N-2</t>
  </si>
  <si>
    <t>Tournière</t>
  </si>
  <si>
    <t>Parcours enherbés de volailles/porcs (si le piétinement des animaux détruit le couvert)</t>
  </si>
  <si>
    <t>jachères de 5 ans ou moins</t>
  </si>
  <si>
    <t>jachères de 6 ans ou plus déclarées comme SIE</t>
  </si>
  <si>
    <t>Autres prairies permanentes dont jachères de 6 ans ou plus (hors celles déclarées SIE)</t>
  </si>
  <si>
    <t>Total horticulture et pépinière hors sol</t>
  </si>
  <si>
    <t>Surfaces et linéaires réels</t>
  </si>
  <si>
    <t>Surfaces et linéaires à saisir</t>
  </si>
  <si>
    <t>Critère poids des IAE : IAE sur surface de l'exploitation</t>
  </si>
  <si>
    <t>Critère obligatoire : IAE sur terres arables</t>
  </si>
  <si>
    <t>« Autres milieux » linéaires : ruines</t>
  </si>
  <si>
    <t>« Autres milieux » linéaires, hors ruines</t>
  </si>
  <si>
    <t>hectares</t>
  </si>
  <si>
    <t>Critère poids des IAE</t>
  </si>
  <si>
    <t>Part de la surface en IAE</t>
  </si>
  <si>
    <t>Critère diversité des IAE</t>
  </si>
  <si>
    <t>Nombre de types d'IAE (herbager, ligneux, rocheux, aquatique)</t>
  </si>
  <si>
    <t>Bilan de l'item</t>
  </si>
  <si>
    <t>Somme des surfaces des parcelles de taille &lt; 6 ha (hors prairies permanentes)</t>
  </si>
  <si>
    <r>
      <rPr>
        <b/>
        <i/>
        <sz val="11"/>
        <rFont val="Calibri"/>
        <family val="2"/>
        <scheme val="minor"/>
      </rPr>
      <t>Information</t>
    </r>
    <r>
      <rPr>
        <sz val="11"/>
        <color theme="1"/>
        <rFont val="Calibri"/>
        <family val="2"/>
        <scheme val="minor"/>
      </rPr>
      <t xml:space="preserve"> :</t>
    </r>
    <r>
      <rPr>
        <i/>
        <sz val="11"/>
        <color rgb="FFFF0000"/>
        <rFont val="Calibri"/>
        <family val="2"/>
        <scheme val="minor"/>
      </rPr>
      <t xml:space="preserve"> Les mélanges de cultures et les prairies de cinq ans et moins sont prises en compte de la façon suivante : </t>
    </r>
  </si>
  <si>
    <t xml:space="preserve">- chaque tranche de 10 % de la SAU en prairie de 5 ans et moins compte comme une culture ; </t>
  </si>
  <si>
    <t xml:space="preserve">- chaque tranche de 10 % de la SAU en mélange de cultures compte comme une culture. </t>
  </si>
  <si>
    <t>Part des surfaces en prairies permanentes sur la SAU</t>
  </si>
  <si>
    <t>Part des prairies permanentes sur la SAU</t>
  </si>
  <si>
    <t>Espèces élevées (hors abeilles)</t>
  </si>
  <si>
    <t>Note gobale obtenue sur l'indicateur</t>
  </si>
  <si>
    <t>Total des points de l'item</t>
  </si>
  <si>
    <t>Participation à une campagne collective de prospection</t>
  </si>
  <si>
    <t>Surface en horticulture</t>
  </si>
  <si>
    <t>Part de la surface en horticulture</t>
  </si>
  <si>
    <t>surface hors horticulture</t>
  </si>
  <si>
    <t xml:space="preserve">SAU hors horticulture </t>
  </si>
  <si>
    <t>Part de la surface hors horticulture</t>
  </si>
  <si>
    <t>Description du matériel utilisé :</t>
  </si>
  <si>
    <t>Surface couverte pour les vignes</t>
  </si>
  <si>
    <t>Surface couverte pour l'arboriculture et autres cultures pérennes</t>
  </si>
  <si>
    <t xml:space="preserve">Total surface en horticulture-pépinière </t>
  </si>
  <si>
    <t>Part de surface en vignes couverte</t>
  </si>
  <si>
    <t>Part de la surface en arboriculture et autres cultures pérennes couverte</t>
  </si>
  <si>
    <t>Part de la surface en horticulture-pépinière couverte</t>
  </si>
  <si>
    <t>Cultures hors sol hors horticulture</t>
  </si>
  <si>
    <t>Horticulture hors sol</t>
  </si>
  <si>
    <t>Part des surfaces en horticulture hors sol avec un système total</t>
  </si>
  <si>
    <t>Part des surfaces en horticulture hors sol avec un système partiel</t>
  </si>
  <si>
    <t>Volume annuel d’eau d’irrigation utilisé sur les cultures concernées</t>
  </si>
  <si>
    <t>Apport d’azote total par les effluents d’élevage importés (E1.2)</t>
  </si>
  <si>
    <t>Apport d’azote total par les autres engrais organiques importés (E2)</t>
  </si>
  <si>
    <t xml:space="preserve">Apport d’azote total par les engrais minéraux (E3) </t>
  </si>
  <si>
    <t>Sortie d'azote total par les effluents d'élevage exportés (E1.3)</t>
  </si>
  <si>
    <t xml:space="preserve">Azote exporté par les surfaces non fourragères (S1.1) </t>
  </si>
  <si>
    <t>Azote exporté par les surfaces fourragères hors herbe (S1.2)</t>
  </si>
  <si>
    <t>Azote exporté par les surfaces en herbe (prairies) (S1.3)</t>
  </si>
  <si>
    <t>Apport d’azote par les engrais organiques importés (E1)</t>
  </si>
  <si>
    <t xml:space="preserve">Apport d’azote par les aliments achetés (E2.1) </t>
  </si>
  <si>
    <t xml:space="preserve">Apport d’azote par les fourrages achetés (E2.2) </t>
  </si>
  <si>
    <t xml:space="preserve">Apport d’azote par la paille achetée (E2.3) </t>
  </si>
  <si>
    <t>Apport d’azote par les animaux achetés (E3)</t>
  </si>
  <si>
    <t>Apport d'azote par les engrais minéraux (E4)</t>
  </si>
  <si>
    <t>Exportation d’azote par les cultures vendues ou cédées (S2)</t>
  </si>
  <si>
    <t>Exportation d’azote par les effluents d’élevage vendus ou donnés (S1)</t>
  </si>
  <si>
    <t>Exportation d’azote par les animaux vendus (S3)</t>
  </si>
  <si>
    <t>Exportation d’azote par les produits animaux vendus (S4)</t>
  </si>
  <si>
    <t>calcul intermed apprent</t>
  </si>
  <si>
    <t>calcul intermed BGA</t>
  </si>
  <si>
    <t>Les cultures mineures ont-elles été prises en compte dans le calcul du bilan ?</t>
  </si>
  <si>
    <t>Quantité totale d’azote minéral apporté sur l’ensemble de la SAU de l’exploitation en t d’azote</t>
  </si>
  <si>
    <t>Quantité totale d’azote organique apporté sur l’ensemble de la SAU de l’exploitation en t d’azote</t>
  </si>
  <si>
    <t>Saisie des surfaces</t>
  </si>
  <si>
    <t>Total surface cultures principales grandes cultures (y compris blé)</t>
  </si>
  <si>
    <t>Utilisation d'un outil PPF ?</t>
  </si>
  <si>
    <t xml:space="preserve">Protéagineux (pois protéagineux, fève, féverole, lupin…) </t>
  </si>
  <si>
    <t xml:space="preserve">Légumes secs / légumineuses à grain </t>
  </si>
  <si>
    <t xml:space="preserve">Mélanges de cultures contenant des légumineuses, protéagineux ou légumes secs </t>
  </si>
  <si>
    <t xml:space="preserve">Prairies temporaires en légumineuses </t>
  </si>
  <si>
    <t xml:space="preserve">Total SAU hors viticulture, arboriculture et horticulture-pépinière </t>
  </si>
  <si>
    <t>Surface en horticulture équipée de matériels optimisant les apports de fertilisants</t>
  </si>
  <si>
    <t>Total des surfaces en horticulture</t>
  </si>
  <si>
    <t>Système de recyclage total des cultures hors sol</t>
  </si>
  <si>
    <t>Surface en horticulture hors sol</t>
  </si>
  <si>
    <t>Utilisation d’outils de mesure sur les surfaces hors horticulture</t>
  </si>
  <si>
    <t>Utilisation d’outils de mesure sur les surfaces en horticulture</t>
  </si>
  <si>
    <t>Surface en horticulture concernées par l'utilisation d'un outil de mesure</t>
  </si>
  <si>
    <t>Description du ou des matériel(s) utilisé(s) :</t>
  </si>
  <si>
    <t>Nom de la démarche collective</t>
  </si>
  <si>
    <t xml:space="preserve">En revanche, tous les prélèvements sur le milieu doivent bien être pris en compte dans le volume total d'eau prélevé. L'eau prélevée hors période d'étiage pour être stockée dans une retenue collinaire doit donc être comptabilisée dans les prélèvements hors période d'étiage. </t>
  </si>
  <si>
    <t>Quantité de substances actives appliquée</t>
  </si>
  <si>
    <t>Couvert végétal inter-rang</t>
  </si>
  <si>
    <t>Quantité d'azote apportée</t>
  </si>
  <si>
    <t>4 - Légendes</t>
  </si>
  <si>
    <t>jachères noires</t>
  </si>
  <si>
    <r>
      <rPr>
        <b/>
        <i/>
        <sz val="11"/>
        <color theme="1"/>
        <rFont val="Calibri"/>
        <family val="2"/>
        <scheme val="minor"/>
      </rPr>
      <t>Information :</t>
    </r>
    <r>
      <rPr>
        <i/>
        <sz val="11"/>
        <color theme="1"/>
        <rFont val="Calibri"/>
        <family val="2"/>
        <scheme val="minor"/>
      </rPr>
      <t xml:space="preserve"> </t>
    </r>
    <r>
      <rPr>
        <i/>
        <sz val="11"/>
        <color rgb="FFFF0000"/>
        <rFont val="Calibri"/>
        <family val="2"/>
      </rPr>
      <t xml:space="preserve">Pour être prises en compte, les IAE doivent respecter les exigences qualitatives de maintien (haies, bosquets et mares) et d’entretien (arbres – pas de taille et coupe entre le 16/03 et le 15/08). </t>
    </r>
  </si>
  <si>
    <t>Conversion en hectares</t>
  </si>
  <si>
    <t>Critère poids des IAE: IAE sur surface de l'exploitation</t>
  </si>
  <si>
    <r>
      <rPr>
        <b/>
        <i/>
        <sz val="11"/>
        <rFont val="Calibri"/>
        <family val="2"/>
      </rPr>
      <t>Information</t>
    </r>
    <r>
      <rPr>
        <i/>
        <sz val="11"/>
        <color rgb="FFFF0000"/>
        <rFont val="Calibri"/>
        <family val="2"/>
        <scheme val="minor"/>
      </rPr>
      <t xml:space="preserve"> : Sont prises en compte les parcelles et bordures de parcelles n’ayant reçu aucun produit phytosanitaire hors produit de biocontrôle (hormis traitements obligatoires) pendant la campagne évaluée. Ces surfaces non traitées sont repérées sur la base des cahiers d’enregistrement des pratiques. </t>
    </r>
  </si>
  <si>
    <t>1.40 (P70) &lt; IFT</t>
  </si>
  <si>
    <t>IFT &lt;= 1 (P20)</t>
  </si>
  <si>
    <t>Surfaces en horticulture et pépinière</t>
  </si>
  <si>
    <r>
      <rPr>
        <b/>
        <i/>
        <sz val="11"/>
        <rFont val="Calibri"/>
        <family val="2"/>
      </rPr>
      <t>Information participation active</t>
    </r>
    <r>
      <rPr>
        <i/>
        <sz val="11"/>
        <color rgb="FFFF0000"/>
        <rFont val="Calibri"/>
        <family val="2"/>
        <scheme val="minor"/>
      </rPr>
      <t xml:space="preserve"> : Il s’agit d’observer un échantillon représentatif en matière de cépage, de variété, de contexte pédo-climatique et géographique. La surface prise en compte est la surface « représentée » par cet échantillon observé. Les prairies temporaires et permanentes ne sont pas concernées par ce critère : leurs surfaces ne doivent donc pas être prises en compte dans les calculs des ratios. </t>
    </r>
  </si>
  <si>
    <t>surface en horticulture</t>
  </si>
  <si>
    <t>Surface couverte pour l’horticulture-pépinière</t>
  </si>
  <si>
    <t>Apport d’azote total par les effluents produits par l'élevage (E1.1)</t>
  </si>
  <si>
    <t>calcul général</t>
  </si>
  <si>
    <t>calcul spé</t>
  </si>
  <si>
    <t>OTEX</t>
  </si>
  <si>
    <t>BGA</t>
  </si>
  <si>
    <t>Apparent</t>
  </si>
  <si>
    <t>Total points obtenus hors horticulture</t>
  </si>
  <si>
    <t>Total des points obtenus en horticulture</t>
  </si>
  <si>
    <t xml:space="preserve">Note : Seuls les prélèvements directs sur le milieu naturel en période d'étiage sont comptés dans le "volume prélevé en période d'étiage". Par exemple, l’eau prélevée hors période d'étiage pour être stockée dans une retenue collinaire et utilisée pendant la période d’étiage n’est pas à considérer comme un prélèvement pendant la période d’étiage. </t>
  </si>
  <si>
    <t xml:space="preserve">Surfaces concernées possédant : </t>
  </si>
  <si>
    <t>Utilisation de matériels optimisant les apports de fertilisants</t>
  </si>
  <si>
    <t>Nomenclature d'orientation technico-économique des exploitations agricoles</t>
  </si>
  <si>
    <t xml:space="preserve">Source : https://agreste.agriculture.gouv.fr/agreste-web/methodon/N.1/!searchurl/listeTypeMethodon/ </t>
  </si>
  <si>
    <t>Exploitations spécialisées en grandes cultures - céréales et/ou oléoprotéagineux</t>
  </si>
  <si>
    <t>1510</t>
  </si>
  <si>
    <t>Exploitations spécialisées en céréaliculture (autre que le riz) et en culture de plantes oléagineuses et protéagineuses</t>
  </si>
  <si>
    <t>1520</t>
  </si>
  <si>
    <t>Exploitations spécialisées rizicoles</t>
  </si>
  <si>
    <t>1530</t>
  </si>
  <si>
    <t>Exploitations combinant céréales, riz, plantes oléagineuses et protéagineuses</t>
  </si>
  <si>
    <t>Exploitations spécialisées en grandes cultures - autres grandes cultures</t>
  </si>
  <si>
    <t>Exploitations spécialisées en culture de plantes sarclées</t>
  </si>
  <si>
    <t>Exploitations combinant céréales, plantes oléagineuses et protéagineuses et culture de plantes sarclées</t>
  </si>
  <si>
    <t>Exploitations spécialisées en culture de légumes frais de plein champ</t>
  </si>
  <si>
    <t>Exploitations spécialisées en culture de tabac</t>
  </si>
  <si>
    <t>Exploitations avec combinaison de diverses grandes cultures</t>
  </si>
  <si>
    <t>Exploitations spécialisées en maraîchage ou horticulture - Légumes ou champignons</t>
  </si>
  <si>
    <t>Exploitations spécialisées en culture de légumes d'intérieur</t>
  </si>
  <si>
    <t>Exploitations spécialisées en culture de légumes de plein air</t>
  </si>
  <si>
    <t>Exploitations spécialisées dans la culture de champignons</t>
  </si>
  <si>
    <t>Exploitations spécialisées en maraîchage ou horticulture - Fleurs et/ou horticulture diverse</t>
  </si>
  <si>
    <t>Exploitations spécialisées en floriculture et culture de plantes ornementales d'intérieur</t>
  </si>
  <si>
    <t>Exploitations spécialisées en horticulture mixte d'intérieur</t>
  </si>
  <si>
    <t>Exploitations spécialisées en floriculture et culture de plantes ornementales de plein air</t>
  </si>
  <si>
    <t>Exploitations spécialisées en horticulture mixte de plein air</t>
  </si>
  <si>
    <t>Pépinières spécialisées</t>
  </si>
  <si>
    <t>Différents types d'horticulture</t>
  </si>
  <si>
    <t>Exploitations spécialisées en viticulture</t>
  </si>
  <si>
    <t>Exploitations vinicoles spécialisées dans la production de vins de qualité bénéficiant d'une AOP</t>
  </si>
  <si>
    <t>Exploitations vinicoles spécialisées dans la production de vins de qualité bénéficiant d'une IGP</t>
  </si>
  <si>
    <t>Exploitations vinicoles spécialisées dans la production de vins de qualité AOP et IGP</t>
  </si>
  <si>
    <t>Exploitations vinicoles spécialisées dans la production de vins autres que des vins de qualité</t>
  </si>
  <si>
    <t>Exploitations spécialisées dans la production de raisins de table</t>
  </si>
  <si>
    <t>Autres vignobles</t>
  </si>
  <si>
    <t>Exploitations spécialisées en cultures fruitières ou autres cultures permanentes</t>
  </si>
  <si>
    <t>Exploitations fruitières spécialisées (à l'exception des agrumes, des fruits tropicaux et des fruits à coque)</t>
  </si>
  <si>
    <t>Exploitations agrumicoles spécialisées</t>
  </si>
  <si>
    <t>Exploitations spécialisées dans la production de fruits à coque</t>
  </si>
  <si>
    <t>Exploitations spécialisées dans la production de fruits à tropicaux</t>
  </si>
  <si>
    <t>Exploitations spécialisées dans la production de fruits, agrumes, fruits tropicaux et fruits à coque : production mixte</t>
  </si>
  <si>
    <t>Exploitations oléicoles spécialisées</t>
  </si>
  <si>
    <t>Exploitations avec diverses combinaisons de cultures permanentes</t>
  </si>
  <si>
    <t>Exploitations bovines spécialisées - orientation lait</t>
  </si>
  <si>
    <t>Exploitations bovines spécialisées - orientation élevage et viande</t>
  </si>
  <si>
    <t>Exploitations bovines - lait, élevage et viande combinés</t>
  </si>
  <si>
    <t>Exploitations avec ovins et/ou caprins, et/ou autres herbivores</t>
  </si>
  <si>
    <t>Exploitations avec ovis et bovins combinés</t>
  </si>
  <si>
    <t>Exploitations d'équidés et/ou autres herbivores</t>
  </si>
  <si>
    <t>Exploitations spécialisées en porcins et/ou volailles</t>
  </si>
  <si>
    <t>Exploitations spécialisées porcins d'élevage</t>
  </si>
  <si>
    <t>Exploitations spécialisées porcins d'engraissement</t>
  </si>
  <si>
    <t>Exploitations combinant l'élevage et l'engraissement de porcins</t>
  </si>
  <si>
    <t>Exploitations spécialisées poules pondeuses</t>
  </si>
  <si>
    <t>Exploitations spécialisées volailles de chair</t>
  </si>
  <si>
    <t>Exploitations combinant poules pondeuses et volailles de chair</t>
  </si>
  <si>
    <t>Exploitations avec diverses combinaisons de granivores</t>
  </si>
  <si>
    <t>Exploitations de polyélevage : granivores et bovins laitiers combinés</t>
  </si>
  <si>
    <t>Exploitations de polyélevage: granivores et herbivores autres que laitiers</t>
  </si>
  <si>
    <t>Exploitations de polyculture et/ou polyélevage</t>
  </si>
  <si>
    <t>Horticulture et cultures permanentes combinées</t>
  </si>
  <si>
    <t>Exploitations combinant grandes cultures et horticulture</t>
  </si>
  <si>
    <t>Exploitations combinant grandes cultures et vignes</t>
  </si>
  <si>
    <t>Exploitations combinant grandes cultures et cultures permanentes</t>
  </si>
  <si>
    <t>Exploitations de polyculture à orientation grandes cultures</t>
  </si>
  <si>
    <t>Autres exploitations de polyculture</t>
  </si>
  <si>
    <t>Exploitations de polyélevage à orientation laitière</t>
  </si>
  <si>
    <t>Exploitations de polyélevage à orientation herbivores autres que laitiers</t>
  </si>
  <si>
    <t>Exploitations mixtes combinant grandes cultures avec bovins laitiers</t>
  </si>
  <si>
    <t>Exploitations mixtes combinant grandes cultures et granivores</t>
  </si>
  <si>
    <t>Exploitations apicoles</t>
  </si>
  <si>
    <t>Exploitations avec diverses cultures et élevages mixtes</t>
  </si>
  <si>
    <t>Exploitations non classées</t>
  </si>
  <si>
    <t>Type d'exploitation</t>
  </si>
  <si>
    <t>Code</t>
  </si>
  <si>
    <t>Description</t>
  </si>
  <si>
    <t>Productions extérieures :</t>
  </si>
  <si>
    <t xml:space="preserve">Productions couvertes : </t>
  </si>
  <si>
    <t>Version référentiel</t>
  </si>
  <si>
    <t>V1 - 2011</t>
  </si>
  <si>
    <t>V2 - 2013</t>
  </si>
  <si>
    <t>V3 - 2016</t>
  </si>
  <si>
    <t>V4 - 2022</t>
  </si>
  <si>
    <t>Cultures fibres et jachères</t>
  </si>
  <si>
    <t xml:space="preserve">Jachères : </t>
  </si>
  <si>
    <t>Zone de saisie libre :</t>
  </si>
  <si>
    <t>en Ha</t>
  </si>
  <si>
    <r>
      <rPr>
        <b/>
        <i/>
        <sz val="11"/>
        <rFont val="Calibri"/>
        <family val="2"/>
        <scheme val="minor"/>
      </rPr>
      <t xml:space="preserve">Information : </t>
    </r>
    <r>
      <rPr>
        <i/>
        <sz val="11"/>
        <color rgb="FFFF0000"/>
        <rFont val="Calibri"/>
        <family val="2"/>
        <scheme val="minor"/>
      </rPr>
      <t>On tient compte ici de l'ensemble des matériels listés dans l'annexe 7 du plan de contrôle.</t>
    </r>
  </si>
  <si>
    <r>
      <rPr>
        <b/>
        <i/>
        <sz val="11"/>
        <rFont val="Calibri"/>
        <family val="2"/>
      </rPr>
      <t>Information</t>
    </r>
    <r>
      <rPr>
        <i/>
        <sz val="11"/>
        <color rgb="FFFF0000"/>
        <rFont val="Calibri"/>
        <family val="2"/>
        <scheme val="minor"/>
      </rPr>
      <t xml:space="preserve"> : L’item mesure le pourcentage de la surface en inter-rang bénéficiant d’un couvert végétal présent sur l’ensemble de la campagne évaluée. 
Cet item concerne uniquement les cultures de pleine terre.</t>
    </r>
  </si>
  <si>
    <r>
      <rPr>
        <b/>
        <i/>
        <sz val="11"/>
        <rFont val="Calibri"/>
        <family val="2"/>
        <scheme val="minor"/>
      </rPr>
      <t>Information</t>
    </r>
    <r>
      <rPr>
        <i/>
        <sz val="11"/>
        <color rgb="FFFF0000"/>
        <rFont val="Calibri"/>
        <family val="2"/>
        <scheme val="minor"/>
      </rPr>
      <t> : Se référer au plan de contrôle pour la définition des différents postes de bilan.</t>
    </r>
  </si>
  <si>
    <t>Durée réglementaire de couvert à respecter</t>
  </si>
  <si>
    <t xml:space="preserve">L’exploitation respecte-t-elle la durée réglementaire de couvert sur 100 % de la surface concernée ? </t>
  </si>
  <si>
    <t>ZNV</t>
  </si>
  <si>
    <t>ZV</t>
  </si>
  <si>
    <t>100-75</t>
  </si>
  <si>
    <t>Part des surfaces en horticulture concernées par l’utilisation d’un outil de mesure</t>
  </si>
  <si>
    <t>Part de la SAU hors horticulture</t>
  </si>
  <si>
    <t>Part de la SAU en horticulture</t>
  </si>
  <si>
    <t>Part de la SAU en cultures hors sol</t>
  </si>
  <si>
    <t>Date</t>
  </si>
  <si>
    <r>
      <rPr>
        <b/>
        <sz val="11"/>
        <color theme="1"/>
        <rFont val="Calibri"/>
        <family val="2"/>
        <scheme val="minor"/>
      </rPr>
      <t>Note de lecture</t>
    </r>
    <r>
      <rPr>
        <sz val="11"/>
        <color theme="1"/>
        <rFont val="Calibri"/>
        <family val="2"/>
        <scheme val="minor"/>
      </rPr>
      <t> : en Alsace pour l'ensemble des grandes cultures, les valeurs de référence de l'IFT Herbicides sont de 1 (plancher correspondant au 2ème décile) et 1,67 (plafond correspondant au 7ème décile). Ce sont les moyennes des valeurs plancher et plafond des trois années de référence (2011, 2014 et 2017).</t>
    </r>
  </si>
  <si>
    <r>
      <rPr>
        <b/>
        <sz val="11"/>
        <color theme="1"/>
        <rFont val="Calibri"/>
        <family val="2"/>
        <scheme val="minor"/>
      </rPr>
      <t xml:space="preserve">Points de méthode et d'attention </t>
    </r>
    <r>
      <rPr>
        <sz val="11"/>
        <color theme="1"/>
        <rFont val="Calibri"/>
        <family val="2"/>
        <scheme val="minor"/>
      </rPr>
      <t xml:space="preserve">: dans les tableaux, les IFT Herbicides Grandes Cultures tiennent compte de la pomme de terre. Ce sont les mêmes valeurs affichées dans le tableau "Grandes cultures" et le tableau "pommes de terre". </t>
    </r>
  </si>
  <si>
    <t>Saisie obligatoire</t>
  </si>
  <si>
    <t>Participation active à un dispositif de collecte de données d'observation alimentant le bulletin de santé du végétal dans le cadre du réseau national d'épidémio-surveillance, sur :</t>
  </si>
  <si>
    <r>
      <rPr>
        <b/>
        <i/>
        <sz val="11"/>
        <rFont val="Calibri"/>
        <family val="2"/>
      </rPr>
      <t>Information</t>
    </r>
    <r>
      <rPr>
        <i/>
        <sz val="11"/>
        <color rgb="FFFF0000"/>
        <rFont val="Calibri"/>
        <family val="2"/>
        <scheme val="minor"/>
      </rPr>
      <t xml:space="preserve"> : Seules les cultures hors sol sont concernées par cet item.</t>
    </r>
  </si>
  <si>
    <t>Description de ces pratiques :</t>
  </si>
  <si>
    <t>Surface couverte en hectares</t>
  </si>
  <si>
    <t>Part de la SAU en arboriculture et autres cultures pérennes</t>
  </si>
  <si>
    <t>Part de la SAU en horticulture-pépinière</t>
  </si>
  <si>
    <t>Vérification du socle : respect de la durée réglementaire de couvert</t>
  </si>
  <si>
    <t>Qualité biologique du sol</t>
  </si>
  <si>
    <t>Calendrier dates mise à jour tables de scoring</t>
  </si>
  <si>
    <t>Table de scoring</t>
  </si>
  <si>
    <t>Date MAJ</t>
  </si>
  <si>
    <t>Enregistrement des pratiques d'irrigation</t>
  </si>
  <si>
    <t>Utilisation de matériels optimisant les apports d'eau</t>
  </si>
  <si>
    <t>Statut juridique</t>
  </si>
  <si>
    <t>Autres démarches</t>
  </si>
  <si>
    <t>Calcul Bilan Azoté</t>
  </si>
  <si>
    <t>Superficie totale irriguée durant la campagne évaluée</t>
  </si>
  <si>
    <r>
      <rPr>
        <i/>
        <sz val="11"/>
        <color rgb="FFFF0000"/>
        <rFont val="Calibri"/>
        <family val="2"/>
      </rPr>
      <t>Note</t>
    </r>
    <r>
      <rPr>
        <i/>
        <sz val="11"/>
        <color rgb="FFFF0000"/>
        <rFont val="Calibri"/>
        <family val="2"/>
        <scheme val="minor"/>
      </rPr>
      <t>: Ne pas laisser de cellules vides, mettre "0" si aucun manquant</t>
    </r>
  </si>
  <si>
    <r>
      <rPr>
        <b/>
        <i/>
        <sz val="11"/>
        <rFont val="Calibri"/>
        <family val="2"/>
        <scheme val="minor"/>
      </rPr>
      <t>Information :</t>
    </r>
    <r>
      <rPr>
        <i/>
        <sz val="11"/>
        <color rgb="FFFF0000"/>
        <rFont val="Calibri"/>
        <family val="2"/>
        <scheme val="minor"/>
      </rPr>
      <t xml:space="preserve"> Cet item valorise les méthodes et outils de mesure utilisés dans les exploitations pour ajuster au mieux les apports d'eau d'irrigation aux conditions pédo-climatiques et aux besoins des plantes.</t>
    </r>
  </si>
  <si>
    <r>
      <rPr>
        <b/>
        <i/>
        <sz val="11"/>
        <rFont val="Calibri"/>
        <family val="2"/>
        <scheme val="minor"/>
      </rPr>
      <t>Information :</t>
    </r>
    <r>
      <rPr>
        <i/>
        <sz val="11"/>
        <color rgb="FFFF0000"/>
        <rFont val="Calibri"/>
        <family val="2"/>
        <scheme val="minor"/>
      </rPr>
      <t xml:space="preserve"> Cet item valorise les matériels optimisant les apports en eau en fonction de la surface équipée (arrosage maîtrisé, régulation électronique de l'irrigation, récupération des eaux pluviales, micro-irrigation, recyclage des eaux de lavage…) </t>
    </r>
  </si>
  <si>
    <r>
      <rPr>
        <b/>
        <i/>
        <sz val="11"/>
        <rFont val="Calibri"/>
        <family val="2"/>
        <scheme val="minor"/>
      </rPr>
      <t xml:space="preserve">Information : </t>
    </r>
    <r>
      <rPr>
        <i/>
        <sz val="11"/>
        <color rgb="FFFF0000"/>
        <rFont val="Calibri"/>
        <family val="2"/>
        <scheme val="minor"/>
      </rPr>
      <t>Cet item concerne les cultures hors sol de la filière horticulture et pépinière.</t>
    </r>
  </si>
  <si>
    <t>surface en terres arables de l’exploitation inférieure à 10 ha</t>
  </si>
  <si>
    <t>Noms des variétés, races et espèces menacées présentes sur l'exploitation :</t>
  </si>
  <si>
    <t>Mise en place du test bêche de l'Observatoire Participatif des Vers de Terre</t>
  </si>
  <si>
    <r>
      <t xml:space="preserve">Bordures non productives - critère obligatoire </t>
    </r>
    <r>
      <rPr>
        <b/>
        <sz val="11"/>
        <color rgb="FFFF0000"/>
        <rFont val="Calibri"/>
        <family val="2"/>
      </rPr>
      <t>*</t>
    </r>
  </si>
  <si>
    <r>
      <t>Bordures non productives - critère poids des IAE</t>
    </r>
    <r>
      <rPr>
        <b/>
        <sz val="11"/>
        <color rgb="FFFF0000"/>
        <rFont val="Calibri"/>
        <family val="2"/>
      </rPr>
      <t xml:space="preserve"> *</t>
    </r>
    <r>
      <rPr>
        <b/>
        <sz val="11"/>
        <color rgb="FFFF0000"/>
        <rFont val="Calibri"/>
        <family val="2"/>
        <scheme val="minor"/>
      </rPr>
      <t>*</t>
    </r>
  </si>
  <si>
    <r>
      <rPr>
        <b/>
        <i/>
        <sz val="11"/>
        <color rgb="FFFF0000"/>
        <rFont val="Calibri"/>
        <family val="2"/>
      </rPr>
      <t>*</t>
    </r>
    <r>
      <rPr>
        <i/>
        <sz val="11"/>
        <color theme="1"/>
        <rFont val="Calibri"/>
        <family val="2"/>
        <scheme val="minor"/>
      </rPr>
      <t xml:space="preserve"> Critères : Lorsqu'elle est mise en place en bordure de forêt, la bande doit avoir une largeur minimale de 1 m ; dans tous les autres cas, elle doit avoir une largeur minimale de 5 m.</t>
    </r>
  </si>
  <si>
    <r>
      <rPr>
        <i/>
        <sz val="11"/>
        <color rgb="FFFF0000"/>
        <rFont val="Calibri"/>
        <family val="2"/>
        <scheme val="minor"/>
      </rPr>
      <t>**</t>
    </r>
    <r>
      <rPr>
        <sz val="11"/>
        <color theme="1"/>
        <rFont val="Calibri"/>
        <family val="2"/>
        <scheme val="minor"/>
      </rPr>
      <t xml:space="preserve"> </t>
    </r>
    <r>
      <rPr>
        <i/>
        <sz val="11"/>
        <color theme="1"/>
        <rFont val="Calibri"/>
        <family val="2"/>
      </rPr>
      <t>Critères : Lorsqu'elle est mise en place en bordure de forêt et en bordure de champ, la bande doit avoir une largeur minimale de 1 m ; dans tous les autres cas, elle doit avoir une largeur minimale de 5 m.</t>
    </r>
  </si>
  <si>
    <r>
      <t xml:space="preserve">Autres surfaces de SAU non traitées pendant la campagne </t>
    </r>
    <r>
      <rPr>
        <sz val="11"/>
        <color rgb="FFFF0000"/>
        <rFont val="Calibri"/>
        <family val="2"/>
        <scheme val="minor"/>
      </rPr>
      <t xml:space="preserve">** </t>
    </r>
  </si>
  <si>
    <r>
      <t xml:space="preserve">Surfaces réelles d’IAE incluses dans la SAU </t>
    </r>
    <r>
      <rPr>
        <sz val="11"/>
        <color rgb="FFFF0000"/>
        <rFont val="Calibri"/>
        <family val="2"/>
        <scheme val="minor"/>
      </rPr>
      <t>*</t>
    </r>
  </si>
  <si>
    <r>
      <t xml:space="preserve">* </t>
    </r>
    <r>
      <rPr>
        <i/>
        <sz val="11"/>
        <rFont val="Calibri"/>
        <family val="2"/>
        <scheme val="minor"/>
      </rPr>
      <t xml:space="preserve">Les IAE à prendre en compte ici sont les IAE dont la surface d’emprise réelle est en deçà du seuil leur permettant de les assimiler à la SAU (haie, fossé, bordures... - cf. liste dans le plan de contrôle).
</t>
    </r>
    <r>
      <rPr>
        <i/>
        <sz val="11"/>
        <color rgb="FFFF0000"/>
        <rFont val="Calibri"/>
        <family val="2"/>
        <scheme val="minor"/>
      </rPr>
      <t>**</t>
    </r>
    <r>
      <rPr>
        <i/>
        <sz val="11"/>
        <rFont val="Calibri"/>
        <family val="2"/>
        <scheme val="minor"/>
      </rPr>
      <t xml:space="preserve"> Y compris les IAE, incluses dans la SAU, dont la surface d’emprise n’est pas plafonnée pour les assimiler à la SAU (jachères, alignements d'arbres, arbres isolés... - cf. liste dans le plan de contrôle)</t>
    </r>
  </si>
  <si>
    <r>
      <rPr>
        <b/>
        <i/>
        <sz val="11"/>
        <color theme="1"/>
        <rFont val="Calibri"/>
        <family val="2"/>
      </rPr>
      <t>Information</t>
    </r>
    <r>
      <rPr>
        <i/>
        <sz val="11"/>
        <color theme="1"/>
        <rFont val="Calibri"/>
        <family val="2"/>
        <scheme val="minor"/>
      </rPr>
      <t xml:space="preserve"> : </t>
    </r>
    <r>
      <rPr>
        <i/>
        <sz val="11"/>
        <color rgb="FFFF0000"/>
        <rFont val="Calibri"/>
        <family val="2"/>
        <scheme val="minor"/>
      </rPr>
      <t>Une méthode alternative remplace 1 passage d'1 dose d'1 produit phytosanitaire.</t>
    </r>
  </si>
  <si>
    <t>Description des matériels et méthodes utilisés :</t>
  </si>
  <si>
    <t>Part de la surface concernée légumes, fleurs et fruits hors arboriculture</t>
  </si>
  <si>
    <t>Part de la surface concernée par PPF</t>
  </si>
  <si>
    <t>Part de la surface concernée par PPF Aj</t>
  </si>
  <si>
    <t>Part de la surface concernée par PPF Aj et ODP</t>
  </si>
  <si>
    <t>Cultures mineures : part de la surface concernée par PPF Aj et ODP</t>
  </si>
  <si>
    <t>Autres surfaces non fertilisées pendant la campagne évaluée</t>
  </si>
  <si>
    <t>Total surface non fertilisée</t>
  </si>
  <si>
    <t>Surface des légumineuses en inter-rang (sans destruction chimique)</t>
  </si>
  <si>
    <t>Couverture globale de la surface</t>
  </si>
  <si>
    <t>Nombre de semaines de couvert (y compris durée réglementaire)</t>
  </si>
  <si>
    <t>Couvert végétal inter-rang en viticulture, arboriculture et horticulture-pépinière</t>
  </si>
  <si>
    <t>Part de la SAU en vignes</t>
  </si>
  <si>
    <t xml:space="preserve">* Note : </t>
  </si>
  <si>
    <t>ET ayant une superficie supérieure à 50 ares, sauf si elle couvre l’intégralité d’une surface qui n’est pas adjacente à une autre surface de prairie ou pâturage permanent.</t>
  </si>
  <si>
    <t>ET dont limites correspondent à des ruptures franches de milieu</t>
  </si>
  <si>
    <t>ET couvrant une surface codée en prairies et pâturages permanents</t>
  </si>
  <si>
    <t xml:space="preserve">ET affectée d’un % (par l’opérateur) précisant la part d’éléments non admissibles </t>
  </si>
  <si>
    <t>Surface concernée en Ha</t>
  </si>
  <si>
    <t>NOTATION EN COURS</t>
  </si>
  <si>
    <t>ANCIENNE NOTATION</t>
  </si>
  <si>
    <r>
      <rPr>
        <b/>
        <i/>
        <sz val="11"/>
        <color theme="1"/>
        <rFont val="Calibri"/>
        <family val="2"/>
      </rPr>
      <t>Source</t>
    </r>
    <r>
      <rPr>
        <i/>
        <sz val="11"/>
        <color theme="1"/>
        <rFont val="Calibri"/>
        <family val="2"/>
        <scheme val="minor"/>
      </rPr>
      <t xml:space="preserve"> : </t>
    </r>
  </si>
  <si>
    <r>
      <rPr>
        <b/>
        <sz val="8.8000000000000007"/>
        <color theme="1"/>
        <rFont val="Calibri"/>
        <family val="2"/>
      </rPr>
      <t>Source</t>
    </r>
    <r>
      <rPr>
        <sz val="11"/>
        <color theme="1"/>
        <rFont val="Calibri"/>
        <family val="2"/>
        <scheme val="minor"/>
      </rPr>
      <t xml:space="preserve"> : </t>
    </r>
  </si>
  <si>
    <t>SYNTHÈSE</t>
  </si>
  <si>
    <t>Nombre de variétés végétales menacées cultivées</t>
  </si>
  <si>
    <t>Nombre de races animales menacées élevées</t>
  </si>
  <si>
    <t>Nombre de points obtenus pour les variétés végétales menacées cultivées</t>
  </si>
  <si>
    <t>Nombre points obtenus pour les races animales menacées élevées</t>
  </si>
  <si>
    <t>Analyse microbiologique des sols en laboratoire</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</si>
  <si>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la filière horticulture et pépinière.</t>
    </r>
  </si>
  <si>
    <r>
      <rPr>
        <b/>
        <i/>
        <sz val="11"/>
        <rFont val="Calibri"/>
        <family val="2"/>
      </rPr>
      <t xml:space="preserve">Information </t>
    </r>
    <r>
      <rPr>
        <i/>
        <sz val="11"/>
        <rFont val="Calibri"/>
        <family val="2"/>
        <scheme val="minor"/>
      </rPr>
      <t>:</t>
    </r>
    <r>
      <rPr>
        <i/>
        <sz val="11"/>
        <color rgb="FFFF0000"/>
        <rFont val="Calibri"/>
        <family val="2"/>
        <scheme val="minor"/>
      </rPr>
      <t xml:space="preserve"> Les surfaces concernées sont les surfaces en cultures hors sol.</t>
    </r>
  </si>
  <si>
    <t>Surface irriguée avec des matériels optimisant les apports d'eau</t>
  </si>
  <si>
    <r>
      <rPr>
        <b/>
        <i/>
        <sz val="11"/>
        <rFont val="Calibri"/>
        <family val="2"/>
      </rPr>
      <t xml:space="preserve">Information </t>
    </r>
    <r>
      <rPr>
        <i/>
        <sz val="11"/>
        <rFont val="Calibri"/>
        <family val="2"/>
        <scheme val="minor"/>
      </rPr>
      <t>:</t>
    </r>
    <r>
      <rPr>
        <i/>
        <sz val="11"/>
        <color rgb="FFFF0000"/>
        <rFont val="Calibri"/>
        <family val="2"/>
        <scheme val="minor"/>
      </rPr>
      <t xml:space="preserve"> Cet item est applicable aux cultures de pleine terre.</t>
    </r>
  </si>
  <si>
    <t>Nombre de campagnes concernées</t>
  </si>
  <si>
    <r>
      <t xml:space="preserve">Utilisation de produits phytosanitaires classés </t>
    </r>
    <r>
      <rPr>
        <b/>
        <sz val="11"/>
        <color theme="1"/>
        <rFont val="Calibri"/>
        <family val="2"/>
      </rPr>
      <t>CMR1</t>
    </r>
  </si>
  <si>
    <t>Part des eaux d'irrigation recyclée pour cultures hors sol hors horticulture</t>
  </si>
  <si>
    <r>
      <rPr>
        <b/>
        <sz val="11"/>
        <color theme="1"/>
        <rFont val="Calibri"/>
        <family val="2"/>
        <scheme val="minor"/>
      </rPr>
      <t>Note de lecture </t>
    </r>
    <r>
      <rPr>
        <sz val="11"/>
        <color theme="1"/>
        <rFont val="Calibri"/>
        <family val="2"/>
        <scheme val="minor"/>
      </rPr>
      <t xml:space="preserve">: dans le bassin viticole du Bordelais, les valeurs de référence de l'IFT herbicides sont de 0,0 (plancher correspondant au 2e décile) et 0,6 (plafond correspondant au 7e décile). Ce sont respectivement les moyennes des valeurs plancher et plafond des trois années de référence (2013, 2016 et 2019). </t>
    </r>
    <r>
      <rPr>
        <b/>
        <sz val="11"/>
        <color theme="1"/>
        <rFont val="Calibri"/>
        <family val="2"/>
      </rPr>
      <t/>
    </r>
  </si>
  <si>
    <r>
      <rPr>
        <b/>
        <sz val="11"/>
        <color theme="1"/>
        <rFont val="Calibri"/>
        <family val="2"/>
      </rPr>
      <t>Source</t>
    </r>
    <r>
      <rPr>
        <sz val="11"/>
        <color theme="1"/>
        <rFont val="Calibri"/>
        <family val="2"/>
        <scheme val="minor"/>
      </rPr>
      <t> : SSP – Agreste : enquêtes sur les pratiques culturales en viticulture en 2013 et en 2019 et sur les pratiques phytosanitaires en 2016</t>
    </r>
  </si>
  <si>
    <r>
      <rPr>
        <b/>
        <sz val="11"/>
        <color theme="1"/>
        <rFont val="Calibri"/>
        <family val="2"/>
      </rPr>
      <t>Source</t>
    </r>
    <r>
      <rPr>
        <sz val="11"/>
        <color theme="1"/>
        <rFont val="Calibri"/>
        <family val="2"/>
        <scheme val="minor"/>
      </rPr>
      <t xml:space="preserve"> : SSP – Agreste, enquêtes sur les pratiques culturales en arboriculture en 2015, et sur les pratiques phytosanitaires en 2012 et 2018</t>
    </r>
  </si>
  <si>
    <r>
      <rPr>
        <b/>
        <sz val="11"/>
        <color theme="1"/>
        <rFont val="Calibri"/>
        <family val="2"/>
      </rPr>
      <t>Note de lecture</t>
    </r>
    <r>
      <rPr>
        <sz val="11"/>
        <color theme="1"/>
        <rFont val="Calibri"/>
        <family val="2"/>
        <scheme val="minor"/>
      </rPr>
      <t xml:space="preserve"> : En région Centre, les valeurs de référence de l'IFT herbicides pour la culture de cerisier sont de 0,14 (plancher correspondant au 2e décile) et 0,36 (plafond correspondant au 7e décile). Ce sont respectivement les moyennes des valeurs plancher et plafond des trois années de référence (2012, 2015 et 2018). </t>
    </r>
  </si>
  <si>
    <r>
      <rPr>
        <b/>
        <sz val="11"/>
        <color theme="1"/>
        <rFont val="Calibri"/>
        <family val="2"/>
        <scheme val="minor"/>
      </rPr>
      <t>Points de méthode et d'attention :</t>
    </r>
    <r>
      <rPr>
        <sz val="11"/>
        <color theme="1"/>
        <rFont val="Calibri"/>
        <family val="2"/>
        <scheme val="minor"/>
      </rPr>
      <t xml:space="preserve"> 
Pour les espèces non couvertes par les enquêtes pratiques culturales, la règle de décision retenue en 2022 est la suivante : 
- Lorsque </t>
    </r>
    <r>
      <rPr>
        <u/>
        <sz val="11"/>
        <color theme="1"/>
        <rFont val="Calibri"/>
        <family val="2"/>
        <scheme val="minor"/>
      </rPr>
      <t>dans une région en métropole</t>
    </r>
    <r>
      <rPr>
        <sz val="11"/>
        <color theme="1"/>
        <rFont val="Calibri"/>
        <family val="2"/>
        <scheme val="minor"/>
      </rPr>
      <t xml:space="preserve"> une espèce n’est pas couverte par les enquêtes pratiques culturales : s’il s’agit d’un agrume, la valeur « clémentinier » est attribuée ; s’il s’agit d’un autre fruit, la valeur « prunier » est attribué. Il s'agit du fruit présent dans le plus grand nombre de régions et qui est associé à une valeur « intermédiaire » d’IFT (i.e. ce n’est pas le fruit avec les plus faibles IFT, ni le fruit avec les plus forts IFT). 
Si la valeur de référence régionale « clémentinier » ou « prunier » n’est pas disponible, on prend alors la valeur nationale correspondante. 
- En </t>
    </r>
    <r>
      <rPr>
        <u/>
        <sz val="11"/>
        <color theme="1"/>
        <rFont val="Calibri"/>
        <family val="2"/>
        <scheme val="minor"/>
      </rPr>
      <t>Martinique et Guadeloupe,</t>
    </r>
    <r>
      <rPr>
        <sz val="11"/>
        <color theme="1"/>
        <rFont val="Calibri"/>
        <family val="2"/>
        <scheme val="minor"/>
      </rPr>
      <t xml:space="preserve"> l’ensemble des fruits prennent la valeur de la banane et en </t>
    </r>
    <r>
      <rPr>
        <u/>
        <sz val="11"/>
        <color theme="1"/>
        <rFont val="Calibri"/>
        <family val="2"/>
        <scheme val="minor"/>
      </rPr>
      <t>Guyane</t>
    </r>
    <r>
      <rPr>
        <sz val="11"/>
        <color theme="1"/>
        <rFont val="Calibri"/>
        <family val="2"/>
        <scheme val="minor"/>
      </rPr>
      <t xml:space="preserve">, l’ensemble des fruits prennent la valeur des agrumes (ce sont les seuls fruits enquêtés localement).   </t>
    </r>
  </si>
  <si>
    <r>
      <rPr>
        <b/>
        <sz val="11"/>
        <color theme="1"/>
        <rFont val="Calibri"/>
        <family val="2"/>
        <scheme val="minor"/>
      </rPr>
      <t xml:space="preserve">Points de méthode et d'attention </t>
    </r>
    <r>
      <rPr>
        <sz val="11"/>
        <color theme="1"/>
        <rFont val="Calibri"/>
        <family val="2"/>
        <scheme val="minor"/>
      </rPr>
      <t xml:space="preserve">: 
- Lorsqu'un bassin des enquêtes pratiques culturales </t>
    </r>
    <r>
      <rPr>
        <u/>
        <sz val="11"/>
        <color theme="1"/>
        <rFont val="Calibri"/>
        <family val="2"/>
        <scheme val="minor"/>
      </rPr>
      <t>n'a pas été enquêté une année</t>
    </r>
    <r>
      <rPr>
        <sz val="11"/>
        <color theme="1"/>
        <rFont val="Calibri"/>
        <family val="2"/>
        <scheme val="minor"/>
      </rPr>
      <t xml:space="preserve">, lui ont été attribuées pour cette année-là les valeurs du grand bassin FranceAgriMer d'appartenance et, à défaut, les valeurs nationales. 
C'est le cas des bassins Bugey Savoie (en 2013) et Jura (en 2013 et 2016) qui appartiennent au grand bassin Bourgogne-Beaujolais-Savoie-Jura. C'est aussi le cas du bassin de Corse dont les valeurs en 2013 sont issues de la distribution nationale.
- Lorsqu'un bassin </t>
    </r>
    <r>
      <rPr>
        <u/>
        <sz val="11"/>
        <color theme="1"/>
        <rFont val="Calibri"/>
        <family val="2"/>
        <scheme val="minor"/>
      </rPr>
      <t>n'est pas enquêté</t>
    </r>
    <r>
      <rPr>
        <sz val="11"/>
        <color theme="1"/>
        <rFont val="Calibri"/>
        <family val="2"/>
        <scheme val="minor"/>
      </rPr>
      <t xml:space="preserve">, lui ont été attribuées les valeurs du grand bassin FranceAgriMer d'appartenance ("Autres zones viticoles - Alsace-Est", "Autres zones viticoles-Bourgogne-Beaujolais-Savoie-Jura", "Autres zones viticoles - Champagne", "Autres zones viticoles Vallée du Rhône-Provence", "Autres zones viticoles - Sud-Ouest, "Autres zones viticoles Val de Loire-Centre") et, à défaut, les valeurs nationales ("Autres zones viticoles"). 
- Les valeurs attribuées au </t>
    </r>
    <r>
      <rPr>
        <u/>
        <sz val="11"/>
        <color theme="1"/>
        <rFont val="Calibri"/>
        <family val="2"/>
        <scheme val="minor"/>
      </rPr>
      <t>bassin viticole "Pyrénées-Orientales"</t>
    </r>
    <r>
      <rPr>
        <sz val="11"/>
        <color theme="1"/>
        <rFont val="Calibri"/>
        <family val="2"/>
        <scheme val="minor"/>
      </rPr>
      <t xml:space="preserve"> correspondent aux valeurs du grand bassin viticole FranceAgriMer "Languedoc-Roussillon".</t>
    </r>
  </si>
  <si>
    <r>
      <t xml:space="preserve">Utilisation de produits herbicides classés </t>
    </r>
    <r>
      <rPr>
        <b/>
        <sz val="11"/>
        <color theme="1"/>
        <rFont val="Calibri"/>
        <family val="2"/>
      </rPr>
      <t>CMR2</t>
    </r>
  </si>
  <si>
    <r>
      <t xml:space="preserve">Utilisation de produits non herbicides classés </t>
    </r>
    <r>
      <rPr>
        <b/>
        <sz val="11"/>
        <color theme="1"/>
        <rFont val="Calibri"/>
        <family val="2"/>
      </rPr>
      <t>CMR2</t>
    </r>
  </si>
  <si>
    <t>Superficie totale irrigable</t>
  </si>
  <si>
    <t>Part de la SAU hors cultures pérennes localisée en zone vulnérable (en %)</t>
  </si>
  <si>
    <t>Surfaces localisées en zone vulnérable</t>
  </si>
  <si>
    <t>Surfaces localisées hors zone vulnérable</t>
  </si>
  <si>
    <t>Se référer au PAN et au PAR le cas échéant</t>
  </si>
  <si>
    <t>6 semaines</t>
  </si>
  <si>
    <t>Surface totale concernée en hectares</t>
  </si>
  <si>
    <t>Part de la surface couverte hors vignes, arboriculture et horticulture-pépinière en zone vulnérable</t>
  </si>
  <si>
    <t>Part de la surface couverte hors vignes, arboriculture et horticulture-pépinière hors zone vulnérable</t>
  </si>
  <si>
    <t>Part de la SAU hors vignes, arboriculture et horticulture-pépinière en zone vulnérable</t>
  </si>
  <si>
    <t>Part de la SAU hors vignes, arboriculture et horticulture-pépinière hors zone vulnérable</t>
  </si>
  <si>
    <t>SUIVI DES MODIFICATIONS APPORTÉES À LA GRILLE D'AUDIT</t>
  </si>
  <si>
    <t>Version</t>
  </si>
  <si>
    <t>Modifications apportées</t>
  </si>
  <si>
    <t>v1.00</t>
  </si>
  <si>
    <t>v1.01</t>
  </si>
  <si>
    <t>v1.02</t>
  </si>
  <si>
    <t>Correction du bassin viticole pour les départements du Languedoc-Roussillon (impact sur les IFT de références).</t>
  </si>
  <si>
    <t xml:space="preserve">Pour les surfaces hors cultures pérennes, distinction des cas pour les surfaces en zone vulnérable et les surfaces hors zone vulnérable, pour pouvoir prendre en compte les particulatrités des deux types de parcelles pour les exploitations à cheval sur les deux zones. Suppression de la question "Localisation en zone vulnérable" dans l'onglet Identification. </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</si>
  <si>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les cultures de pleine terre. </t>
    </r>
  </si>
  <si>
    <t>v1.03</t>
  </si>
  <si>
    <t xml:space="preserve">Correction du calcul de la surface en ligne 283 : "Total SAU hors viticulture, arboriculture et horticulture-pépinière" en enlevant les surfaces hors sol. </t>
  </si>
  <si>
    <t>BIODIVERSITÉ</t>
  </si>
  <si>
    <t>CObl_Ratio</t>
  </si>
  <si>
    <t>CPds_Ratio</t>
  </si>
  <si>
    <t>Note globale</t>
  </si>
  <si>
    <t>CPds_Haie</t>
  </si>
  <si>
    <t>CPds_Alignement arbres</t>
  </si>
  <si>
    <t>CPds_Arbre isolé</t>
  </si>
  <si>
    <t>CPds_Bosquets</t>
  </si>
  <si>
    <t>CPds_Mare</t>
  </si>
  <si>
    <t>CPds_Fossé</t>
  </si>
  <si>
    <t>CObl_Expl. concernée</t>
  </si>
  <si>
    <t>CPds_Bordures</t>
  </si>
  <si>
    <t>CPds_Jachère</t>
  </si>
  <si>
    <t>CPds_J. mellifère</t>
  </si>
  <si>
    <t>CPds_Zones humides</t>
  </si>
  <si>
    <t>CPds_Verger haute-tige</t>
  </si>
  <si>
    <t>CPds_Bandes intra-parcellaires</t>
  </si>
  <si>
    <t>CPds_Zone Natura 2000</t>
  </si>
  <si>
    <t>CPds_Zones en défens</t>
  </si>
  <si>
    <t>CPds_Autres surfaciques</t>
  </si>
  <si>
    <t>CPds_Autres ruines</t>
  </si>
  <si>
    <t>CPds_Autres linéaires</t>
  </si>
  <si>
    <t>Surfaces &lt; 6ha</t>
  </si>
  <si>
    <t>Surfaces PP</t>
  </si>
  <si>
    <t>Note</t>
  </si>
  <si>
    <t>Nb total</t>
  </si>
  <si>
    <t>Nb espèces animales</t>
  </si>
  <si>
    <t>Part PP/SAU</t>
  </si>
  <si>
    <t>Nb ruches</t>
  </si>
  <si>
    <t>Test-bêche</t>
  </si>
  <si>
    <t>Analyse microbio</t>
  </si>
  <si>
    <t>7. Variété ou race menacée</t>
  </si>
  <si>
    <t>8. Qualité bio du sol</t>
  </si>
  <si>
    <t>Nb variétés végétales</t>
  </si>
  <si>
    <t>6. Présence de ruches</t>
  </si>
  <si>
    <t>5. Nb espèces animales</t>
  </si>
  <si>
    <t>4. Nb espèces végétales</t>
  </si>
  <si>
    <t>3. Poids culture principale</t>
  </si>
  <si>
    <t>2. Taille parcelles</t>
  </si>
  <si>
    <t>1. Part de la surface de l'exploitation en IAE</t>
  </si>
  <si>
    <t>STRATÉGIE PHYTOSANITAIRE</t>
  </si>
  <si>
    <t>1. CMR</t>
  </si>
  <si>
    <t>Produits CMR1</t>
  </si>
  <si>
    <t>Produits herbicides CMR2</t>
  </si>
  <si>
    <t>Produits hors herbicides CMR2</t>
  </si>
  <si>
    <t>2. Surfaces non traitées</t>
  </si>
  <si>
    <t>Surfaces IAE</t>
  </si>
  <si>
    <t>Autres surfaces</t>
  </si>
  <si>
    <t>3. IFT</t>
  </si>
  <si>
    <t>IFTexp_GCH</t>
  </si>
  <si>
    <t>IFTexp_GCHH</t>
  </si>
  <si>
    <t>IFTexp_PdTH</t>
  </si>
  <si>
    <t>IFTexp_PdTHH</t>
  </si>
  <si>
    <t>IFTexp_VH</t>
  </si>
  <si>
    <t>IFTexp_VHH</t>
  </si>
  <si>
    <t>IFTexp_AH</t>
  </si>
  <si>
    <t>IFTexp_AHH</t>
  </si>
  <si>
    <t>Note_GCH</t>
  </si>
  <si>
    <t>Note_GCHH</t>
  </si>
  <si>
    <t>Note_VH</t>
  </si>
  <si>
    <t>Note_VHH</t>
  </si>
  <si>
    <t>Note_AH</t>
  </si>
  <si>
    <t>Note_AHH</t>
  </si>
  <si>
    <t>Note finale</t>
  </si>
  <si>
    <t>Notefinale</t>
  </si>
  <si>
    <t>5. Surveillance active</t>
  </si>
  <si>
    <t>Critère1</t>
  </si>
  <si>
    <t>Critère2</t>
  </si>
  <si>
    <t>Critère3</t>
  </si>
  <si>
    <t>Note_C1</t>
  </si>
  <si>
    <t>Note_C2</t>
  </si>
  <si>
    <t>Note_C3</t>
  </si>
  <si>
    <t>6. Utilisation de méthodes alternatives</t>
  </si>
  <si>
    <t>Note hors horticulture</t>
  </si>
  <si>
    <t>Note horticulture</t>
  </si>
  <si>
    <t>7. Condition d'applications</t>
  </si>
  <si>
    <t>Nb matériels utilisés</t>
  </si>
  <si>
    <t>Note_Vigne</t>
  </si>
  <si>
    <t>Note_Arbo</t>
  </si>
  <si>
    <t>Note_Lég fleurs fruits</t>
  </si>
  <si>
    <t>Note_Hors sol</t>
  </si>
  <si>
    <t>9. Couvert végétal inter-rang</t>
  </si>
  <si>
    <t>Ratio_Vigne</t>
  </si>
  <si>
    <t>Ratio_Arbo</t>
  </si>
  <si>
    <t>Note_Horti</t>
  </si>
  <si>
    <t>Ratio_Horti</t>
  </si>
  <si>
    <t>10. Recyclage eaux irrigation</t>
  </si>
  <si>
    <t>Ratio_Hors horti</t>
  </si>
  <si>
    <t>Ratio_Horti total</t>
  </si>
  <si>
    <t>Ratio_Horti partiel</t>
  </si>
  <si>
    <t>Note_Hors horti</t>
  </si>
  <si>
    <t>Note_Horti total</t>
  </si>
  <si>
    <t>Note_Horti partiel</t>
  </si>
  <si>
    <t>Ratio hors horticulture</t>
  </si>
  <si>
    <t>Ratio horticulture</t>
  </si>
  <si>
    <t>8. Diversité spécifique et variétale</t>
  </si>
  <si>
    <t>GESTION DE LA FERTILISATION</t>
  </si>
  <si>
    <t>1. Bilan azoté</t>
  </si>
  <si>
    <t>Méthode retenue</t>
  </si>
  <si>
    <t>Otex concernée</t>
  </si>
  <si>
    <t>Nb campagnes</t>
  </si>
  <si>
    <t>Solde bilan</t>
  </si>
  <si>
    <t>Part cultures mineures</t>
  </si>
  <si>
    <t>Note corrigée</t>
  </si>
  <si>
    <t>2. Quantité d'azote</t>
  </si>
  <si>
    <t>3. Part azote organique</t>
  </si>
  <si>
    <t>4. Utilisation d'OAD</t>
  </si>
  <si>
    <t>CPpale_GC_Note</t>
  </si>
  <si>
    <t>CPpale_CP_Note</t>
  </si>
  <si>
    <t>CMin_Note</t>
  </si>
  <si>
    <t>5. % SAU non fertilisée</t>
  </si>
  <si>
    <t>4. Quantité substances</t>
  </si>
  <si>
    <t>6. Part des légumineuses</t>
  </si>
  <si>
    <t>Surface lég. inter-rang</t>
  </si>
  <si>
    <t xml:space="preserve">Surface lég. </t>
  </si>
  <si>
    <t>7. Couverture des sols</t>
  </si>
  <si>
    <t>ZV_Socle</t>
  </si>
  <si>
    <t>ZV_Surface couverte</t>
  </si>
  <si>
    <t>ZV_Nb semaines</t>
  </si>
  <si>
    <t>ZV_Note</t>
  </si>
  <si>
    <t>ZV_Note pondérée</t>
  </si>
  <si>
    <t>HZV_Socle</t>
  </si>
  <si>
    <t>HZV_Surface couverte</t>
  </si>
  <si>
    <t>HZV_Nb semaines</t>
  </si>
  <si>
    <t>HZV_Note</t>
  </si>
  <si>
    <t>HZV_Note pondérée</t>
  </si>
  <si>
    <t>8. Matériels optimisant les apports</t>
  </si>
  <si>
    <t>v1.04</t>
  </si>
  <si>
    <t>GESTION DE L'IRRIGATION</t>
  </si>
  <si>
    <t>Informations préalables</t>
  </si>
  <si>
    <t>Expl. irrigante</t>
  </si>
  <si>
    <t>% surface irriguée</t>
  </si>
  <si>
    <t>1. Enregistrement des pratiques</t>
  </si>
  <si>
    <t>Présence cahier</t>
  </si>
  <si>
    <t>Part données manquantes</t>
  </si>
  <si>
    <t>2. Utilisation d'outils de mesure</t>
  </si>
  <si>
    <t>Nb_outils_offre</t>
  </si>
  <si>
    <t>Nb_outils_demande</t>
  </si>
  <si>
    <t>Horti_Ratio</t>
  </si>
  <si>
    <t>Horti_Note</t>
  </si>
  <si>
    <t>4. Adhésion démarche co</t>
  </si>
  <si>
    <t>Adhésion</t>
  </si>
  <si>
    <t>5. Pratiques agronomiques</t>
  </si>
  <si>
    <t>6. Prélèvements étiage</t>
  </si>
  <si>
    <t>8. Récupération eaux pluie</t>
  </si>
  <si>
    <t>Présence dispositif</t>
  </si>
  <si>
    <t>3. Mat. optimisant apports</t>
  </si>
  <si>
    <t>Nb_outils mixtes</t>
  </si>
  <si>
    <t>Identification</t>
  </si>
  <si>
    <t>Contexte de l'audit</t>
  </si>
  <si>
    <t>Organisme auditeur</t>
  </si>
  <si>
    <t>Type de certification</t>
  </si>
  <si>
    <t>Type d'audit</t>
  </si>
  <si>
    <t>Nature de l'audit</t>
  </si>
  <si>
    <t>Identification exploitation auditée</t>
  </si>
  <si>
    <t>Caractéristiques générales</t>
  </si>
  <si>
    <t>Surfaces</t>
  </si>
  <si>
    <t>Surface exploitation</t>
  </si>
  <si>
    <t>Surface totale</t>
  </si>
  <si>
    <t>SAU</t>
  </si>
  <si>
    <t>Campagne évaluée</t>
  </si>
  <si>
    <t>Structure collective</t>
  </si>
  <si>
    <t>Nom de l'auditeur</t>
  </si>
  <si>
    <t>Version du référentiel appliquée</t>
  </si>
  <si>
    <t>Date de l'audit interne</t>
  </si>
  <si>
    <t>v4 - 2022</t>
  </si>
  <si>
    <t>Correction de la formule en M55 pour qu'elle n'affiche rien tant que le nombre de campagnes n'est pas saisi, et non "0".</t>
  </si>
  <si>
    <t>Structure du fichier</t>
  </si>
  <si>
    <t>Protéagineux et lég. à grain</t>
  </si>
  <si>
    <t>Fourrages</t>
  </si>
  <si>
    <t>Surfaces en herbe</t>
  </si>
  <si>
    <t>Cultures industrielles</t>
  </si>
  <si>
    <t>Légumes, fleurs, fruits hors arbo</t>
  </si>
  <si>
    <t>Autres cultures pérennes</t>
  </si>
  <si>
    <t>N°</t>
  </si>
  <si>
    <t>*</t>
  </si>
  <si>
    <t>Version de la certification en cours</t>
  </si>
  <si>
    <t>inutile ici</t>
  </si>
  <si>
    <t>Nouvelle colonne</t>
  </si>
  <si>
    <t>V4</t>
  </si>
  <si>
    <t>Commentaire</t>
  </si>
  <si>
    <t>-</t>
  </si>
  <si>
    <t>Accord annuaire</t>
  </si>
  <si>
    <t>Contexte de l'audit interne de niveau 3</t>
  </si>
  <si>
    <t>Données spécifiques pour les structures collectives</t>
  </si>
  <si>
    <t>Email</t>
  </si>
  <si>
    <t>CPds_Mur pierres</t>
  </si>
  <si>
    <t>CDiv_Nb</t>
  </si>
  <si>
    <t>Exhaustif</t>
  </si>
  <si>
    <t xml:space="preserve">Les cases surmontées d'un * (Y, Z et AA) sont à remplir manuellement, l'information n'étant pas disponible dans le fichier. </t>
  </si>
  <si>
    <t xml:space="preserve">Les cases surmontées d'un * (Z, AA, AB, AE et HJ) sont à remplir manuellement, l'information n'étant pas disponible dans le fichier. </t>
  </si>
  <si>
    <t>Ajout d'un onglet BDD_SC rassemblant des données pour les structures collectives.
Changement du nom de l'onglet BDD en BDD_OC, onglet destiné aux organismes certificateurs.</t>
  </si>
  <si>
    <t>v1.05</t>
  </si>
  <si>
    <t>Onglet Surfaces</t>
  </si>
  <si>
    <t>Onglet Synthèse</t>
  </si>
  <si>
    <t xml:space="preserve">Correction du calcul de la SAU en campagne n-1 et n-2 (cases P162 et P163) pour que les jachères noires soient prises en compte dans la somme (comme pour l'année n). </t>
  </si>
  <si>
    <t xml:space="preserve">Observations de l'auditeur : </t>
  </si>
  <si>
    <t xml:space="preserve">Observations de l'exploitant : </t>
  </si>
  <si>
    <t>Onglet ou item concerné</t>
  </si>
  <si>
    <t>Signature de l'auditeur :</t>
  </si>
  <si>
    <t xml:space="preserve">Signature de l'exploitant : </t>
  </si>
  <si>
    <t>Déverrouillage des zones de signature pour pouvoir insérer des formes ou des images.
Ajout du nom de l'exploitant et de l'auditeur au niveau des zones de saisie libre "Observations" et "Signatures".</t>
  </si>
  <si>
    <t>Autres arbres et arbustes en pot</t>
  </si>
  <si>
    <t>Plantes à massif, plantes vivaces, plants potagers en pot</t>
  </si>
  <si>
    <t>Autres fleurs coupées en pot</t>
  </si>
  <si>
    <t>Autres cultures couvertes pleine terre</t>
  </si>
  <si>
    <t>Fleurs coupées d'été pleine terre</t>
  </si>
  <si>
    <t>Autres cultures non couvertes pleine terre</t>
  </si>
  <si>
    <t>Légumes, fleurs, fruits hors arboriculture en plein air - pleine terre</t>
  </si>
  <si>
    <t>Légumes, fleurs, fruits hors arboriculture sous tunnel - pleine terre</t>
  </si>
  <si>
    <t>Légumes, fleurs, fruits hors arboriculture sous serre - pleine terre</t>
  </si>
  <si>
    <t>Toutes cultures hors sol (plantes en pots, hydroponie…)</t>
  </si>
  <si>
    <t>v1.06</t>
  </si>
  <si>
    <t>SAU cultivée en horticulture - pépinière lors du mois considéré</t>
  </si>
  <si>
    <r>
      <t xml:space="preserve">SAU cultivée en horticulture - pépinière </t>
    </r>
    <r>
      <rPr>
        <i/>
        <u/>
        <sz val="11"/>
        <color theme="1"/>
        <rFont val="Calibri"/>
        <family val="2"/>
        <scheme val="minor"/>
      </rPr>
      <t>hors sol</t>
    </r>
    <r>
      <rPr>
        <i/>
        <sz val="11"/>
        <color theme="1"/>
        <rFont val="Calibri"/>
        <family val="2"/>
        <scheme val="minor"/>
      </rPr>
      <t xml:space="preserve"> lors du mois considéré</t>
    </r>
  </si>
  <si>
    <t xml:space="preserve">Productions couvertes </t>
  </si>
  <si>
    <t>Productions extérieures</t>
  </si>
  <si>
    <t>Surface moy. / mois</t>
  </si>
  <si>
    <t>Onglet Surfaces_Horti</t>
  </si>
  <si>
    <r>
      <t xml:space="preserve">Surface des cultures "mineures" - </t>
    </r>
    <r>
      <rPr>
        <b/>
        <i/>
        <sz val="11"/>
        <color rgb="FFFF0000"/>
        <rFont val="Calibri"/>
        <family val="2"/>
        <scheme val="minor"/>
      </rPr>
      <t>SAISIE OBLIGATOIRE</t>
    </r>
  </si>
  <si>
    <t>Pour la surface en cultures mineures, remplir obligatoirement la case M58 dans l'item 1. Bilan azoté</t>
  </si>
  <si>
    <t>Surface non cultivée</t>
  </si>
  <si>
    <t>mois n°… de la campagne n-1</t>
  </si>
  <si>
    <t>mois n°… de la campagne évaluée (n)</t>
  </si>
  <si>
    <t xml:space="preserve">Attention : cette valeur doit être la même tous les mois. Cette ligne sert de vérification de la cohérence des surfaces de l'exploitation dédiées à l'horticulture. </t>
  </si>
  <si>
    <r>
      <t xml:space="preserve">Attention : cette valeur doit être la même tous les mois. Cette ligne sert de vérification de la cohérence des surfaces de l'exploitation dédiées à l'horticulture </t>
    </r>
    <r>
      <rPr>
        <i/>
        <u/>
        <sz val="11"/>
        <color theme="1"/>
        <rFont val="Calibri"/>
        <family val="2"/>
        <scheme val="minor"/>
      </rPr>
      <t>hors sol</t>
    </r>
    <r>
      <rPr>
        <i/>
        <sz val="11"/>
        <color theme="1"/>
        <rFont val="Calibri"/>
        <family val="2"/>
        <scheme val="minor"/>
      </rPr>
      <t xml:space="preserve">. </t>
    </r>
  </si>
  <si>
    <t>Surfaces par année (en ha)</t>
  </si>
  <si>
    <t>Annexe 5  Fourchettes de consommation "Horticultures et pépinières"</t>
  </si>
  <si>
    <t>Annexe 2 : Liste des infrastructures agro-écologiques</t>
  </si>
  <si>
    <t>Item IFT</t>
  </si>
  <si>
    <t>Codes et libellés des départements / régions / bassins viticoles</t>
  </si>
  <si>
    <r>
      <t xml:space="preserve">Surface </t>
    </r>
    <r>
      <rPr>
        <u/>
        <sz val="11"/>
        <color theme="1"/>
        <rFont val="Calibri"/>
        <family val="2"/>
        <scheme val="minor"/>
      </rPr>
      <t>hors sol</t>
    </r>
    <r>
      <rPr>
        <sz val="11"/>
        <color theme="1"/>
        <rFont val="Calibri"/>
        <family val="2"/>
        <scheme val="minor"/>
      </rPr>
      <t xml:space="preserve"> non cultivée</t>
    </r>
  </si>
  <si>
    <r>
      <t xml:space="preserve">Surface </t>
    </r>
    <r>
      <rPr>
        <u/>
        <sz val="11"/>
        <color theme="1"/>
        <rFont val="Calibri"/>
        <family val="2"/>
        <scheme val="minor"/>
      </rPr>
      <t>totale</t>
    </r>
    <r>
      <rPr>
        <sz val="11"/>
        <color theme="1"/>
        <rFont val="Calibri"/>
        <family val="2"/>
        <scheme val="minor"/>
      </rPr>
      <t xml:space="preserve"> (pleine terre + hors sol) non cultivée</t>
    </r>
  </si>
  <si>
    <t xml:space="preserve">Nouvel onglet de saisie mensuelle des surfaces cultivées en horticulture et des surfaces dédiées à l'horticulture non cultivées chaque mois. Le tableau Annexe Horticulture est alimenté automatiquement à partir de ce nouvel onglet. </t>
  </si>
  <si>
    <t>Substances actives (kg sa/an)</t>
  </si>
  <si>
    <t>Azote (kg N/an)</t>
  </si>
  <si>
    <t xml:space="preserve">Correction de la proratisation des points pour les "légumes, fleurs et fruits hors arboriculture" en excluant la surface en pommes de terre, non concernées par cet item. </t>
  </si>
  <si>
    <t>Saisir les données dans l'onglet "Surfaces_Horti".</t>
  </si>
  <si>
    <t>v1.07</t>
  </si>
  <si>
    <t>Correction des formules en lignes 284 et 285 pour que les calculs se fassent seulement si la réponse est "Oui" sur le critère socle.</t>
  </si>
  <si>
    <t>Onglet BDD_SC</t>
  </si>
  <si>
    <t>Onglet BDD_OC</t>
  </si>
  <si>
    <t>Ajout d'une colonne pour indiquer la date de 1ère certification sur la version v4.</t>
  </si>
  <si>
    <t xml:space="preserve">Ajout d'une colonne indiquant la version de la grille d'audit. </t>
  </si>
  <si>
    <t xml:space="preserve">En noir : </t>
  </si>
  <si>
    <t>modifications n'impactant pas le calcul des items et les points obtenus</t>
  </si>
  <si>
    <t>modifications impactant le calcul des items et les points obtenus</t>
  </si>
  <si>
    <t xml:space="preserve">En rouge : </t>
  </si>
  <si>
    <r>
      <t xml:space="preserve">Dans le tableau Légumes, fleurs, fruits hors arboriculture : lignes 133, 134, 135, précision qu'il s'agit de cultures de pleine terre, la ligne 136 regroupant toutes les surfaces hors sol. 
</t>
    </r>
    <r>
      <rPr>
        <sz val="11"/>
        <color rgb="FFFF0000"/>
        <rFont val="Calibri"/>
        <family val="2"/>
        <scheme val="minor"/>
      </rPr>
      <t>Dans le tableau Annexe Horticulture et pépinière : 
- modification de la classification des plantes entre hors sol et pleine terre ;</t>
    </r>
    <r>
      <rPr>
        <sz val="11"/>
        <color theme="1"/>
        <rFont val="Calibri"/>
        <family val="2"/>
        <scheme val="minor"/>
      </rPr>
      <t xml:space="preserve">
- suppression de la saisie dans ce tableau (cf. nouvel onglet Surfaces_Horti)</t>
    </r>
  </si>
  <si>
    <r>
      <t xml:space="preserve">Correction des formules de calcul des IFT de référence (grandes cultures et viticulture) pour que le résultat ne s'affiche qu'à partir du moment où des surfaces concernées sont saisies dans l'onglet Surfaces. 
</t>
    </r>
    <r>
      <rPr>
        <sz val="11"/>
        <color rgb="FFFF0000"/>
        <rFont val="Calibri"/>
        <family val="2"/>
        <scheme val="minor"/>
      </rPr>
      <t xml:space="preserve">Correction du calcul de l'IFT exploitant grandes cultures + pomme de terre (calcul masqué), prenant en compte l'IFT exploitant grandes cultures et l'IFT exploitant pomme de terre déclarés dans le tableau J88:M89 et permettant d'attribuer les points :
- dans le cas d'une exploitation faisant de la pomme de terre mais n'ayant pas de surfaces en grandes cultures ni prairies temporaires, l'IFT exploitant ne se calculait pas ;
- les surfaces en prairies permanentes étaient intégrées dans la moyenne pondérée : elles ont été enlevées.  </t>
    </r>
  </si>
  <si>
    <t>Version de la grille d'audit utilisée pour l'audit</t>
  </si>
  <si>
    <t>Couverture des sols + Onglet BDD_SC</t>
  </si>
  <si>
    <t>v1.08</t>
  </si>
  <si>
    <r>
      <rPr>
        <sz val="11"/>
        <color rgb="FFFF0000"/>
        <rFont val="Calibri"/>
        <family val="2"/>
        <scheme val="minor"/>
      </rPr>
      <t xml:space="preserve">Dans l'item Couverture des sols (Fertilisation) : correction des formules en cases O267 et O271 pour que la surface affichée reste 0 tant que la part de surface en zone vulnérable (case O257) n'est pas saisie. </t>
    </r>
    <r>
      <rPr>
        <sz val="11"/>
        <color theme="1"/>
        <rFont val="Calibri"/>
        <family val="2"/>
        <scheme val="minor"/>
      </rPr>
      <t xml:space="preserve">
Dans l'onglet BDD_SC : modification des formules GF6 à GJ6 pour que rien de s'affiche si la case O257 de l'item Couverture des sols n'est pas saisie. </t>
    </r>
  </si>
  <si>
    <t>Saisir cette case pour que les points de l'indicateur soient calculés.</t>
  </si>
  <si>
    <t xml:space="preserve">Pour chaque item, une condition a été ajoutée pour le calcul final des points : si l'utilisation de CMR1 n'est pas renseignée (case vide), le résultat de tous les items reste 0. </t>
  </si>
  <si>
    <t>Onglet Phyto</t>
  </si>
  <si>
    <t xml:space="preserve">Correction de la formule d'attrbution finale des points (case P64) qui ne se calcule que si la part en cultures mineures est saisie. Sinon, le résultat reste à 0. </t>
  </si>
  <si>
    <t xml:space="preserve">Remarque : impact sur le résultat par rapport aux précédentes versions de la grille si cette donnée (déjà obligatoire) n'avait pas été saisie. </t>
  </si>
  <si>
    <t xml:space="preserve">Remarque : impact sur le résultat par rapport aux précédentes versions de la grille si cette information (déjà obligatoire) n'avait pas été saisie. </t>
  </si>
  <si>
    <t>Nom cellule</t>
  </si>
  <si>
    <t>Valeur</t>
  </si>
  <si>
    <t>Num feuille</t>
  </si>
  <si>
    <t>Chemin cellule</t>
  </si>
  <si>
    <t>Nom feuille inter 1</t>
  </si>
  <si>
    <t>Nom feuille inter 2</t>
  </si>
  <si>
    <t>Nom feuille</t>
  </si>
  <si>
    <t>Num ligne</t>
  </si>
  <si>
    <t>Num colonne</t>
  </si>
  <si>
    <t>Obligatoire</t>
  </si>
  <si>
    <t>Format</t>
  </si>
  <si>
    <t>Longueur</t>
  </si>
  <si>
    <t>CTRL1 - Vérif valeurs obligatoires</t>
  </si>
  <si>
    <t>DATE_AUDIT</t>
  </si>
  <si>
    <t>TYPE_CERTIF</t>
  </si>
  <si>
    <t>TYPE_AUDIT</t>
  </si>
  <si>
    <t>ORGA_AUDITEUR</t>
  </si>
  <si>
    <t>NOM_AUDITEUR</t>
  </si>
  <si>
    <t>CAMPAGNE_EVALUEE</t>
  </si>
  <si>
    <t>DUREE_AUDIT</t>
  </si>
  <si>
    <t>NOM_EXPLOITANT</t>
  </si>
  <si>
    <t>RAISOC_EXPLOITATION</t>
  </si>
  <si>
    <t>SIRET_EXPLOITATION</t>
  </si>
  <si>
    <t>CVI_EXPLOITATION</t>
  </si>
  <si>
    <t>ANNEE_CREATION_EXPLOITATION</t>
  </si>
  <si>
    <t>ADRESSE_EXPLOITATION_SIEGE</t>
  </si>
  <si>
    <t>COMPLEMENT_ADRESSE_EXPLOITATION_SIEGE</t>
  </si>
  <si>
    <t>CODE_POSTAL_EXPLOITATION_SIEGE</t>
  </si>
  <si>
    <t>COMMUNE_EXPLOITATION_SIEGE</t>
  </si>
  <si>
    <t>DEPARTEMENT_EXPLOITATION_SIEGE</t>
  </si>
  <si>
    <t>REGION_EXPLOITATION_SIEGE</t>
  </si>
  <si>
    <t>BASSIN_VITICOLE_EXPLOITATION_SIEGE</t>
  </si>
  <si>
    <t>NUMERO_EXPLOITATION_SIEGE</t>
  </si>
  <si>
    <t>EMAIL_EXPLOITATION</t>
  </si>
  <si>
    <t>SITE_INTERNET_EXPLOITATION</t>
  </si>
  <si>
    <t>REF_ANNUAIRE</t>
  </si>
  <si>
    <t>STATUT_JURIDIQUE</t>
  </si>
  <si>
    <t>V_ACTIVITE_PRINCIPALE</t>
  </si>
  <si>
    <t>V_ACTIVITE_SECOND</t>
  </si>
  <si>
    <t>V_AUTRE_ACTIVITE</t>
  </si>
  <si>
    <t>A_ACTIVITE_PRINCIPALE</t>
  </si>
  <si>
    <t>A_ACTIVITE_SECOND</t>
  </si>
  <si>
    <t>A_AUTRE_ACTIVITE</t>
  </si>
  <si>
    <t>VENTE_DIRECTE</t>
  </si>
  <si>
    <t>DEMARCHE_NIV2</t>
  </si>
  <si>
    <t>AUTRE_DEMARCHE1</t>
  </si>
  <si>
    <t>SURF_TOT_EXP_N</t>
  </si>
  <si>
    <t>SAU_N</t>
  </si>
  <si>
    <t>SNE_N</t>
  </si>
  <si>
    <t>FUMIER_N</t>
  </si>
  <si>
    <t>ZONE_STOCKAGE_N</t>
  </si>
  <si>
    <t>PEUPLERAIE_N</t>
  </si>
  <si>
    <t>SAPIN_NOEL_N</t>
  </si>
  <si>
    <t>PROD_OSIER_N</t>
  </si>
  <si>
    <t>AJONC_N</t>
  </si>
  <si>
    <t>SOL_NU_N</t>
  </si>
  <si>
    <t>TOURNIERE_N</t>
  </si>
  <si>
    <t>CHEMIN_RAMPE_N</t>
  </si>
  <si>
    <t>PASSAGE_ENROULEUR_N</t>
  </si>
  <si>
    <t>SEPARATION_CULTURE_PROD_SEMENCE_N</t>
  </si>
  <si>
    <t>SEPARATION_CULTURE_MARAICHAGE_N</t>
  </si>
  <si>
    <t>ESPACE_DEUX_SERRES_N</t>
  </si>
  <si>
    <t>PARCOURS_ENHERBES_VOLAILLES_N</t>
  </si>
  <si>
    <t>PANNEAUX_PHOTO_N</t>
  </si>
  <si>
    <t>SURF_TRAVAUX_N</t>
  </si>
  <si>
    <t>SURF_FOUILLES_N</t>
  </si>
  <si>
    <t>SURF_VIGNE_ARRACHEE_N</t>
  </si>
  <si>
    <t>SNA_N</t>
  </si>
  <si>
    <t>ELEMENTS_ARTIFICIELS_N</t>
  </si>
  <si>
    <t>VEGETAUX_NATURELS_N</t>
  </si>
  <si>
    <t>AUTRES_ELEMENTS_NATURELS_N</t>
  </si>
  <si>
    <t>MARAIS_SALANTS_N</t>
  </si>
  <si>
    <t>ZDH_N</t>
  </si>
  <si>
    <t>BLE_TENDRE_N</t>
  </si>
  <si>
    <t>BLE_DUR_N</t>
  </si>
  <si>
    <t>MAIS_N</t>
  </si>
  <si>
    <t>ORGE_N</t>
  </si>
  <si>
    <t>TRITICALE_N</t>
  </si>
  <si>
    <t>RIZ_N</t>
  </si>
  <si>
    <t>AUTRES_CEREALES_N</t>
  </si>
  <si>
    <t>COLZA_NAVETTE_N</t>
  </si>
  <si>
    <t>TOURNESOL_N</t>
  </si>
  <si>
    <t>SOJA_N</t>
  </si>
  <si>
    <t>AUTRES_OLEAGINEUX_N</t>
  </si>
  <si>
    <t>POIS_PROTEAGINEUX_N</t>
  </si>
  <si>
    <t>AUTRES_PROTEAGINEUX_N</t>
  </si>
  <si>
    <t>LEGUMES_SEC_N</t>
  </si>
  <si>
    <t>MELANGES_CULTURE_N</t>
  </si>
  <si>
    <t>CHANVRE_LIN_N</t>
  </si>
  <si>
    <t>JACHERE_5ANS_MOINS_N</t>
  </si>
  <si>
    <t>JACHERE_6ANS_PLUS_N</t>
  </si>
  <si>
    <t>JACHERE_NOIRE_N</t>
  </si>
  <si>
    <t>DESHYDRATATION_N</t>
  </si>
  <si>
    <t>MAIS_FOURRAGE_ENSILAGE_N</t>
  </si>
  <si>
    <t>AUTRES_FOURRAGES_N</t>
  </si>
  <si>
    <t>PT_LEGUMINEUSE_PURE_N</t>
  </si>
  <si>
    <t>PT_MELANGE_LEGUMINEUSE_N</t>
  </si>
  <si>
    <t>PT_GRAMINEE_PURE_N</t>
  </si>
  <si>
    <t>PT_MELANGE_GRAMINEE_N</t>
  </si>
  <si>
    <t>PT_MELANGE_COMPLEXE_N</t>
  </si>
  <si>
    <t>PP_NON_FERTILISEES_N</t>
  </si>
  <si>
    <t>PP_FERTILISEES_N</t>
  </si>
  <si>
    <t>AUTRES_PRAIRIES_N</t>
  </si>
  <si>
    <t>BETTERAVES_INDUSTRIELLES_N</t>
  </si>
  <si>
    <t>AUTRES_CULTURES_INDUSTRIELLES_N</t>
  </si>
  <si>
    <t>POMMES_DE_TERRES_N</t>
  </si>
  <si>
    <t>LEGUMES_FLEURS_PLEIN_AIR_N</t>
  </si>
  <si>
    <t>LEGUMES_FLEURS_TUNNEL_N</t>
  </si>
  <si>
    <t>LEGUMES_FLEURS_SERRE_N</t>
  </si>
  <si>
    <t>TOUTES_CULTURES_HORS_SOL_N</t>
  </si>
  <si>
    <t>VIGNES_N</t>
  </si>
  <si>
    <t>AUTRES_CULTURES_PERMANENTES_N</t>
  </si>
  <si>
    <t>SURF_TOT_EXP_N1</t>
  </si>
  <si>
    <t>SAU_N1</t>
  </si>
  <si>
    <t>SNE_N1</t>
  </si>
  <si>
    <t>FUMIER_N1</t>
  </si>
  <si>
    <t>ZONE_STOCKAGE_N1</t>
  </si>
  <si>
    <t>PEUPLERAIE_N1</t>
  </si>
  <si>
    <t>SAPIN_NOEL_N1</t>
  </si>
  <si>
    <t>PROD_OSIER_N1</t>
  </si>
  <si>
    <t>AJONC_N1</t>
  </si>
  <si>
    <t>SOL_NU_N1</t>
  </si>
  <si>
    <t>TOURNIERE_N1</t>
  </si>
  <si>
    <t>CHEMIN_RAMPE_N1</t>
  </si>
  <si>
    <t>PASSAGE_ENROULEUR_N1</t>
  </si>
  <si>
    <t>SEPARATION_CULTURE_PROD_SEMENCE_N1</t>
  </si>
  <si>
    <t>SEPARATION_CULTURE_MARAICHAGE_N1</t>
  </si>
  <si>
    <t>ESPACE_DEUX_SERRES_N1</t>
  </si>
  <si>
    <t>PARCOURS_ENHERBES_VOLAILLES_N1</t>
  </si>
  <si>
    <t>PANNEAUX_PHOTO_N1</t>
  </si>
  <si>
    <t>SURF_TRAVAUX_N1</t>
  </si>
  <si>
    <t>SURF_FOUILLES_N1</t>
  </si>
  <si>
    <t>SURF_VIGNE_ARRACHEE_N1</t>
  </si>
  <si>
    <t>SNA_N1</t>
  </si>
  <si>
    <t>ELEMENTS_ARTIFICIELS_N1</t>
  </si>
  <si>
    <t>VEGETAUX_NATURELS_N1</t>
  </si>
  <si>
    <t>AUTRES_ELEMENTS_NATURELS_N1</t>
  </si>
  <si>
    <t>MARAIS_SALANTS_N1</t>
  </si>
  <si>
    <t>ZDH_N1</t>
  </si>
  <si>
    <t>BLE_TENDRE_N1</t>
  </si>
  <si>
    <t>BLE_DUR_N1</t>
  </si>
  <si>
    <t>MAIS_N1</t>
  </si>
  <si>
    <t>ORGE_N1</t>
  </si>
  <si>
    <t>TRITICALE_N1</t>
  </si>
  <si>
    <t>RIZ_N1</t>
  </si>
  <si>
    <t>AUTRES_CEREALES_N1</t>
  </si>
  <si>
    <t>COLZA_NAVETTE_N1</t>
  </si>
  <si>
    <t>TOURNESOL_N1</t>
  </si>
  <si>
    <t>SOJA_N1</t>
  </si>
  <si>
    <t>AUTRES_OLEAGINEUX_N1</t>
  </si>
  <si>
    <t>POIS_PROTEAGINEUX_N1</t>
  </si>
  <si>
    <t>AUTRES_PROTEAGINEUX_N1</t>
  </si>
  <si>
    <t>LEGUMES_SEC_N1</t>
  </si>
  <si>
    <t>MELANGES_CULTURE_N1</t>
  </si>
  <si>
    <t>CHANVRE_LIN_N1</t>
  </si>
  <si>
    <t>JACHERE_5ANS_MOINS_N1</t>
  </si>
  <si>
    <t>JACHERE_6ANS_PLUS_N1</t>
  </si>
  <si>
    <t>JACHERE_NOIRE_N1</t>
  </si>
  <si>
    <t>DESHYDRATATION_N1</t>
  </si>
  <si>
    <t>MAIS_FOURRAGE_ENSILAGE_N1</t>
  </si>
  <si>
    <t>AUTRES_FOURRAGES_N1</t>
  </si>
  <si>
    <t>PT_LEGUMINEUSE_PURE_N1</t>
  </si>
  <si>
    <t>PT_MELANGE_LEGUMINEUSE_N1</t>
  </si>
  <si>
    <t>PT_GRAMINEE_PURE_N1</t>
  </si>
  <si>
    <t>PT_MELANGE_GRAMINEE_N1</t>
  </si>
  <si>
    <t>PT_MELANGE_COMPLEXE_N1</t>
  </si>
  <si>
    <t>PP_NON_FERTILISEES_N1</t>
  </si>
  <si>
    <t>PP_FERTILISEES_N1</t>
  </si>
  <si>
    <t>AUTRES_PRAIRIES_N1</t>
  </si>
  <si>
    <t>BETTERAVES_INDUSTRIELLES_N1</t>
  </si>
  <si>
    <t>AUTRES_CULTURES_INDUSTRIELLES_N1</t>
  </si>
  <si>
    <t>POMMES_DE_TERRES_N1</t>
  </si>
  <si>
    <t>LEGUMES_FLEURS_PLEIN_AIR_N1</t>
  </si>
  <si>
    <t>LEGUMES_FLEURS_TUNNEL_N1</t>
  </si>
  <si>
    <t>LEGUMES_FLEURS_SERRE_N1</t>
  </si>
  <si>
    <t>TOUTES_CULTURES_HORS_SOL_N1</t>
  </si>
  <si>
    <t>VIGNES_N1</t>
  </si>
  <si>
    <t>AUTRES_CULTURES_PERMANENTES_N1</t>
  </si>
  <si>
    <t>SURF_TOT_EXP_N2</t>
  </si>
  <si>
    <t>SAU_N2</t>
  </si>
  <si>
    <t>SNE_N2</t>
  </si>
  <si>
    <t>FUMIER_N2</t>
  </si>
  <si>
    <t>ZONE_STOCKAGE_N2</t>
  </si>
  <si>
    <t>PEUPLERAIE_N2</t>
  </si>
  <si>
    <t>SAPIN_NOEL_N2</t>
  </si>
  <si>
    <t>PROD_OSIER_N2</t>
  </si>
  <si>
    <t>AJONC_N2</t>
  </si>
  <si>
    <t>SOL_NU_N2</t>
  </si>
  <si>
    <t>TOURNIERE_N2</t>
  </si>
  <si>
    <t>CHEMIN_RAMPE_N2</t>
  </si>
  <si>
    <t>PASSAGE_ENROULEUR_N2</t>
  </si>
  <si>
    <t>SEPARATION_CULTURE_PROD_SEMENCE_N2</t>
  </si>
  <si>
    <t>SEPARATION_CULTURE_MARAICHAGE_N2</t>
  </si>
  <si>
    <t>ESPACE_DEUX_SERRES_N2</t>
  </si>
  <si>
    <t>PARCOURS_ENHERBES_VOLAILLES_N2</t>
  </si>
  <si>
    <t>PANNEAUX_PHOTO_N2</t>
  </si>
  <si>
    <t>SURF_TRAVAUX_N2</t>
  </si>
  <si>
    <t>SURF_FOUILLES_N2</t>
  </si>
  <si>
    <t>SURF_VIGNE_ARRACHEE_N2</t>
  </si>
  <si>
    <t>SNA_N2</t>
  </si>
  <si>
    <t>ELEMENTS_ARTIFICIELS_N2</t>
  </si>
  <si>
    <t>VEGETAUX_NATURELS_N2</t>
  </si>
  <si>
    <t>AUTRES_ELEMENTS_NATURELS_N2</t>
  </si>
  <si>
    <t>MARAIS_SALANTS_N2</t>
  </si>
  <si>
    <t>ZDH_N2</t>
  </si>
  <si>
    <t>BLE_TENDRE_N2</t>
  </si>
  <si>
    <t>BLE_DUR_N2</t>
  </si>
  <si>
    <t>MAIS_N2</t>
  </si>
  <si>
    <t>ORGE_N2</t>
  </si>
  <si>
    <t>TRITICALE_N2</t>
  </si>
  <si>
    <t>RIZ_N2</t>
  </si>
  <si>
    <t>AUTRES_CEREALES_N2</t>
  </si>
  <si>
    <t>COLZA_NAVETTE_N2</t>
  </si>
  <si>
    <t>TOURNESOL_N2</t>
  </si>
  <si>
    <t>SOJA_N2</t>
  </si>
  <si>
    <t>AUTRES_OLEAGINEUX_N2</t>
  </si>
  <si>
    <t>POIS_PROTEAGINEUX_N2</t>
  </si>
  <si>
    <t>AUTRES_PROTEAGINEUX_N2</t>
  </si>
  <si>
    <t>LEGUMES_SEC_N2</t>
  </si>
  <si>
    <t>MELANGES_CULTURE_N2</t>
  </si>
  <si>
    <t>CHANVRE_LIN_N2</t>
  </si>
  <si>
    <t>JACHERE_5ANS_MOINS_N2</t>
  </si>
  <si>
    <t>JACHERE_6ANS_PLUS_N2</t>
  </si>
  <si>
    <t>JACHERE_NOIRE_N2</t>
  </si>
  <si>
    <t>DESHYDRATATION_N2</t>
  </si>
  <si>
    <t>MAIS_FOURRAGE_ENSILAGE_N2</t>
  </si>
  <si>
    <t>AUTRES_FOURRAGES_N2</t>
  </si>
  <si>
    <t>PT_LEGUMINEUSE_PURE_N2</t>
  </si>
  <si>
    <t>PT_MELANGE_LEGUMINEUSE_N2</t>
  </si>
  <si>
    <t>PT_GRAMINEE_PURE_N2</t>
  </si>
  <si>
    <t>PT_MELANGE_GRAMINEE_N2</t>
  </si>
  <si>
    <t>PT_MELANGE_COMPLEXE_N2</t>
  </si>
  <si>
    <t>PP_NON_FERTILISEES_N2</t>
  </si>
  <si>
    <t>PP_FERTILISEES_N2</t>
  </si>
  <si>
    <t>AUTRES_PRAIRIES_N2</t>
  </si>
  <si>
    <t>BETTERAVES_INDUSTRIELLES_N2</t>
  </si>
  <si>
    <t>AUTRES_CULTURES_INDUSTRIELLES_N2</t>
  </si>
  <si>
    <t>POMMES_DE_TERRES_N2</t>
  </si>
  <si>
    <t>LEGUMES_FLEURS_PLEIN_AIR_N2</t>
  </si>
  <si>
    <t>LEGUMES_FLEURS_TUNNEL_N2</t>
  </si>
  <si>
    <t>LEGUMES_FLEURS_SERRE_N2</t>
  </si>
  <si>
    <t>TOUTES_CULTURES_HORS_SOL_N2</t>
  </si>
  <si>
    <t>VIGNES_N2</t>
  </si>
  <si>
    <t>AUTRES_CULTURES_PERMANENTES_N2</t>
  </si>
  <si>
    <t>VERGER_CHOIX01</t>
  </si>
  <si>
    <t>VERGER_CHOIX02</t>
  </si>
  <si>
    <t>VERGER_CHOIX03</t>
  </si>
  <si>
    <t>VERGER_CHOIX04</t>
  </si>
  <si>
    <t>VERGER_CHOIX05</t>
  </si>
  <si>
    <t>VERGER_CHOIX06</t>
  </si>
  <si>
    <t>VERGER_CHOIX07</t>
  </si>
  <si>
    <t>VERGER_CHOIX08</t>
  </si>
  <si>
    <t>VERGER_CHOIX09</t>
  </si>
  <si>
    <t>VERGER_CHOIX10</t>
  </si>
  <si>
    <t>VERGER_CHOIX11</t>
  </si>
  <si>
    <t>VERGER_CHOIX12</t>
  </si>
  <si>
    <t>VERGER_CHOIX13</t>
  </si>
  <si>
    <t>VERGER_CHOIX14</t>
  </si>
  <si>
    <t>VERGER_CHOIX15</t>
  </si>
  <si>
    <t>VERGER_CHOIX01_N</t>
  </si>
  <si>
    <t>VERGER_CHOIX02_N</t>
  </si>
  <si>
    <t>VERGER_CHOIX03_N</t>
  </si>
  <si>
    <t>VERGER_CHOIX04_N</t>
  </si>
  <si>
    <t>VERGER_CHOIX05_N</t>
  </si>
  <si>
    <t>VERGER_CHOIX06_N</t>
  </si>
  <si>
    <t>VERGER_CHOIX07_N</t>
  </si>
  <si>
    <t>VERGER_CHOIX08_N</t>
  </si>
  <si>
    <t>VERGER_CHOIX09_N</t>
  </si>
  <si>
    <t>VERGER_CHOIX10_N</t>
  </si>
  <si>
    <t>VERGER_CHOIX11_N</t>
  </si>
  <si>
    <t>VERGER_CHOIX12_N</t>
  </si>
  <si>
    <t>VERGER_CHOIX13_N</t>
  </si>
  <si>
    <t>VERGER_CHOIX14_N</t>
  </si>
  <si>
    <t>VERGER_CHOIX15_N</t>
  </si>
  <si>
    <t>VERGER_CHOIX01_N1</t>
  </si>
  <si>
    <t>VERGER_CHOIX02_N1</t>
  </si>
  <si>
    <t>VERGER_CHOIX03_N1</t>
  </si>
  <si>
    <t>VERGER_CHOIX04_N1</t>
  </si>
  <si>
    <t>VERGER_CHOIX05_N1</t>
  </si>
  <si>
    <t>VERGER_CHOIX06_N1</t>
  </si>
  <si>
    <t>VERGER_CHOIX07_N1</t>
  </si>
  <si>
    <t>VERGER_CHOIX08_N1</t>
  </si>
  <si>
    <t>VERGER_CHOIX09_N1</t>
  </si>
  <si>
    <t>VERGER_CHOIX10_N1</t>
  </si>
  <si>
    <t>VERGER_CHOIX11_N1</t>
  </si>
  <si>
    <t>VERGER_CHOIX12_N1</t>
  </si>
  <si>
    <t>VERGER_CHOIX13_N1</t>
  </si>
  <si>
    <t>VERGER_CHOIX14_N1</t>
  </si>
  <si>
    <t>VERGER_CHOIX15_N1</t>
  </si>
  <si>
    <t>VERGER_CHOIX01_N2</t>
  </si>
  <si>
    <t>VERGER_CHOIX02_N2</t>
  </si>
  <si>
    <t>VERGER_CHOIX03_N2</t>
  </si>
  <si>
    <t>VERGER_CHOIX04_N2</t>
  </si>
  <si>
    <t>VERGER_CHOIX05_N2</t>
  </si>
  <si>
    <t>VERGER_CHOIX06_N2</t>
  </si>
  <si>
    <t>VERGER_CHOIX07_N2</t>
  </si>
  <si>
    <t>VERGER_CHOIX08_N2</t>
  </si>
  <si>
    <t>VERGER_CHOIX09_N2</t>
  </si>
  <si>
    <t>VERGER_CHOIX10_N2</t>
  </si>
  <si>
    <t>VERGER_CHOIX11_N2</t>
  </si>
  <si>
    <t>VERGER_CHOIX12_N2</t>
  </si>
  <si>
    <t>VERGER_CHOIX13_N2</t>
  </si>
  <si>
    <t>VERGER_CHOIX14_N2</t>
  </si>
  <si>
    <t>VERGER_CHOIX15_N2</t>
  </si>
  <si>
    <t>PROD_COUV_PLANTES_MASSIF_VIVACES_N_M01</t>
  </si>
  <si>
    <t>PROD_COUV_PLANTES_EN_POT_N_M01</t>
  </si>
  <si>
    <t>PROD_COUV_ARBRES_ARBUSTES_EN_POT_N_M01</t>
  </si>
  <si>
    <t>PROD_COUV_PLANTES_MED_EN_POT_N_M01</t>
  </si>
  <si>
    <t>PROD_COUV_AUTRES_ARBRES_EN_POT_N_M01</t>
  </si>
  <si>
    <t>PROD_COUV_FLEURS_COUPEES_PLEINE_TERRE_N_M01</t>
  </si>
  <si>
    <t>PROD_COUV_AUTRES_FLEURS_COUPEES_EN_POT_N_M01</t>
  </si>
  <si>
    <t>PROD_COUV_AUTRES_CULTURES_PLEINE_TERRE_N_M01</t>
  </si>
  <si>
    <t>PROD_EXT_PLANTES_VIVACES_EN_POT_N_M01</t>
  </si>
  <si>
    <t>PROD_EXT_PLANTES_VIVACES_PLEINE_TERRE_N_M01</t>
  </si>
  <si>
    <t>PROD_EXT_CHRYSANTHEME_EN_POT_N_M01</t>
  </si>
  <si>
    <t>PROD_EXT_PLANTES_EN_POT_N_M01</t>
  </si>
  <si>
    <t>PROD_EXT_ARBRES_ARBUSTES_EN_POT_N_M01</t>
  </si>
  <si>
    <t>PROD_EXT_AUTRES_ARBRES_EN_POT_N_M01</t>
  </si>
  <si>
    <t>PROD_EXT_PLANTES_MED_EN_POT_N_M01</t>
  </si>
  <si>
    <t>PROD_EXT_ARBRES_PLEINE_TERRE_N_M01</t>
  </si>
  <si>
    <t>PROD_EXT_FRUITIERS_PLEINE_TERRE_N_M01</t>
  </si>
  <si>
    <t>PROD_EXT_ROSIER_PLEINE_TERRE_N_M01</t>
  </si>
  <si>
    <t>PROD_EXT_FLEURS_ETE_PLEINE_TERRE_N_M01</t>
  </si>
  <si>
    <t>PROD_EXT_BULBES_PLEINE_TERRE_N_M01</t>
  </si>
  <si>
    <t>PROD_EXT_AUTRES_CULTURES_PLEINE_TERRE_N_M01</t>
  </si>
  <si>
    <t>SURF_TOT_NON_CULTIVEE_N_M01</t>
  </si>
  <si>
    <t>SURF_HORS_SOL_NON_CULTIVEE_N_M01</t>
  </si>
  <si>
    <t>SAU_CULTIVEE_HORTI_PEPINIERE_N_M01</t>
  </si>
  <si>
    <t>SAU_TOTALE_HORTI_PEPINIERE_N_M01</t>
  </si>
  <si>
    <t>SAU_CULTIVEE_HORTI_HORS_SOL_N_M01</t>
  </si>
  <si>
    <t>SAU_TOTAL_HORTI_HORS_SOL_N_M01</t>
  </si>
  <si>
    <t>PROD_COUV_PLANTES_MASSIF_VIVACES_N_M02</t>
  </si>
  <si>
    <t>PROD_COUV_PLANTES_EN_POT_N_M02</t>
  </si>
  <si>
    <t>PROD_COUV_ARBRES_ARBUSTES_EN_POT_N_M02</t>
  </si>
  <si>
    <t>PROD_COUV_PLANTES_MED_EN_POT_N_M02</t>
  </si>
  <si>
    <t>PROD_COUV_AUTRES_ARBRES_EN_POT_N_M02</t>
  </si>
  <si>
    <t>PROD_COUV_FLEURS_COUPEES_PLEINE_TERRE_N_M02</t>
  </si>
  <si>
    <t>PROD_COUV_AUTRES_FLEURS_COUPEES_EN_POT_N_M02</t>
  </si>
  <si>
    <t>PROD_COUV_AUTRES_CULTURES_PLEINE_TERRE_N_M02</t>
  </si>
  <si>
    <t>PROD_EXT_PLANTES_VIVACES_EN_POT_N_M02</t>
  </si>
  <si>
    <t>PROD_EXT_PLANTES_VIVACES_PLEINE_TERRE_N_M02</t>
  </si>
  <si>
    <t>PROD_EXT_CHRYSANTHEME_EN_POT_N_M02</t>
  </si>
  <si>
    <t>PROD_EXT_PLANTES_EN_POT_N_M02</t>
  </si>
  <si>
    <t>PROD_EXT_ARBRES_ARBUSTES_EN_POT_N_M02</t>
  </si>
  <si>
    <t>PROD_EXT_AUTRES_ARBRES_EN_POT_N_M02</t>
  </si>
  <si>
    <t>PROD_EXT_PLANTES_MED_EN_POT_N_M02</t>
  </si>
  <si>
    <t>PROD_EXT_ARBRES_PLEINE_TERRE_N_M02</t>
  </si>
  <si>
    <t>PROD_EXT_FRUITIERS_PLEINE_TERRE_N_M02</t>
  </si>
  <si>
    <t>PROD_EXT_ROSIER_PLEINE_TERRE_N_M02</t>
  </si>
  <si>
    <t>PROD_EXT_FLEURS_ETE_PLEINE_TERRE_N_M02</t>
  </si>
  <si>
    <t>PROD_EXT_BULBES_PLEINE_TERRE_N_M02</t>
  </si>
  <si>
    <t>PROD_EXT_AUTRES_CULTURES_PLEINE_TERRE_N_M02</t>
  </si>
  <si>
    <t>SURF_TOT_NON_CULTIVEE_N_M02</t>
  </si>
  <si>
    <t>SURF_HORS_SOL_NON_CULTIVEE_N_M02</t>
  </si>
  <si>
    <t>SAU_CULTIVEE_HORTI_PEPINIERE_N_M02</t>
  </si>
  <si>
    <t>SAU_TOTALE_HORTI_PEPINIERE_N_M02</t>
  </si>
  <si>
    <t>SAU_CULTIVEE_HORTI_HORS_SOL_N_M02</t>
  </si>
  <si>
    <t>SAU_TOTAL_HORTI_HORS_SOL_N_M02</t>
  </si>
  <si>
    <t>PROD_COUV_PLANTES_MASSIF_VIVACES_N_M03</t>
  </si>
  <si>
    <t>PROD_COUV_PLANTES_EN_POT_N_M03</t>
  </si>
  <si>
    <t>PROD_COUV_ARBRES_ARBUSTES_EN_POT_N_M03</t>
  </si>
  <si>
    <t>PROD_COUV_PLANTES_MED_EN_POT_N_M03</t>
  </si>
  <si>
    <t>PROD_COUV_AUTRES_ARBRES_EN_POT_N_M03</t>
  </si>
  <si>
    <t>PROD_COUV_FLEURS_COUPEES_PLEINE_TERRE_N_M03</t>
  </si>
  <si>
    <t>PROD_COUV_AUTRES_FLEURS_COUPEES_EN_POT_N_M03</t>
  </si>
  <si>
    <t>PROD_COUV_AUTRES_CULTURES_PLEINE_TERRE_N_M03</t>
  </si>
  <si>
    <t>PROD_EXT_PLANTES_VIVACES_EN_POT_N_M03</t>
  </si>
  <si>
    <t>PROD_EXT_PLANTES_VIVACES_PLEINE_TERRE_N_M03</t>
  </si>
  <si>
    <t>PROD_EXT_CHRYSANTHEME_EN_POT_N_M03</t>
  </si>
  <si>
    <t>PROD_EXT_PLANTES_EN_POT_N_M03</t>
  </si>
  <si>
    <t>PROD_EXT_ARBRES_ARBUSTES_EN_POT_N_M03</t>
  </si>
  <si>
    <t>PROD_EXT_AUTRES_ARBRES_EN_POT_N_M03</t>
  </si>
  <si>
    <t>PROD_EXT_PLANTES_MED_EN_POT_N_M03</t>
  </si>
  <si>
    <t>PROD_EXT_ARBRES_PLEINE_TERRE_N_M03</t>
  </si>
  <si>
    <t>PROD_EXT_FRUITIERS_PLEINE_TERRE_N_M03</t>
  </si>
  <si>
    <t>PROD_EXT_ROSIER_PLEINE_TERRE_N_M03</t>
  </si>
  <si>
    <t>PROD_EXT_FLEURS_ETE_PLEINE_TERRE_N_M03</t>
  </si>
  <si>
    <t>PROD_EXT_BULBES_PLEINE_TERRE_N_M03</t>
  </si>
  <si>
    <t>PROD_EXT_AUTRES_CULTURES_PLEINE_TERRE_N_M03</t>
  </si>
  <si>
    <t>SURF_TOT_NON_CULTIVEE_N_M03</t>
  </si>
  <si>
    <t>SURF_HORS_SOL_NON_CULTIVEE_N_M03</t>
  </si>
  <si>
    <t>SAU_CULTIVEE_HORTI_PEPINIERE_N_M03</t>
  </si>
  <si>
    <t>SAU_TOTALE_HORTI_PEPINIERE_N_M03</t>
  </si>
  <si>
    <t>SAU_CULTIVEE_HORTI_HORS_SOL_N_M03</t>
  </si>
  <si>
    <t>SAU_TOTAL_HORTI_HORS_SOL_N_M03</t>
  </si>
  <si>
    <t>PROD_COUV_PLANTES_MASSIF_VIVACES_N_M04</t>
  </si>
  <si>
    <t>PROD_COUV_PLANTES_EN_POT_N_M04</t>
  </si>
  <si>
    <t>PROD_COUV_ARBRES_ARBUSTES_EN_POT_N_M04</t>
  </si>
  <si>
    <t>PROD_COUV_PLANTES_MED_EN_POT_N_M04</t>
  </si>
  <si>
    <t>PROD_COUV_AUTRES_ARBRES_EN_POT_N_M04</t>
  </si>
  <si>
    <t>PROD_COUV_FLEURS_COUPEES_PLEINE_TERRE_N_M04</t>
  </si>
  <si>
    <t>PROD_COUV_AUTRES_FLEURS_COUPEES_EN_POT_N_M04</t>
  </si>
  <si>
    <t>PROD_COUV_AUTRES_CULTURES_PLEINE_TERRE_N_M04</t>
  </si>
  <si>
    <t>PROD_EXT_PLANTES_VIVACES_EN_POT_N_M04</t>
  </si>
  <si>
    <t>PROD_EXT_PLANTES_VIVACES_PLEINE_TERRE_N_M04</t>
  </si>
  <si>
    <t>PROD_EXT_CHRYSANTHEME_EN_POT_N_M04</t>
  </si>
  <si>
    <t>PROD_EXT_PLANTES_EN_POT_N_M04</t>
  </si>
  <si>
    <t>PROD_EXT_ARBRES_ARBUSTES_EN_POT_N_M04</t>
  </si>
  <si>
    <t>PROD_EXT_AUTRES_ARBRES_EN_POT_N_M04</t>
  </si>
  <si>
    <t>PROD_EXT_PLANTES_MED_EN_POT_N_M04</t>
  </si>
  <si>
    <t>PROD_EXT_ARBRES_PLEINE_TERRE_N_M04</t>
  </si>
  <si>
    <t>PROD_EXT_FRUITIERS_PLEINE_TERRE_N_M04</t>
  </si>
  <si>
    <t>PROD_EXT_ROSIER_PLEINE_TERRE_N_M04</t>
  </si>
  <si>
    <t>PROD_EXT_FLEURS_ETE_PLEINE_TERRE_N_M04</t>
  </si>
  <si>
    <t>PROD_EXT_BULBES_PLEINE_TERRE_N_M04</t>
  </si>
  <si>
    <t>PROD_EXT_AUTRES_CULTURES_PLEINE_TERRE_N_M04</t>
  </si>
  <si>
    <t>SURF_TOT_NON_CULTIVEE_N_M04</t>
  </si>
  <si>
    <t>SURF_HORS_SOL_NON_CULTIVEE_N_M04</t>
  </si>
  <si>
    <t>SAU_CULTIVEE_HORTI_PEPINIERE_N_M04</t>
  </si>
  <si>
    <t>SAU_TOTALE_HORTI_PEPINIERE_N_M04</t>
  </si>
  <si>
    <t>SAU_CULTIVEE_HORTI_HORS_SOL_N_M04</t>
  </si>
  <si>
    <t>SAU_TOTAL_HORTI_HORS_SOL_N_M04</t>
  </si>
  <si>
    <t>PROD_COUV_PLANTES_MASSIF_VIVACES_N_M05</t>
  </si>
  <si>
    <t>PROD_COUV_PLANTES_EN_POT_N_M05</t>
  </si>
  <si>
    <t>PROD_COUV_ARBRES_ARBUSTES_EN_POT_N_M05</t>
  </si>
  <si>
    <t>PROD_COUV_PLANTES_MED_EN_POT_N_M05</t>
  </si>
  <si>
    <t>PROD_COUV_AUTRES_ARBRES_EN_POT_N_M05</t>
  </si>
  <si>
    <t>PROD_COUV_FLEURS_COUPEES_PLEINE_TERRE_N_M05</t>
  </si>
  <si>
    <t>PROD_COUV_AUTRES_FLEURS_COUPEES_EN_POT_N_M05</t>
  </si>
  <si>
    <t>PROD_COUV_AUTRES_CULTURES_PLEINE_TERRE_N_M05</t>
  </si>
  <si>
    <t>PROD_EXT_PLANTES_VIVACES_EN_POT_N_M05</t>
  </si>
  <si>
    <t>PROD_EXT_PLANTES_VIVACES_PLEINE_TERRE_N_M05</t>
  </si>
  <si>
    <t>PROD_EXT_CHRYSANTHEME_EN_POT_N_M05</t>
  </si>
  <si>
    <t>PROD_EXT_PLANTES_EN_POT_N_M05</t>
  </si>
  <si>
    <t>PROD_EXT_ARBRES_ARBUSTES_EN_POT_N_M05</t>
  </si>
  <si>
    <t>PROD_EXT_AUTRES_ARBRES_EN_POT_N_M05</t>
  </si>
  <si>
    <t>PROD_EXT_PLANTES_MED_EN_POT_N_M05</t>
  </si>
  <si>
    <t>PROD_EXT_ARBRES_PLEINE_TERRE_N_M05</t>
  </si>
  <si>
    <t>PROD_EXT_FRUITIERS_PLEINE_TERRE_N_M05</t>
  </si>
  <si>
    <t>PROD_EXT_ROSIER_PLEINE_TERRE_N_M05</t>
  </si>
  <si>
    <t>PROD_EXT_FLEURS_ETE_PLEINE_TERRE_N_M05</t>
  </si>
  <si>
    <t>PROD_EXT_BULBES_PLEINE_TERRE_N_M05</t>
  </si>
  <si>
    <t>PROD_EXT_AUTRES_CULTURES_PLEINE_TERRE_N_M05</t>
  </si>
  <si>
    <t>SURF_TOT_NON_CULTIVEE_N_M05</t>
  </si>
  <si>
    <t>SURF_HORS_SOL_NON_CULTIVEE_N_M05</t>
  </si>
  <si>
    <t>SAU_CULTIVEE_HORTI_PEPINIERE_N_M05</t>
  </si>
  <si>
    <t>SAU_TOTALE_HORTI_PEPINIERE_N_M05</t>
  </si>
  <si>
    <t>SAU_CULTIVEE_HORTI_HORS_SOL_N_M05</t>
  </si>
  <si>
    <t>SAU_TOTAL_HORTI_HORS_SOL_N_M05</t>
  </si>
  <si>
    <t>PROD_COUV_PLANTES_MASSIF_VIVACES_N_M06</t>
  </si>
  <si>
    <t>PROD_COUV_PLANTES_EN_POT_N_M06</t>
  </si>
  <si>
    <t>PROD_COUV_ARBRES_ARBUSTES_EN_POT_N_M06</t>
  </si>
  <si>
    <t>PROD_COUV_PLANTES_MED_EN_POT_N_M06</t>
  </si>
  <si>
    <t>PROD_COUV_AUTRES_ARBRES_EN_POT_N_M06</t>
  </si>
  <si>
    <t>PROD_COUV_FLEURS_COUPEES_PLEINE_TERRE_N_M06</t>
  </si>
  <si>
    <t>PROD_COUV_AUTRES_FLEURS_COUPEES_EN_POT_N_M06</t>
  </si>
  <si>
    <t>PROD_COUV_AUTRES_CULTURES_PLEINE_TERRE_N_M06</t>
  </si>
  <si>
    <t>PROD_EXT_PLANTES_VIVACES_EN_POT_N_M06</t>
  </si>
  <si>
    <t>PROD_EXT_PLANTES_VIVACES_PLEINE_TERRE_N_M06</t>
  </si>
  <si>
    <t>PROD_EXT_CHRYSANTHEME_EN_POT_N_M06</t>
  </si>
  <si>
    <t>PROD_EXT_PLANTES_EN_POT_N_M06</t>
  </si>
  <si>
    <t>PROD_EXT_ARBRES_ARBUSTES_EN_POT_N_M06</t>
  </si>
  <si>
    <t>PROD_EXT_AUTRES_ARBRES_EN_POT_N_M06</t>
  </si>
  <si>
    <t>PROD_EXT_PLANTES_MED_EN_POT_N_M06</t>
  </si>
  <si>
    <t>PROD_EXT_ARBRES_PLEINE_TERRE_N_M06</t>
  </si>
  <si>
    <t>PROD_EXT_FRUITIERS_PLEINE_TERRE_N_M06</t>
  </si>
  <si>
    <t>PROD_EXT_ROSIER_PLEINE_TERRE_N_M06</t>
  </si>
  <si>
    <t>PROD_EXT_FLEURS_ETE_PLEINE_TERRE_N_M06</t>
  </si>
  <si>
    <t>PROD_EXT_BULBES_PLEINE_TERRE_N_M06</t>
  </si>
  <si>
    <t>PROD_EXT_AUTRES_CULTURES_PLEINE_TERRE_N_M06</t>
  </si>
  <si>
    <t>SURF_TOT_NON_CULTIVEE_N_M06</t>
  </si>
  <si>
    <t>SURF_HORS_SOL_NON_CULTIVEE_N_M06</t>
  </si>
  <si>
    <t>SAU_CULTIVEE_HORTI_PEPINIERE_N_M06</t>
  </si>
  <si>
    <t>SAU_TOTALE_HORTI_PEPINIERE_N_M06</t>
  </si>
  <si>
    <t>SAU_CULTIVEE_HORTI_HORS_SOL_N_M06</t>
  </si>
  <si>
    <t>SAU_TOTAL_HORTI_HORS_SOL_N_M06</t>
  </si>
  <si>
    <t>PROD_COUV_PLANTES_MASSIF_VIVACES_N_M07</t>
  </si>
  <si>
    <t>PROD_COUV_PLANTES_EN_POT_N_M07</t>
  </si>
  <si>
    <t>PROD_COUV_ARBRES_ARBUSTES_EN_POT_N_M07</t>
  </si>
  <si>
    <t>PROD_COUV_PLANTES_MED_EN_POT_N_M07</t>
  </si>
  <si>
    <t>PROD_COUV_AUTRES_ARBRES_EN_POT_N_M07</t>
  </si>
  <si>
    <t>PROD_COUV_FLEURS_COUPEES_PLEINE_TERRE_N_M07</t>
  </si>
  <si>
    <t>PROD_COUV_AUTRES_FLEURS_COUPEES_EN_POT_N_M07</t>
  </si>
  <si>
    <t>PROD_COUV_AUTRES_CULTURES_PLEINE_TERRE_N_M07</t>
  </si>
  <si>
    <t>PROD_EXT_PLANTES_VIVACES_EN_POT_N_M07</t>
  </si>
  <si>
    <t>PROD_EXT_PLANTES_VIVACES_PLEINE_TERRE_N_M07</t>
  </si>
  <si>
    <t>PROD_EXT_CHRYSANTHEME_EN_POT_N_M07</t>
  </si>
  <si>
    <t>PROD_EXT_PLANTES_EN_POT_N_M07</t>
  </si>
  <si>
    <t>PROD_EXT_ARBRES_ARBUSTES_EN_POT_N_M07</t>
  </si>
  <si>
    <t>PROD_EXT_AUTRES_ARBRES_EN_POT_N_M07</t>
  </si>
  <si>
    <t>PROD_EXT_PLANTES_MED_EN_POT_N_M07</t>
  </si>
  <si>
    <t>PROD_EXT_ARBRES_PLEINE_TERRE_N_M07</t>
  </si>
  <si>
    <t>PROD_EXT_FRUITIERS_PLEINE_TERRE_N_M07</t>
  </si>
  <si>
    <t>PROD_EXT_ROSIER_PLEINE_TERRE_N_M07</t>
  </si>
  <si>
    <t>PROD_EXT_FLEURS_ETE_PLEINE_TERRE_N_M07</t>
  </si>
  <si>
    <t>PROD_EXT_BULBES_PLEINE_TERRE_N_M07</t>
  </si>
  <si>
    <t>PROD_EXT_AUTRES_CULTURES_PLEINE_TERRE_N_M07</t>
  </si>
  <si>
    <t>SURF_TOT_NON_CULTIVEE_N_M07</t>
  </si>
  <si>
    <t>SURF_HORS_SOL_NON_CULTIVEE_N_M07</t>
  </si>
  <si>
    <t>SAU_CULTIVEE_HORTI_PEPINIERE_N_M07</t>
  </si>
  <si>
    <t>SAU_TOTALE_HORTI_PEPINIERE_N_M07</t>
  </si>
  <si>
    <t>SAU_CULTIVEE_HORTI_HORS_SOL_N_M07</t>
  </si>
  <si>
    <t>SAU_TOTAL_HORTI_HORS_SOL_N_M07</t>
  </si>
  <si>
    <t>PROD_COUV_PLANTES_MASSIF_VIVACES_N_M08</t>
  </si>
  <si>
    <t>PROD_COUV_PLANTES_EN_POT_N_M08</t>
  </si>
  <si>
    <t>PROD_COUV_ARBRES_ARBUSTES_EN_POT_N_M08</t>
  </si>
  <si>
    <t>PROD_COUV_PLANTES_MED_EN_POT_N_M08</t>
  </si>
  <si>
    <t>PROD_COUV_AUTRES_ARBRES_EN_POT_N_M08</t>
  </si>
  <si>
    <t>PROD_COUV_FLEURS_COUPEES_PLEINE_TERRE_N_M08</t>
  </si>
  <si>
    <t>PROD_COUV_AUTRES_FLEURS_COUPEES_EN_POT_N_M08</t>
  </si>
  <si>
    <t>PROD_COUV_AUTRES_CULTURES_PLEINE_TERRE_N_M08</t>
  </si>
  <si>
    <t>PROD_EXT_PLANTES_VIVACES_EN_POT_N_M08</t>
  </si>
  <si>
    <t>PROD_EXT_PLANTES_VIVACES_PLEINE_TERRE_N_M08</t>
  </si>
  <si>
    <t>PROD_EXT_CHRYSANTHEME_EN_POT_N_M08</t>
  </si>
  <si>
    <t>PROD_EXT_PLANTES_EN_POT_N_M08</t>
  </si>
  <si>
    <t>PROD_EXT_ARBRES_ARBUSTES_EN_POT_N_M08</t>
  </si>
  <si>
    <t>PROD_EXT_AUTRES_ARBRES_EN_POT_N_M08</t>
  </si>
  <si>
    <t>PROD_EXT_PLANTES_MED_EN_POT_N_M08</t>
  </si>
  <si>
    <t>PROD_EXT_ARBRES_PLEINE_TERRE_N_M08</t>
  </si>
  <si>
    <t>PROD_EXT_FRUITIERS_PLEINE_TERRE_N_M08</t>
  </si>
  <si>
    <t>PROD_EXT_ROSIER_PLEINE_TERRE_N_M08</t>
  </si>
  <si>
    <t>PROD_EXT_FLEURS_ETE_PLEINE_TERRE_N_M08</t>
  </si>
  <si>
    <t>PROD_EXT_BULBES_PLEINE_TERRE_N_M08</t>
  </si>
  <si>
    <t>PROD_EXT_AUTRES_CULTURES_PLEINE_TERRE_N_M08</t>
  </si>
  <si>
    <t>SURF_TOT_NON_CULTIVEE_N_M08</t>
  </si>
  <si>
    <t>SURF_HORS_SOL_NON_CULTIVEE_N_M08</t>
  </si>
  <si>
    <t>SAU_CULTIVEE_HORTI_PEPINIERE_N_M08</t>
  </si>
  <si>
    <t>SAU_TOTALE_HORTI_PEPINIERE_N_M08</t>
  </si>
  <si>
    <t>SAU_CULTIVEE_HORTI_HORS_SOL_N_M08</t>
  </si>
  <si>
    <t>SAU_TOTAL_HORTI_HORS_SOL_N_M08</t>
  </si>
  <si>
    <t>PROD_COUV_PLANTES_MASSIF_VIVACES_N_M09</t>
  </si>
  <si>
    <t>PROD_COUV_PLANTES_EN_POT_N_M09</t>
  </si>
  <si>
    <t>PROD_COUV_ARBRES_ARBUSTES_EN_POT_N_M09</t>
  </si>
  <si>
    <t>PROD_COUV_PLANTES_MED_EN_POT_N_M09</t>
  </si>
  <si>
    <t>PROD_COUV_AUTRES_ARBRES_EN_POT_N_M09</t>
  </si>
  <si>
    <t>PROD_COUV_FLEURS_COUPEES_PLEINE_TERRE_N_M09</t>
  </si>
  <si>
    <t>PROD_COUV_AUTRES_FLEURS_COUPEES_EN_POT_N_M09</t>
  </si>
  <si>
    <t>PROD_COUV_AUTRES_CULTURES_PLEINE_TERRE_N_M09</t>
  </si>
  <si>
    <t>PROD_EXT_PLANTES_VIVACES_EN_POT_N_M09</t>
  </si>
  <si>
    <t>PROD_EXT_PLANTES_VIVACES_PLEINE_TERRE_N_M09</t>
  </si>
  <si>
    <t>PROD_EXT_CHRYSANTHEME_EN_POT_N_M09</t>
  </si>
  <si>
    <t>PROD_EXT_PLANTES_EN_POT_N_M09</t>
  </si>
  <si>
    <t>PROD_EXT_ARBRES_ARBUSTES_EN_POT_N_M09</t>
  </si>
  <si>
    <t>PROD_EXT_AUTRES_ARBRES_EN_POT_N_M09</t>
  </si>
  <si>
    <t>PROD_EXT_PLANTES_MED_EN_POT_N_M09</t>
  </si>
  <si>
    <t>PROD_EXT_ARBRES_PLEINE_TERRE_N_M09</t>
  </si>
  <si>
    <t>PROD_EXT_FRUITIERS_PLEINE_TERRE_N_M09</t>
  </si>
  <si>
    <t>PROD_EXT_ROSIER_PLEINE_TERRE_N_M09</t>
  </si>
  <si>
    <t>PROD_EXT_FLEURS_ETE_PLEINE_TERRE_N_M09</t>
  </si>
  <si>
    <t>PROD_EXT_BULBES_PLEINE_TERRE_N_M09</t>
  </si>
  <si>
    <t>PROD_EXT_AUTRES_CULTURES_PLEINE_TERRE_N_M09</t>
  </si>
  <si>
    <t>SURF_TOT_NON_CULTIVEE_N_M09</t>
  </si>
  <si>
    <t>SURF_HORS_SOL_NON_CULTIVEE_N_M09</t>
  </si>
  <si>
    <t>SAU_CULTIVEE_HORTI_PEPINIERE_N_M09</t>
  </si>
  <si>
    <t>SAU_TOTALE_HORTI_PEPINIERE_N_M09</t>
  </si>
  <si>
    <t>SAU_CULTIVEE_HORTI_HORS_SOL_N_M09</t>
  </si>
  <si>
    <t>SAU_TOTAL_HORTI_HORS_SOL_N_M09</t>
  </si>
  <si>
    <t>PROD_COUV_PLANTES_MASSIF_VIVACES_N_M10</t>
  </si>
  <si>
    <t>PROD_COUV_PLANTES_EN_POT_N_M10</t>
  </si>
  <si>
    <t>PROD_COUV_ARBRES_ARBUSTES_EN_POT_N_M10</t>
  </si>
  <si>
    <t>PROD_COUV_PLANTES_MED_EN_POT_N_M10</t>
  </si>
  <si>
    <t>PROD_COUV_AUTRES_ARBRES_EN_POT_N_M10</t>
  </si>
  <si>
    <t>PROD_COUV_FLEURS_COUPEES_PLEINE_TERRE_N_M10</t>
  </si>
  <si>
    <t>PROD_COUV_AUTRES_FLEURS_COUPEES_EN_POT_N_M10</t>
  </si>
  <si>
    <t>PROD_COUV_AUTRES_CULTURES_PLEINE_TERRE_N_M10</t>
  </si>
  <si>
    <t>PROD_EXT_PLANTES_VIVACES_EN_POT_N_M10</t>
  </si>
  <si>
    <t>PROD_EXT_PLANTES_VIVACES_PLEINE_TERRE_N_M10</t>
  </si>
  <si>
    <t>PROD_EXT_CHRYSANTHEME_EN_POT_N_M10</t>
  </si>
  <si>
    <t>PROD_EXT_PLANTES_EN_POT_N_M10</t>
  </si>
  <si>
    <t>PROD_EXT_ARBRES_ARBUSTES_EN_POT_N_M10</t>
  </si>
  <si>
    <t>PROD_EXT_AUTRES_ARBRES_EN_POT_N_M10</t>
  </si>
  <si>
    <t>PROD_EXT_PLANTES_MED_EN_POT_N_M10</t>
  </si>
  <si>
    <t>PROD_EXT_ARBRES_PLEINE_TERRE_N_M10</t>
  </si>
  <si>
    <t>PROD_EXT_FRUITIERS_PLEINE_TERRE_N_M10</t>
  </si>
  <si>
    <t>PROD_EXT_ROSIER_PLEINE_TERRE_N_M10</t>
  </si>
  <si>
    <t>PROD_EXT_FLEURS_ETE_PLEINE_TERRE_N_M10</t>
  </si>
  <si>
    <t>PROD_EXT_BULBES_PLEINE_TERRE_N_M10</t>
  </si>
  <si>
    <t>PROD_EXT_AUTRES_CULTURES_PLEINE_TERRE_N_M10</t>
  </si>
  <si>
    <t>SURF_TOT_NON_CULTIVEE_N_M10</t>
  </si>
  <si>
    <t>SURF_HORS_SOL_NON_CULTIVEE_N_M10</t>
  </si>
  <si>
    <t>SAU_CULTIVEE_HORTI_PEPINIERE_N_M10</t>
  </si>
  <si>
    <t>SAU_TOTALE_HORTI_PEPINIERE_N_M10</t>
  </si>
  <si>
    <t>SAU_CULTIVEE_HORTI_HORS_SOL_N_M10</t>
  </si>
  <si>
    <t>SAU_TOTAL_HORTI_HORS_SOL_N_M10</t>
  </si>
  <si>
    <t>PROD_COUV_PLANTES_MASSIF_VIVACES_N_M11</t>
  </si>
  <si>
    <t>PROD_COUV_PLANTES_EN_POT_N_M11</t>
  </si>
  <si>
    <t>PROD_COUV_ARBRES_ARBUSTES_EN_POT_N_M11</t>
  </si>
  <si>
    <t>PROD_COUV_PLANTES_MED_EN_POT_N_M11</t>
  </si>
  <si>
    <t>PROD_COUV_AUTRES_ARBRES_EN_POT_N_M11</t>
  </si>
  <si>
    <t>PROD_COUV_FLEURS_COUPEES_PLEINE_TERRE_N_M11</t>
  </si>
  <si>
    <t>PROD_COUV_AUTRES_FLEURS_COUPEES_EN_POT_N_M11</t>
  </si>
  <si>
    <t>PROD_COUV_AUTRES_CULTURES_PLEINE_TERRE_N_M11</t>
  </si>
  <si>
    <t>PROD_EXT_PLANTES_VIVACES_EN_POT_N_M11</t>
  </si>
  <si>
    <t>PROD_EXT_PLANTES_VIVACES_PLEINE_TERRE_N_M11</t>
  </si>
  <si>
    <t>PROD_EXT_CHRYSANTHEME_EN_POT_N_M11</t>
  </si>
  <si>
    <t>PROD_EXT_PLANTES_EN_POT_N_M11</t>
  </si>
  <si>
    <t>PROD_EXT_ARBRES_ARBUSTES_EN_POT_N_M11</t>
  </si>
  <si>
    <t>PROD_EXT_AUTRES_ARBRES_EN_POT_N_M11</t>
  </si>
  <si>
    <t>PROD_EXT_PLANTES_MED_EN_POT_N_M11</t>
  </si>
  <si>
    <t>PROD_EXT_ARBRES_PLEINE_TERRE_N_M11</t>
  </si>
  <si>
    <t>PROD_EXT_FRUITIERS_PLEINE_TERRE_N_M11</t>
  </si>
  <si>
    <t>PROD_EXT_ROSIER_PLEINE_TERRE_N_M11</t>
  </si>
  <si>
    <t>PROD_EXT_FLEURS_ETE_PLEINE_TERRE_N_M11</t>
  </si>
  <si>
    <t>PROD_EXT_BULBES_PLEINE_TERRE_N_M11</t>
  </si>
  <si>
    <t>PROD_EXT_AUTRES_CULTURES_PLEINE_TERRE_N_M11</t>
  </si>
  <si>
    <t>SURF_TOT_NON_CULTIVEE_N_M11</t>
  </si>
  <si>
    <t>SURF_HORS_SOL_NON_CULTIVEE_N_M11</t>
  </si>
  <si>
    <t>SAU_CULTIVEE_HORTI_PEPINIERE_N_M11</t>
  </si>
  <si>
    <t>SAU_TOTALE_HORTI_PEPINIERE_N_M11</t>
  </si>
  <si>
    <t>SAU_CULTIVEE_HORTI_HORS_SOL_N_M11</t>
  </si>
  <si>
    <t>SAU_TOTAL_HORTI_HORS_SOL_N_M11</t>
  </si>
  <si>
    <t>PROD_COUV_PLANTES_MASSIF_VIVACES_N_M12</t>
  </si>
  <si>
    <t>PROD_COUV_PLANTES_EN_POT_N_M12</t>
  </si>
  <si>
    <t>PROD_COUV_ARBRES_ARBUSTES_EN_POT_N_M12</t>
  </si>
  <si>
    <t>PROD_COUV_PLANTES_MED_EN_POT_N_M12</t>
  </si>
  <si>
    <t>PROD_COUV_AUTRES_ARBRES_EN_POT_N_M12</t>
  </si>
  <si>
    <t>PROD_COUV_FLEURS_COUPEES_PLEINE_TERRE_N_M12</t>
  </si>
  <si>
    <t>PROD_COUV_AUTRES_FLEURS_COUPEES_EN_POT_N_M12</t>
  </si>
  <si>
    <t>PROD_COUV_AUTRES_CULTURES_PLEINE_TERRE_N_M12</t>
  </si>
  <si>
    <t>PROD_EXT_PLANTES_VIVACES_EN_POT_N_M12</t>
  </si>
  <si>
    <t>PROD_EXT_PLANTES_VIVACES_PLEINE_TERRE_N_M12</t>
  </si>
  <si>
    <t>PROD_EXT_CHRYSANTHEME_EN_POT_N_M12</t>
  </si>
  <si>
    <t>PROD_EXT_PLANTES_EN_POT_N_M12</t>
  </si>
  <si>
    <t>PROD_EXT_ARBRES_ARBUSTES_EN_POT_N_M12</t>
  </si>
  <si>
    <t>PROD_EXT_AUTRES_ARBRES_EN_POT_N_M12</t>
  </si>
  <si>
    <t>PROD_EXT_PLANTES_MED_EN_POT_N_M12</t>
  </si>
  <si>
    <t>PROD_EXT_ARBRES_PLEINE_TERRE_N_M12</t>
  </si>
  <si>
    <t>PROD_EXT_FRUITIERS_PLEINE_TERRE_N_M12</t>
  </si>
  <si>
    <t>PROD_EXT_ROSIER_PLEINE_TERRE_N_M12</t>
  </si>
  <si>
    <t>PROD_EXT_FLEURS_ETE_PLEINE_TERRE_N_M12</t>
  </si>
  <si>
    <t>PROD_EXT_BULBES_PLEINE_TERRE_N_M12</t>
  </si>
  <si>
    <t>PROD_EXT_AUTRES_CULTURES_PLEINE_TERRE_N_M12</t>
  </si>
  <si>
    <t>SURF_TOT_NON_CULTIVEE_N_M12</t>
  </si>
  <si>
    <t>SURF_HORS_SOL_NON_CULTIVEE_N_M12</t>
  </si>
  <si>
    <t>SAU_CULTIVEE_HORTI_PEPINIERE_N_M12</t>
  </si>
  <si>
    <t>SAU_TOTALE_HORTI_PEPINIERE_N_M12</t>
  </si>
  <si>
    <t>SAU_CULTIVEE_HORTI_HORS_SOL_N_M12</t>
  </si>
  <si>
    <t>SAU_TOTAL_HORTI_HORS_SOL_N_M12</t>
  </si>
  <si>
    <t>PROD_COUV_PLANTES_MASSIF_VIVACES_N_MOY</t>
  </si>
  <si>
    <t>PROD_COUV_PLANTES_EN_POT_N_MOY</t>
  </si>
  <si>
    <t>PROD_COUV_ARBRES_ARBUSTES_EN_POT_N_MOY</t>
  </si>
  <si>
    <t>PROD_COUV_PLANTES_MED_EN_POT_N_MOY</t>
  </si>
  <si>
    <t>PROD_COUV_AUTRES_ARBRES_EN_POT_N_MOY</t>
  </si>
  <si>
    <t>PROD_COUV_FLEURS_COUPEES_PLEINE_TERRE_N_MOY</t>
  </si>
  <si>
    <t>PROD_COUV_AUTRES_FLEURS_COUPEES_EN_POT_N_MOY</t>
  </si>
  <si>
    <t>PROD_COUV_AUTRES_CULTURES_PLEINE_TERRE_N_MOY</t>
  </si>
  <si>
    <t>PROD_EXT_PLANTES_VIVACES_EN_POT_N_MOY</t>
  </si>
  <si>
    <t>PROD_EXT_PLANTES_VIVACES_PLEINE_TERRE_N_MOY</t>
  </si>
  <si>
    <t>PROD_EXT_CHRYSANTHEME_EN_POT_N_MOY</t>
  </si>
  <si>
    <t>PROD_EXT_PLANTES_EN_POT_N_MOY</t>
  </si>
  <si>
    <t>PROD_EXT_ARBRES_ARBUSTES_EN_POT_N_MOY</t>
  </si>
  <si>
    <t>PROD_EXT_AUTRES_ARBRES_EN_POT_N_MOY</t>
  </si>
  <si>
    <t>PROD_EXT_PLANTES_MED_EN_POT_N_MOY</t>
  </si>
  <si>
    <t>PROD_EXT_ARBRES_PLEINE_TERRE_N_MOY</t>
  </si>
  <si>
    <t>PROD_EXT_FRUITIERS_PLEINE_TERRE_N_MOY</t>
  </si>
  <si>
    <t>PROD_EXT_ROSIER_PLEINE_TERRE_N_MOY</t>
  </si>
  <si>
    <t>PROD_EXT_FLEURS_ETE_PLEINE_TERRE_N_MOY</t>
  </si>
  <si>
    <t>PROD_EXT_BULBES_PLEINE_TERRE_N_MOY</t>
  </si>
  <si>
    <t>PROD_EXT_AUTRES_CULTURES_PLEINE_TERRE_N_MOY</t>
  </si>
  <si>
    <t>SURF_TOT_NON_CULTIVEE_N_MOY</t>
  </si>
  <si>
    <t>SURF_HORS_SOL_NON_CULTIVEE_N_MOY</t>
  </si>
  <si>
    <t>SAU_CULTIVEE_HORTI_PEPINIERE_N_MOY</t>
  </si>
  <si>
    <t>SAU_TOTALE_HORTI_PEPINIERE_N_MOY</t>
  </si>
  <si>
    <t>SAU_CULTIVEE_HORTI_HORS_SOL_N_MOY</t>
  </si>
  <si>
    <t>SAU_TOTAL_HORTI_HORS_SOL_N_MOY</t>
  </si>
  <si>
    <t>PROD_COUV_PLANTES_MASSIF_VIVACES_N1_M01</t>
  </si>
  <si>
    <t>PROD_COUV_PLANTES_EN_POT_N1_M01</t>
  </si>
  <si>
    <t>PROD_COUV_ARBRES_ARBUSTES_EN_POT_N1_M01</t>
  </si>
  <si>
    <t>PROD_COUV_PLANTES_MED_EN_POT_N1_M01</t>
  </si>
  <si>
    <t>PROD_COUV_AUTRES_ARBRES_EN_POT_N1_M01</t>
  </si>
  <si>
    <t>PROD_COUV_FLEURS_COUPEES_PLEINE_TERRE_N1_M01</t>
  </si>
  <si>
    <t>PROD_COUV_AUTRES_FLEURS_COUPEES_EN_POT_N1_M01</t>
  </si>
  <si>
    <t>PROD_COUV_AUTRES_CULTURES_PLEINE_TERRE_N1_M01</t>
  </si>
  <si>
    <t>PROD_EXT_PLANTES_VIVACES_EN_POT_N1_M01</t>
  </si>
  <si>
    <t>PROD_EXT_PLANTES_VIVACES_PLEINE_TERRE_N1_M01</t>
  </si>
  <si>
    <t>PROD_EXT_CHRYSANTHEME_EN_POT_N1_M01</t>
  </si>
  <si>
    <t>PROD_EXT_PLANTES_EN_POT_N1_M01</t>
  </si>
  <si>
    <t>PROD_EXT_ARBRES_ARBUSTES_EN_POT_N1_M01</t>
  </si>
  <si>
    <t>PROD_EXT_AUTRES_ARBRES_EN_POT_N1_M01</t>
  </si>
  <si>
    <t>PROD_EXT_PLANTES_MED_EN_POT_N1_M01</t>
  </si>
  <si>
    <t>PROD_EXT_ARBRES_PLEINE_TERRE_N1_M01</t>
  </si>
  <si>
    <t>PROD_EXT_FRUITIERS_PLEINE_TERRE_N1_M01</t>
  </si>
  <si>
    <t>PROD_EXT_ROSIER_PLEINE_TERRE_N1_M01</t>
  </si>
  <si>
    <t>PROD_EXT_FLEURS_ETE_PLEINE_TERRE_N1_M01</t>
  </si>
  <si>
    <t>PROD_EXT_BULBES_PLEINE_TERRE_N1_M01</t>
  </si>
  <si>
    <t>PROD_EXT_AUTRES_CULTURES_PLEINE_TERRE_N1_M01</t>
  </si>
  <si>
    <t>SURF_TOT_NON_CULTIVEE_N1_M01</t>
  </si>
  <si>
    <t>SURF_HORS_SOL_NON_CULTIVEE_N1_M01</t>
  </si>
  <si>
    <t>SAU_CULTIVEE_HORTI_PEPINIERE_N1_M01</t>
  </si>
  <si>
    <t>SAU_TOTALE_HORTI_PEPINIERE_N1_M01</t>
  </si>
  <si>
    <t>SAU_CULTIVEE_HORTI_HORS_SOL_N1_M01</t>
  </si>
  <si>
    <t>SAU_TOTAL_HORTI_HORS_SOL_N1_M01</t>
  </si>
  <si>
    <t>PROD_COUV_PLANTES_MASSIF_VIVACES_N1_M02</t>
  </si>
  <si>
    <t>PROD_COUV_PLANTES_EN_POT_N1_M02</t>
  </si>
  <si>
    <t>PROD_COUV_ARBRES_ARBUSTES_EN_POT_N1_M02</t>
  </si>
  <si>
    <t>PROD_COUV_PLANTES_MED_EN_POT_N1_M02</t>
  </si>
  <si>
    <t>PROD_COUV_AUTRES_ARBRES_EN_POT_N1_M02</t>
  </si>
  <si>
    <t>PROD_COUV_FLEURS_COUPEES_PLEINE_TERRE_N1_M02</t>
  </si>
  <si>
    <t>PROD_COUV_AUTRES_FLEURS_COUPEES_EN_POT_N1_M02</t>
  </si>
  <si>
    <t>PROD_COUV_AUTRES_CULTURES_PLEINE_TERRE_N1_M02</t>
  </si>
  <si>
    <t>PROD_EXT_PLANTES_VIVACES_EN_POT_N1_M02</t>
  </si>
  <si>
    <t>PROD_EXT_PLANTES_VIVACES_PLEINE_TERRE_N1_M02</t>
  </si>
  <si>
    <t>PROD_EXT_CHRYSANTHEME_EN_POT_N1_M02</t>
  </si>
  <si>
    <t>PROD_EXT_PLANTES_EN_POT_N1_M02</t>
  </si>
  <si>
    <t>PROD_EXT_ARBRES_ARBUSTES_EN_POT_N1_M02</t>
  </si>
  <si>
    <t>PROD_EXT_AUTRES_ARBRES_EN_POT_N1_M02</t>
  </si>
  <si>
    <t>PROD_EXT_PLANTES_MED_EN_POT_N1_M02</t>
  </si>
  <si>
    <t>PROD_EXT_ARBRES_PLEINE_TERRE_N1_M02</t>
  </si>
  <si>
    <t>PROD_EXT_FRUITIERS_PLEINE_TERRE_N1_M02</t>
  </si>
  <si>
    <t>PROD_EXT_ROSIER_PLEINE_TERRE_N1_M02</t>
  </si>
  <si>
    <t>PROD_EXT_FLEURS_ETE_PLEINE_TERRE_N1_M02</t>
  </si>
  <si>
    <t>PROD_EXT_BULBES_PLEINE_TERRE_N1_M02</t>
  </si>
  <si>
    <t>PROD_EXT_AUTRES_CULTURES_PLEINE_TERRE_N1_M02</t>
  </si>
  <si>
    <t>SURF_TOT_NON_CULTIVEE_N1_M02</t>
  </si>
  <si>
    <t>SURF_HORS_SOL_NON_CULTIVEE_N1_M02</t>
  </si>
  <si>
    <t>SAU_CULTIVEE_HORTI_PEPINIERE_N1_M02</t>
  </si>
  <si>
    <t>SAU_TOTALE_HORTI_PEPINIERE_N1_M02</t>
  </si>
  <si>
    <t>SAU_CULTIVEE_HORTI_HORS_SOL_N1_M02</t>
  </si>
  <si>
    <t>SAU_TOTAL_HORTI_HORS_SOL_N1_M02</t>
  </si>
  <si>
    <t>PROD_COUV_PLANTES_MASSIF_VIVACES_N1_M03</t>
  </si>
  <si>
    <t>PROD_COUV_PLANTES_EN_POT_N1_M03</t>
  </si>
  <si>
    <t>PROD_COUV_ARBRES_ARBUSTES_EN_POT_N1_M03</t>
  </si>
  <si>
    <t>PROD_COUV_PLANTES_MED_EN_POT_N1_M03</t>
  </si>
  <si>
    <t>PROD_COUV_AUTRES_ARBRES_EN_POT_N1_M03</t>
  </si>
  <si>
    <t>PROD_COUV_FLEURS_COUPEES_PLEINE_TERRE_N1_M03</t>
  </si>
  <si>
    <t>PROD_COUV_AUTRES_FLEURS_COUPEES_EN_POT_N1_M03</t>
  </si>
  <si>
    <t>PROD_COUV_AUTRES_CULTURES_PLEINE_TERRE_N1_M03</t>
  </si>
  <si>
    <t>PROD_EXT_PLANTES_VIVACES_EN_POT_N1_M03</t>
  </si>
  <si>
    <t>PROD_EXT_PLANTES_VIVACES_PLEINE_TERRE_N1_M03</t>
  </si>
  <si>
    <t>PROD_EXT_CHRYSANTHEME_EN_POT_N1_M03</t>
  </si>
  <si>
    <t>PROD_EXT_PLANTES_EN_POT_N1_M03</t>
  </si>
  <si>
    <t>PROD_EXT_ARBRES_ARBUSTES_EN_POT_N1_M03</t>
  </si>
  <si>
    <t>PROD_EXT_AUTRES_ARBRES_EN_POT_N1_M03</t>
  </si>
  <si>
    <t>PROD_EXT_PLANTES_MED_EN_POT_N1_M03</t>
  </si>
  <si>
    <t>PROD_EXT_ARBRES_PLEINE_TERRE_N1_M03</t>
  </si>
  <si>
    <t>PROD_EXT_FRUITIERS_PLEINE_TERRE_N1_M03</t>
  </si>
  <si>
    <t>PROD_EXT_ROSIER_PLEINE_TERRE_N1_M03</t>
  </si>
  <si>
    <t>PROD_EXT_FLEURS_ETE_PLEINE_TERRE_N1_M03</t>
  </si>
  <si>
    <t>PROD_EXT_BULBES_PLEINE_TERRE_N1_M03</t>
  </si>
  <si>
    <t>PROD_EXT_AUTRES_CULTURES_PLEINE_TERRE_N1_M03</t>
  </si>
  <si>
    <t>SURF_TOT_NON_CULTIVEE_N1_M03</t>
  </si>
  <si>
    <t>SURF_HORS_SOL_NON_CULTIVEE_N1_M03</t>
  </si>
  <si>
    <t>SAU_CULTIVEE_HORTI_PEPINIERE_N1_M03</t>
  </si>
  <si>
    <t>SAU_TOTALE_HORTI_PEPINIERE_N1_M03</t>
  </si>
  <si>
    <t>SAU_CULTIVEE_HORTI_HORS_SOL_N1_M03</t>
  </si>
  <si>
    <t>SAU_TOTAL_HORTI_HORS_SOL_N1_M03</t>
  </si>
  <si>
    <t>PROD_COUV_PLANTES_MASSIF_VIVACES_N1_M04</t>
  </si>
  <si>
    <t>PROD_COUV_PLANTES_EN_POT_N1_M04</t>
  </si>
  <si>
    <t>PROD_COUV_ARBRES_ARBUSTES_EN_POT_N1_M04</t>
  </si>
  <si>
    <t>PROD_COUV_PLANTES_MED_EN_POT_N1_M04</t>
  </si>
  <si>
    <t>PROD_COUV_AUTRES_ARBRES_EN_POT_N1_M04</t>
  </si>
  <si>
    <t>PROD_COUV_FLEURS_COUPEES_PLEINE_TERRE_N1_M04</t>
  </si>
  <si>
    <t>PROD_COUV_AUTRES_FLEURS_COUPEES_EN_POT_N1_M04</t>
  </si>
  <si>
    <t>PROD_COUV_AUTRES_CULTURES_PLEINE_TERRE_N1_M04</t>
  </si>
  <si>
    <t>PROD_EXT_PLANTES_VIVACES_EN_POT_N1_M04</t>
  </si>
  <si>
    <t>PROD_EXT_PLANTES_VIVACES_PLEINE_TERRE_N1_M04</t>
  </si>
  <si>
    <t>PROD_EXT_CHRYSANTHEME_EN_POT_N1_M04</t>
  </si>
  <si>
    <t>PROD_EXT_PLANTES_EN_POT_N1_M04</t>
  </si>
  <si>
    <t>PROD_EXT_ARBRES_ARBUSTES_EN_POT_N1_M04</t>
  </si>
  <si>
    <t>PROD_EXT_AUTRES_ARBRES_EN_POT_N1_M04</t>
  </si>
  <si>
    <t>PROD_EXT_PLANTES_MED_EN_POT_N1_M04</t>
  </si>
  <si>
    <t>PROD_EXT_ARBRES_PLEINE_TERRE_N1_M04</t>
  </si>
  <si>
    <t>PROD_EXT_FRUITIERS_PLEINE_TERRE_N1_M04</t>
  </si>
  <si>
    <t>PROD_EXT_ROSIER_PLEINE_TERRE_N1_M04</t>
  </si>
  <si>
    <t>PROD_EXT_FLEURS_ETE_PLEINE_TERRE_N1_M04</t>
  </si>
  <si>
    <t>PROD_EXT_BULBES_PLEINE_TERRE_N1_M04</t>
  </si>
  <si>
    <t>PROD_EXT_AUTRES_CULTURES_PLEINE_TERRE_N1_M04</t>
  </si>
  <si>
    <t>SURF_TOT_NON_CULTIVEE_N1_M04</t>
  </si>
  <si>
    <t>SURF_HORS_SOL_NON_CULTIVEE_N1_M04</t>
  </si>
  <si>
    <t>SAU_CULTIVEE_HORTI_PEPINIERE_N1_M04</t>
  </si>
  <si>
    <t>SAU_TOTALE_HORTI_PEPINIERE_N1_M04</t>
  </si>
  <si>
    <t>SAU_CULTIVEE_HORTI_HORS_SOL_N1_M04</t>
  </si>
  <si>
    <t>SAU_TOTAL_HORTI_HORS_SOL_N1_M04</t>
  </si>
  <si>
    <t>PROD_COUV_PLANTES_MASSIF_VIVACES_N1_M05</t>
  </si>
  <si>
    <t>PROD_COUV_PLANTES_EN_POT_N1_M05</t>
  </si>
  <si>
    <t>PROD_COUV_ARBRES_ARBUSTES_EN_POT_N1_M05</t>
  </si>
  <si>
    <t>PROD_COUV_PLANTES_MED_EN_POT_N1_M05</t>
  </si>
  <si>
    <t>PROD_COUV_AUTRES_ARBRES_EN_POT_N1_M05</t>
  </si>
  <si>
    <t>PROD_COUV_FLEURS_COUPEES_PLEINE_TERRE_N1_M05</t>
  </si>
  <si>
    <t>PROD_COUV_AUTRES_FLEURS_COUPEES_EN_POT_N1_M05</t>
  </si>
  <si>
    <t>PROD_COUV_AUTRES_CULTURES_PLEINE_TERRE_N1_M05</t>
  </si>
  <si>
    <t>PROD_EXT_PLANTES_VIVACES_EN_POT_N1_M05</t>
  </si>
  <si>
    <t>PROD_EXT_PLANTES_VIVACES_PLEINE_TERRE_N1_M05</t>
  </si>
  <si>
    <t>PROD_EXT_CHRYSANTHEME_EN_POT_N1_M05</t>
  </si>
  <si>
    <t>PROD_EXT_PLANTES_EN_POT_N1_M05</t>
  </si>
  <si>
    <t>PROD_EXT_ARBRES_ARBUSTES_EN_POT_N1_M05</t>
  </si>
  <si>
    <t>PROD_EXT_AUTRES_ARBRES_EN_POT_N1_M05</t>
  </si>
  <si>
    <t>PROD_EXT_PLANTES_MED_EN_POT_N1_M05</t>
  </si>
  <si>
    <t>PROD_EXT_ARBRES_PLEINE_TERRE_N1_M05</t>
  </si>
  <si>
    <t>PROD_EXT_FRUITIERS_PLEINE_TERRE_N1_M05</t>
  </si>
  <si>
    <t>PROD_EXT_ROSIER_PLEINE_TERRE_N1_M05</t>
  </si>
  <si>
    <t>PROD_EXT_FLEURS_ETE_PLEINE_TERRE_N1_M05</t>
  </si>
  <si>
    <t>PROD_EXT_BULBES_PLEINE_TERRE_N1_M05</t>
  </si>
  <si>
    <t>PROD_EXT_AUTRES_CULTURES_PLEINE_TERRE_N1_M05</t>
  </si>
  <si>
    <t>SURF_TOT_NON_CULTIVEE_N1_M05</t>
  </si>
  <si>
    <t>SURF_HORS_SOL_NON_CULTIVEE_N1_M05</t>
  </si>
  <si>
    <t>SAU_CULTIVEE_HORTI_PEPINIERE_N1_M05</t>
  </si>
  <si>
    <t>SAU_TOTALE_HORTI_PEPINIERE_N1_M05</t>
  </si>
  <si>
    <t>SAU_CULTIVEE_HORTI_HORS_SOL_N1_M05</t>
  </si>
  <si>
    <t>SAU_TOTAL_HORTI_HORS_SOL_N1_M05</t>
  </si>
  <si>
    <t>PROD_COUV_PLANTES_MASSIF_VIVACES_N1_M06</t>
  </si>
  <si>
    <t>PROD_COUV_PLANTES_EN_POT_N1_M06</t>
  </si>
  <si>
    <t>PROD_COUV_ARBRES_ARBUSTES_EN_POT_N1_M06</t>
  </si>
  <si>
    <t>PROD_COUV_PLANTES_MED_EN_POT_N1_M06</t>
  </si>
  <si>
    <t>PROD_COUV_AUTRES_ARBRES_EN_POT_N1_M06</t>
  </si>
  <si>
    <t>PROD_COUV_FLEURS_COUPEES_PLEINE_TERRE_N1_M06</t>
  </si>
  <si>
    <t>PROD_COUV_AUTRES_FLEURS_COUPEES_EN_POT_N1_M06</t>
  </si>
  <si>
    <t>PROD_COUV_AUTRES_CULTURES_PLEINE_TERRE_N1_M06</t>
  </si>
  <si>
    <t>PROD_EXT_PLANTES_VIVACES_EN_POT_N1_M06</t>
  </si>
  <si>
    <t>PROD_EXT_PLANTES_VIVACES_PLEINE_TERRE_N1_M06</t>
  </si>
  <si>
    <t>PROD_EXT_CHRYSANTHEME_EN_POT_N1_M06</t>
  </si>
  <si>
    <t>PROD_EXT_PLANTES_EN_POT_N1_M06</t>
  </si>
  <si>
    <t>PROD_EXT_ARBRES_ARBUSTES_EN_POT_N1_M06</t>
  </si>
  <si>
    <t>PROD_EXT_AUTRES_ARBRES_EN_POT_N1_M06</t>
  </si>
  <si>
    <t>PROD_EXT_PLANTES_MED_EN_POT_N1_M06</t>
  </si>
  <si>
    <t>PROD_EXT_ARBRES_PLEINE_TERRE_N1_M06</t>
  </si>
  <si>
    <t>PROD_EXT_FRUITIERS_PLEINE_TERRE_N1_M06</t>
  </si>
  <si>
    <t>PROD_EXT_ROSIER_PLEINE_TERRE_N1_M06</t>
  </si>
  <si>
    <t>PROD_EXT_FLEURS_ETE_PLEINE_TERRE_N1_M06</t>
  </si>
  <si>
    <t>PROD_EXT_BULBES_PLEINE_TERRE_N1_M06</t>
  </si>
  <si>
    <t>PROD_EXT_AUTRES_CULTURES_PLEINE_TERRE_N1_M06</t>
  </si>
  <si>
    <t>SURF_TOT_NON_CULTIVEE_N1_M06</t>
  </si>
  <si>
    <t>SURF_HORS_SOL_NON_CULTIVEE_N1_M06</t>
  </si>
  <si>
    <t>SAU_CULTIVEE_HORTI_PEPINIERE_N1_M06</t>
  </si>
  <si>
    <t>SAU_TOTALE_HORTI_PEPINIERE_N1_M06</t>
  </si>
  <si>
    <t>SAU_CULTIVEE_HORTI_HORS_SOL_N1_M06</t>
  </si>
  <si>
    <t>SAU_TOTAL_HORTI_HORS_SOL_N1_M06</t>
  </si>
  <si>
    <t>PROD_COUV_PLANTES_MASSIF_VIVACES_N1_M07</t>
  </si>
  <si>
    <t>PROD_COUV_PLANTES_EN_POT_N1_M07</t>
  </si>
  <si>
    <t>PROD_COUV_ARBRES_ARBUSTES_EN_POT_N1_M07</t>
  </si>
  <si>
    <t>PROD_COUV_PLANTES_MED_EN_POT_N1_M07</t>
  </si>
  <si>
    <t>PROD_COUV_AUTRES_ARBRES_EN_POT_N1_M07</t>
  </si>
  <si>
    <t>PROD_COUV_FLEURS_COUPEES_PLEINE_TERRE_N1_M07</t>
  </si>
  <si>
    <t>PROD_COUV_AUTRES_FLEURS_COUPEES_EN_POT_N1_M07</t>
  </si>
  <si>
    <t>PROD_COUV_AUTRES_CULTURES_PLEINE_TERRE_N1_M07</t>
  </si>
  <si>
    <t>PROD_EXT_PLANTES_VIVACES_EN_POT_N1_M07</t>
  </si>
  <si>
    <t>PROD_EXT_PLANTES_VIVACES_PLEINE_TERRE_N1_M07</t>
  </si>
  <si>
    <t>PROD_EXT_CHRYSANTHEME_EN_POT_N1_M07</t>
  </si>
  <si>
    <t>PROD_EXT_PLANTES_EN_POT_N1_M07</t>
  </si>
  <si>
    <t>PROD_EXT_ARBRES_ARBUSTES_EN_POT_N1_M07</t>
  </si>
  <si>
    <t>PROD_EXT_AUTRES_ARBRES_EN_POT_N1_M07</t>
  </si>
  <si>
    <t>PROD_EXT_PLANTES_MED_EN_POT_N1_M07</t>
  </si>
  <si>
    <t>PROD_EXT_ARBRES_PLEINE_TERRE_N1_M07</t>
  </si>
  <si>
    <t>PROD_EXT_FRUITIERS_PLEINE_TERRE_N1_M07</t>
  </si>
  <si>
    <t>PROD_EXT_ROSIER_PLEINE_TERRE_N1_M07</t>
  </si>
  <si>
    <t>PROD_EXT_FLEURS_ETE_PLEINE_TERRE_N1_M07</t>
  </si>
  <si>
    <t>PROD_EXT_BULBES_PLEINE_TERRE_N1_M07</t>
  </si>
  <si>
    <t>PROD_EXT_AUTRES_CULTURES_PLEINE_TERRE_N1_M07</t>
  </si>
  <si>
    <t>SURF_TOT_NON_CULTIVEE_N1_M07</t>
  </si>
  <si>
    <t>SURF_HORS_SOL_NON_CULTIVEE_N1_M07</t>
  </si>
  <si>
    <t>SAU_CULTIVEE_HORTI_PEPINIERE_N1_M07</t>
  </si>
  <si>
    <t>SAU_TOTALE_HORTI_PEPINIERE_N1_M07</t>
  </si>
  <si>
    <t>SAU_CULTIVEE_HORTI_HORS_SOL_N1_M07</t>
  </si>
  <si>
    <t>SAU_TOTAL_HORTI_HORS_SOL_N1_M07</t>
  </si>
  <si>
    <t>PROD_COUV_PLANTES_MASSIF_VIVACES_N1_M08</t>
  </si>
  <si>
    <t>PROD_COUV_PLANTES_EN_POT_N1_M08</t>
  </si>
  <si>
    <t>PROD_COUV_ARBRES_ARBUSTES_EN_POT_N1_M08</t>
  </si>
  <si>
    <t>PROD_COUV_PLANTES_MED_EN_POT_N1_M08</t>
  </si>
  <si>
    <t>PROD_COUV_AUTRES_ARBRES_EN_POT_N1_M08</t>
  </si>
  <si>
    <t>PROD_COUV_FLEURS_COUPEES_PLEINE_TERRE_N1_M08</t>
  </si>
  <si>
    <t>PROD_COUV_AUTRES_FLEURS_COUPEES_EN_POT_N1_M08</t>
  </si>
  <si>
    <t>PROD_COUV_AUTRES_CULTURES_PLEINE_TERRE_N1_M08</t>
  </si>
  <si>
    <t>PROD_EXT_PLANTES_VIVACES_EN_POT_N1_M08</t>
  </si>
  <si>
    <t>PROD_EXT_PLANTES_VIVACES_PLEINE_TERRE_N1_M08</t>
  </si>
  <si>
    <t>PROD_EXT_CHRYSANTHEME_EN_POT_N1_M08</t>
  </si>
  <si>
    <t>PROD_EXT_PLANTES_EN_POT_N1_M08</t>
  </si>
  <si>
    <t>PROD_EXT_ARBRES_ARBUSTES_EN_POT_N1_M08</t>
  </si>
  <si>
    <t>PROD_EXT_AUTRES_ARBRES_EN_POT_N1_M08</t>
  </si>
  <si>
    <t>PROD_EXT_PLANTES_MED_EN_POT_N1_M08</t>
  </si>
  <si>
    <t>PROD_EXT_ARBRES_PLEINE_TERRE_N1_M08</t>
  </si>
  <si>
    <t>PROD_EXT_FRUITIERS_PLEINE_TERRE_N1_M08</t>
  </si>
  <si>
    <t>PROD_EXT_ROSIER_PLEINE_TERRE_N1_M08</t>
  </si>
  <si>
    <t>PROD_EXT_FLEURS_ETE_PLEINE_TERRE_N1_M08</t>
  </si>
  <si>
    <t>PROD_EXT_BULBES_PLEINE_TERRE_N1_M08</t>
  </si>
  <si>
    <t>PROD_EXT_AUTRES_CULTURES_PLEINE_TERRE_N1_M08</t>
  </si>
  <si>
    <t>SURF_TOT_NON_CULTIVEE_N1_M08</t>
  </si>
  <si>
    <t>SURF_HORS_SOL_NON_CULTIVEE_N1_M08</t>
  </si>
  <si>
    <t>SAU_CULTIVEE_HORTI_PEPINIERE_N1_M08</t>
  </si>
  <si>
    <t>SAU_TOTALE_HORTI_PEPINIERE_N1_M08</t>
  </si>
  <si>
    <t>SAU_CULTIVEE_HORTI_HORS_SOL_N1_M08</t>
  </si>
  <si>
    <t>SAU_TOTAL_HORTI_HORS_SOL_N1_M08</t>
  </si>
  <si>
    <t>PROD_COUV_PLANTES_MASSIF_VIVACES_N1_M09</t>
  </si>
  <si>
    <t>PROD_COUV_PLANTES_EN_POT_N1_M09</t>
  </si>
  <si>
    <t>PROD_COUV_ARBRES_ARBUSTES_EN_POT_N1_M09</t>
  </si>
  <si>
    <t>PROD_COUV_PLANTES_MED_EN_POT_N1_M09</t>
  </si>
  <si>
    <t>PROD_COUV_AUTRES_ARBRES_EN_POT_N1_M09</t>
  </si>
  <si>
    <t>PROD_COUV_FLEURS_COUPEES_PLEINE_TERRE_N1_M09</t>
  </si>
  <si>
    <t>PROD_COUV_AUTRES_FLEURS_COUPEES_EN_POT_N1_M09</t>
  </si>
  <si>
    <t>PROD_COUV_AUTRES_CULTURES_PLEINE_TERRE_N1_M09</t>
  </si>
  <si>
    <t>PROD_EXT_PLANTES_VIVACES_EN_POT_N1_M09</t>
  </si>
  <si>
    <t>PROD_EXT_PLANTES_VIVACES_PLEINE_TERRE_N1_M09</t>
  </si>
  <si>
    <t>PROD_EXT_CHRYSANTHEME_EN_POT_N1_M09</t>
  </si>
  <si>
    <t>PROD_EXT_PLANTES_EN_POT_N1_M09</t>
  </si>
  <si>
    <t>PROD_EXT_ARBRES_ARBUSTES_EN_POT_N1_M09</t>
  </si>
  <si>
    <t>PROD_EXT_AUTRES_ARBRES_EN_POT_N1_M09</t>
  </si>
  <si>
    <t>PROD_EXT_PLANTES_MED_EN_POT_N1_M09</t>
  </si>
  <si>
    <t>PROD_EXT_ARBRES_PLEINE_TERRE_N1_M09</t>
  </si>
  <si>
    <t>PROD_EXT_FRUITIERS_PLEINE_TERRE_N1_M09</t>
  </si>
  <si>
    <t>PROD_EXT_ROSIER_PLEINE_TERRE_N1_M09</t>
  </si>
  <si>
    <t>PROD_EXT_FLEURS_ETE_PLEINE_TERRE_N1_M09</t>
  </si>
  <si>
    <t>PROD_EXT_BULBES_PLEINE_TERRE_N1_M09</t>
  </si>
  <si>
    <t>PROD_EXT_AUTRES_CULTURES_PLEINE_TERRE_N1_M09</t>
  </si>
  <si>
    <t>SURF_TOT_NON_CULTIVEE_N1_M09</t>
  </si>
  <si>
    <t>SURF_HORS_SOL_NON_CULTIVEE_N1_M09</t>
  </si>
  <si>
    <t>SAU_CULTIVEE_HORTI_PEPINIERE_N1_M09</t>
  </si>
  <si>
    <t>SAU_TOTALE_HORTI_PEPINIERE_N1_M09</t>
  </si>
  <si>
    <t>SAU_CULTIVEE_HORTI_HORS_SOL_N1_M09</t>
  </si>
  <si>
    <t>SAU_TOTAL_HORTI_HORS_SOL_N1_M09</t>
  </si>
  <si>
    <t>PROD_COUV_PLANTES_MASSIF_VIVACES_N1_M10</t>
  </si>
  <si>
    <t>PROD_COUV_PLANTES_EN_POT_N1_M10</t>
  </si>
  <si>
    <t>PROD_COUV_ARBRES_ARBUSTES_EN_POT_N1_M10</t>
  </si>
  <si>
    <t>PROD_COUV_PLANTES_MED_EN_POT_N1_M10</t>
  </si>
  <si>
    <t>PROD_COUV_AUTRES_ARBRES_EN_POT_N1_M10</t>
  </si>
  <si>
    <t>PROD_COUV_FLEURS_COUPEES_PLEINE_TERRE_N1_M10</t>
  </si>
  <si>
    <t>PROD_COUV_AUTRES_FLEURS_COUPEES_EN_POT_N1_M10</t>
  </si>
  <si>
    <t>PROD_COUV_AUTRES_CULTURES_PLEINE_TERRE_N1_M10</t>
  </si>
  <si>
    <t>PROD_EXT_PLANTES_VIVACES_EN_POT_N1_M10</t>
  </si>
  <si>
    <t>PROD_EXT_PLANTES_VIVACES_PLEINE_TERRE_N1_M10</t>
  </si>
  <si>
    <t>PROD_EXT_CHRYSANTHEME_EN_POT_N1_M10</t>
  </si>
  <si>
    <t>PROD_EXT_PLANTES_EN_POT_N1_M10</t>
  </si>
  <si>
    <t>PROD_EXT_ARBRES_ARBUSTES_EN_POT_N1_M10</t>
  </si>
  <si>
    <t>PROD_EXT_AUTRES_ARBRES_EN_POT_N1_M10</t>
  </si>
  <si>
    <t>PROD_EXT_PLANTES_MED_EN_POT_N1_M10</t>
  </si>
  <si>
    <t>PROD_EXT_ARBRES_PLEINE_TERRE_N1_M10</t>
  </si>
  <si>
    <t>PROD_EXT_FRUITIERS_PLEINE_TERRE_N1_M10</t>
  </si>
  <si>
    <t>PROD_EXT_ROSIER_PLEINE_TERRE_N1_M10</t>
  </si>
  <si>
    <t>PROD_EXT_FLEURS_ETE_PLEINE_TERRE_N1_M10</t>
  </si>
  <si>
    <t>PROD_EXT_BULBES_PLEINE_TERRE_N1_M10</t>
  </si>
  <si>
    <t>PROD_EXT_AUTRES_CULTURES_PLEINE_TERRE_N1_M10</t>
  </si>
  <si>
    <t>SURF_TOT_NON_CULTIVEE_N1_M10</t>
  </si>
  <si>
    <t>SURF_HORS_SOL_NON_CULTIVEE_N1_M10</t>
  </si>
  <si>
    <t>SAU_CULTIVEE_HORTI_PEPINIERE_N1_M10</t>
  </si>
  <si>
    <t>SAU_TOTALE_HORTI_PEPINIERE_N1_M10</t>
  </si>
  <si>
    <t>SAU_CULTIVEE_HORTI_HORS_SOL_N1_M10</t>
  </si>
  <si>
    <t>SAU_TOTAL_HORTI_HORS_SOL_N1_M10</t>
  </si>
  <si>
    <t>PROD_COUV_PLANTES_MASSIF_VIVACES_N1_M11</t>
  </si>
  <si>
    <t>PROD_COUV_PLANTES_EN_POT_N1_M11</t>
  </si>
  <si>
    <t>PROD_COUV_ARBRES_ARBUSTES_EN_POT_N1_M11</t>
  </si>
  <si>
    <t>PROD_COUV_PLANTES_MED_EN_POT_N1_M11</t>
  </si>
  <si>
    <t>PROD_COUV_AUTRES_ARBRES_EN_POT_N1_M11</t>
  </si>
  <si>
    <t>PROD_COUV_FLEURS_COUPEES_PLEINE_TERRE_N1_M11</t>
  </si>
  <si>
    <t>PROD_COUV_AUTRES_FLEURS_COUPEES_EN_POT_N1_M11</t>
  </si>
  <si>
    <t>PROD_COUV_AUTRES_CULTURES_PLEINE_TERRE_N1_M11</t>
  </si>
  <si>
    <t>PROD_EXT_PLANTES_VIVACES_EN_POT_N1_M11</t>
  </si>
  <si>
    <t>PROD_EXT_PLANTES_VIVACES_PLEINE_TERRE_N1_M11</t>
  </si>
  <si>
    <t>PROD_EXT_CHRYSANTHEME_EN_POT_N1_M11</t>
  </si>
  <si>
    <t>PROD_EXT_PLANTES_EN_POT_N1_M11</t>
  </si>
  <si>
    <t>PROD_EXT_ARBRES_ARBUSTES_EN_POT_N1_M11</t>
  </si>
  <si>
    <t>PROD_EXT_AUTRES_ARBRES_EN_POT_N1_M11</t>
  </si>
  <si>
    <t>PROD_EXT_PLANTES_MED_EN_POT_N1_M11</t>
  </si>
  <si>
    <t>PROD_EXT_ARBRES_PLEINE_TERRE_N1_M11</t>
  </si>
  <si>
    <t>PROD_EXT_FRUITIERS_PLEINE_TERRE_N1_M11</t>
  </si>
  <si>
    <t>PROD_EXT_ROSIER_PLEINE_TERRE_N1_M11</t>
  </si>
  <si>
    <t>PROD_EXT_FLEURS_ETE_PLEINE_TERRE_N1_M11</t>
  </si>
  <si>
    <t>PROD_EXT_BULBES_PLEINE_TERRE_N1_M11</t>
  </si>
  <si>
    <t>PROD_EXT_AUTRES_CULTURES_PLEINE_TERRE_N1_M11</t>
  </si>
  <si>
    <t>SURF_TOT_NON_CULTIVEE_N1_M11</t>
  </si>
  <si>
    <t>SURF_HORS_SOL_NON_CULTIVEE_N1_M11</t>
  </si>
  <si>
    <t>SAU_CULTIVEE_HORTI_PEPINIERE_N1_M11</t>
  </si>
  <si>
    <t>SAU_TOTALE_HORTI_PEPINIERE_N1_M11</t>
  </si>
  <si>
    <t>SAU_CULTIVEE_HORTI_HORS_SOL_N1_M11</t>
  </si>
  <si>
    <t>SAU_TOTAL_HORTI_HORS_SOL_N1_M11</t>
  </si>
  <si>
    <t>PROD_COUV_PLANTES_MASSIF_VIVACES_N1_M12</t>
  </si>
  <si>
    <t>PROD_COUV_PLANTES_EN_POT_N1_M12</t>
  </si>
  <si>
    <t>PROD_COUV_ARBRES_ARBUSTES_EN_POT_N1_M12</t>
  </si>
  <si>
    <t>PROD_COUV_PLANTES_MED_EN_POT_N1_M12</t>
  </si>
  <si>
    <t>PROD_COUV_AUTRES_ARBRES_EN_POT_N1_M12</t>
  </si>
  <si>
    <t>PROD_COUV_FLEURS_COUPEES_PLEINE_TERRE_N1_M12</t>
  </si>
  <si>
    <t>PROD_COUV_AUTRES_FLEURS_COUPEES_EN_POT_N1_M12</t>
  </si>
  <si>
    <t>PROD_COUV_AUTRES_CULTURES_PLEINE_TERRE_N1_M12</t>
  </si>
  <si>
    <t>PROD_EXT_PLANTES_VIVACES_EN_POT_N1_M12</t>
  </si>
  <si>
    <t>PROD_EXT_PLANTES_VIVACES_PLEINE_TERRE_N1_M12</t>
  </si>
  <si>
    <t>PROD_EXT_CHRYSANTHEME_EN_POT_N1_M12</t>
  </si>
  <si>
    <t>PROD_EXT_PLANTES_EN_POT_N1_M12</t>
  </si>
  <si>
    <t>PROD_EXT_ARBRES_ARBUSTES_EN_POT_N1_M12</t>
  </si>
  <si>
    <t>PROD_EXT_AUTRES_ARBRES_EN_POT_N1_M12</t>
  </si>
  <si>
    <t>PROD_EXT_PLANTES_MED_EN_POT_N1_M12</t>
  </si>
  <si>
    <t>PROD_EXT_ARBRES_PLEINE_TERRE_N1_M12</t>
  </si>
  <si>
    <t>PROD_EXT_FRUITIERS_PLEINE_TERRE_N1_M12</t>
  </si>
  <si>
    <t>PROD_EXT_ROSIER_PLEINE_TERRE_N1_M12</t>
  </si>
  <si>
    <t>PROD_EXT_FLEURS_ETE_PLEINE_TERRE_N1_M12</t>
  </si>
  <si>
    <t>PROD_EXT_BULBES_PLEINE_TERRE_N1_M12</t>
  </si>
  <si>
    <t>PROD_EXT_AUTRES_CULTURES_PLEINE_TERRE_N1_M12</t>
  </si>
  <si>
    <t>SURF_TOT_NON_CULTIVEE_N1_M12</t>
  </si>
  <si>
    <t>SURF_HORS_SOL_NON_CULTIVEE_N1_M12</t>
  </si>
  <si>
    <t>SAU_CULTIVEE_HORTI_PEPINIERE_N1_M12</t>
  </si>
  <si>
    <t>SAU_TOTALE_HORTI_PEPINIERE_N1_M12</t>
  </si>
  <si>
    <t>SAU_CULTIVEE_HORTI_HORS_SOL_N1_M12</t>
  </si>
  <si>
    <t>SAU_TOTAL_HORTI_HORS_SOL_N1_M12</t>
  </si>
  <si>
    <t>PROD_COUV_PLANTES_MASSIF_VIVACES_N1_MOY</t>
  </si>
  <si>
    <t>PROD_COUV_PLANTES_EN_POT_N1_MOY</t>
  </si>
  <si>
    <t>PROD_COUV_ARBRES_ARBUSTES_EN_POT_N1_MOY</t>
  </si>
  <si>
    <t>PROD_COUV_PLANTES_MED_EN_POT_N1_MOY</t>
  </si>
  <si>
    <t>PROD_COUV_AUTRES_ARBRES_EN_POT_N1_MOY</t>
  </si>
  <si>
    <t>PROD_COUV_FLEURS_COUPEES_PLEINE_TERRE_N1_MOY</t>
  </si>
  <si>
    <t>PROD_COUV_AUTRES_FLEURS_COUPEES_EN_POT_N1_MOY</t>
  </si>
  <si>
    <t>PROD_COUV_AUTRES_CULTURES_PLEINE_TERRE_N1_MOY</t>
  </si>
  <si>
    <t>PROD_EXT_PLANTES_VIVACES_EN_POT_N1_MOY</t>
  </si>
  <si>
    <t>PROD_EXT_PLANTES_VIVACES_PLEINE_TERRE_N1_MOY</t>
  </si>
  <si>
    <t>PROD_EXT_CHRYSANTHEME_EN_POT_N1_MOY</t>
  </si>
  <si>
    <t>PROD_EXT_PLANTES_EN_POT_N1_MOY</t>
  </si>
  <si>
    <t>PROD_EXT_ARBRES_ARBUSTES_EN_POT_N1_MOY</t>
  </si>
  <si>
    <t>PROD_EXT_AUTRES_ARBRES_EN_POT_N1_MOY</t>
  </si>
  <si>
    <t>PROD_EXT_PLANTES_MED_EN_POT_N1_MOY</t>
  </si>
  <si>
    <t>PROD_EXT_ARBRES_PLEINE_TERRE_N1_MOY</t>
  </si>
  <si>
    <t>PROD_EXT_FRUITIERS_PLEINE_TERRE_N1_MOY</t>
  </si>
  <si>
    <t>PROD_EXT_ROSIER_PLEINE_TERRE_N1_MOY</t>
  </si>
  <si>
    <t>PROD_EXT_FLEURS_ETE_PLEINE_TERRE_N1_MOY</t>
  </si>
  <si>
    <t>PROD_EXT_BULBES_PLEINE_TERRE_N1_MOY</t>
  </si>
  <si>
    <t>PROD_EXT_AUTRES_CULTURES_PLEINE_TERRE_N1_MOY</t>
  </si>
  <si>
    <t>SURF_TOT_NON_CULTIVEE_N1_MOY</t>
  </si>
  <si>
    <t>SURF_HORS_SOL_NON_CULTIVEE_N1_MOY</t>
  </si>
  <si>
    <t>SAU_CULTIVEE_HORTI_PEPINIERE_N1_MOY</t>
  </si>
  <si>
    <t>SAU_TOTALE_HORTI_PEPINIERE_N1_MOY</t>
  </si>
  <si>
    <t>SAU_CULTIVEE_HORTI_HORS_SOL_N1_MOY</t>
  </si>
  <si>
    <t>SAU_TOTAL_HORTI_HORS_SOL_N1_MOY</t>
  </si>
  <si>
    <t>PROD_COUV_PLANTES_MASSIF_VIVACES_N2_M01</t>
  </si>
  <si>
    <t>PROD_COUV_PLANTES_EN_POT_N2_M01</t>
  </si>
  <si>
    <t>PROD_COUV_ARBRES_ARBUSTES_EN_POT_N2_M01</t>
  </si>
  <si>
    <t>PROD_COUV_PLANTES_MED_EN_POT_N2_M01</t>
  </si>
  <si>
    <t>PROD_COUV_AUTRES_ARBRES_EN_POT_N2_M01</t>
  </si>
  <si>
    <t>PROD_COUV_FLEURS_COUPEES_PLEINE_TERRE_N2_M01</t>
  </si>
  <si>
    <t>PROD_COUV_AUTRES_FLEURS_COUPEES_EN_POT_N2_M01</t>
  </si>
  <si>
    <t>PROD_COUV_AUTRES_CULTURES_PLEINE_TERRE_N2_M01</t>
  </si>
  <si>
    <t>PROD_EXT_PLANTES_VIVACES_EN_POT_N2_M01</t>
  </si>
  <si>
    <t>PROD_EXT_PLANTES_VIVACES_PLEINE_TERRE_N2_M01</t>
  </si>
  <si>
    <t>PROD_EXT_CHRYSANTHEME_EN_POT_N2_M01</t>
  </si>
  <si>
    <t>PROD_EXT_PLANTES_EN_POT_N2_M01</t>
  </si>
  <si>
    <t>PROD_EXT_ARBRES_ARBUSTES_EN_POT_N2_M01</t>
  </si>
  <si>
    <t>PROD_EXT_AUTRES_ARBRES_EN_POT_N2_M01</t>
  </si>
  <si>
    <t>PROD_EXT_PLANTES_MED_EN_POT_N2_M01</t>
  </si>
  <si>
    <t>PROD_EXT_ARBRES_PLEINE_TERRE_N2_M01</t>
  </si>
  <si>
    <t>PROD_EXT_FRUITIERS_PLEINE_TERRE_N2_M01</t>
  </si>
  <si>
    <t>PROD_EXT_ROSIER_PLEINE_TERRE_N2_M01</t>
  </si>
  <si>
    <t>PROD_EXT_FLEURS_ETE_PLEINE_TERRE_N2_M01</t>
  </si>
  <si>
    <t>PROD_EXT_BULBES_PLEINE_TERRE_N2_M01</t>
  </si>
  <si>
    <t>PROD_EXT_AUTRES_CULTURES_PLEINE_TERRE_N2_M01</t>
  </si>
  <si>
    <t>SURF_TOT_NON_CULTIVEE_N2_M01</t>
  </si>
  <si>
    <t>SURF_HORS_SOL_NON_CULTIVEE_N2_M01</t>
  </si>
  <si>
    <t>SAU_CULTIVEE_HORTI_PEPINIERE_N2_M01</t>
  </si>
  <si>
    <t>SAU_TOTALE_HORTI_PEPINIERE_N2_M01</t>
  </si>
  <si>
    <t>SAU_CULTIVEE_HORTI_HORS_SOL_N2_M01</t>
  </si>
  <si>
    <t>SAU_TOTAL_HORTI_HORS_SOL_N2_M01</t>
  </si>
  <si>
    <t>PROD_COUV_PLANTES_MASSIF_VIVACES_N2_M02</t>
  </si>
  <si>
    <t>PROD_COUV_PLANTES_EN_POT_N2_M02</t>
  </si>
  <si>
    <t>PROD_COUV_ARBRES_ARBUSTES_EN_POT_N2_M02</t>
  </si>
  <si>
    <t>PROD_COUV_PLANTES_MED_EN_POT_N2_M02</t>
  </si>
  <si>
    <t>PROD_COUV_AUTRES_ARBRES_EN_POT_N2_M02</t>
  </si>
  <si>
    <t>PROD_COUV_FLEURS_COUPEES_PLEINE_TERRE_N2_M02</t>
  </si>
  <si>
    <t>PROD_COUV_AUTRES_FLEURS_COUPEES_EN_POT_N2_M02</t>
  </si>
  <si>
    <t>PROD_COUV_AUTRES_CULTURES_PLEINE_TERRE_N2_M02</t>
  </si>
  <si>
    <t>PROD_EXT_PLANTES_VIVACES_EN_POT_N2_M02</t>
  </si>
  <si>
    <t>PROD_EXT_PLANTES_VIVACES_PLEINE_TERRE_N2_M02</t>
  </si>
  <si>
    <t>PROD_EXT_CHRYSANTHEME_EN_POT_N2_M02</t>
  </si>
  <si>
    <t>PROD_EXT_PLANTES_EN_POT_N2_M02</t>
  </si>
  <si>
    <t>PROD_EXT_ARBRES_ARBUSTES_EN_POT_N2_M02</t>
  </si>
  <si>
    <t>PROD_EXT_AUTRES_ARBRES_EN_POT_N2_M02</t>
  </si>
  <si>
    <t>PROD_EXT_PLANTES_MED_EN_POT_N2_M02</t>
  </si>
  <si>
    <t>PROD_EXT_ARBRES_PLEINE_TERRE_N2_M02</t>
  </si>
  <si>
    <t>PROD_EXT_FRUITIERS_PLEINE_TERRE_N2_M02</t>
  </si>
  <si>
    <t>PROD_EXT_ROSIER_PLEINE_TERRE_N2_M02</t>
  </si>
  <si>
    <t>PROD_EXT_FLEURS_ETE_PLEINE_TERRE_N2_M02</t>
  </si>
  <si>
    <t>PROD_EXT_BULBES_PLEINE_TERRE_N2_M02</t>
  </si>
  <si>
    <t>PROD_EXT_AUTRES_CULTURES_PLEINE_TERRE_N2_M02</t>
  </si>
  <si>
    <t>SURF_TOT_NON_CULTIVEE_N2_M02</t>
  </si>
  <si>
    <t>SURF_HORS_SOL_NON_CULTIVEE_N2_M02</t>
  </si>
  <si>
    <t>SAU_CULTIVEE_HORTI_PEPINIERE_N2_M02</t>
  </si>
  <si>
    <t>SAU_TOTALE_HORTI_PEPINIERE_N2_M02</t>
  </si>
  <si>
    <t>SAU_CULTIVEE_HORTI_HORS_SOL_N2_M02</t>
  </si>
  <si>
    <t>SAU_TOTAL_HORTI_HORS_SOL_N2_M02</t>
  </si>
  <si>
    <t>PROD_COUV_PLANTES_MASSIF_VIVACES_N2_M03</t>
  </si>
  <si>
    <t>PROD_COUV_PLANTES_EN_POT_N2_M03</t>
  </si>
  <si>
    <t>PROD_COUV_ARBRES_ARBUSTES_EN_POT_N2_M03</t>
  </si>
  <si>
    <t>PROD_COUV_PLANTES_MED_EN_POT_N2_M03</t>
  </si>
  <si>
    <t>PROD_COUV_AUTRES_ARBRES_EN_POT_N2_M03</t>
  </si>
  <si>
    <t>PROD_COUV_FLEURS_COUPEES_PLEINE_TERRE_N2_M03</t>
  </si>
  <si>
    <t>PROD_COUV_AUTRES_FLEURS_COUPEES_EN_POT_N2_M03</t>
  </si>
  <si>
    <t>PROD_COUV_AUTRES_CULTURES_PLEINE_TERRE_N2_M03</t>
  </si>
  <si>
    <t>PROD_EXT_PLANTES_VIVACES_EN_POT_N2_M03</t>
  </si>
  <si>
    <t>PROD_EXT_PLANTES_VIVACES_PLEINE_TERRE_N2_M03</t>
  </si>
  <si>
    <t>PROD_EXT_CHRYSANTHEME_EN_POT_N2_M03</t>
  </si>
  <si>
    <t>PROD_EXT_PLANTES_EN_POT_N2_M03</t>
  </si>
  <si>
    <t>PROD_EXT_ARBRES_ARBUSTES_EN_POT_N2_M03</t>
  </si>
  <si>
    <t>PROD_EXT_AUTRES_ARBRES_EN_POT_N2_M03</t>
  </si>
  <si>
    <t>PROD_EXT_PLANTES_MED_EN_POT_N2_M03</t>
  </si>
  <si>
    <t>PROD_EXT_ARBRES_PLEINE_TERRE_N2_M03</t>
  </si>
  <si>
    <t>PROD_EXT_FRUITIERS_PLEINE_TERRE_N2_M03</t>
  </si>
  <si>
    <t>PROD_EXT_ROSIER_PLEINE_TERRE_N2_M03</t>
  </si>
  <si>
    <t>PROD_EXT_FLEURS_ETE_PLEINE_TERRE_N2_M03</t>
  </si>
  <si>
    <t>PROD_EXT_BULBES_PLEINE_TERRE_N2_M03</t>
  </si>
  <si>
    <t>PROD_EXT_AUTRES_CULTURES_PLEINE_TERRE_N2_M03</t>
  </si>
  <si>
    <t>SURF_TOT_NON_CULTIVEE_N2_M03</t>
  </si>
  <si>
    <t>SURF_HORS_SOL_NON_CULTIVEE_N2_M03</t>
  </si>
  <si>
    <t>SAU_CULTIVEE_HORTI_PEPINIERE_N2_M03</t>
  </si>
  <si>
    <t>SAU_TOTALE_HORTI_PEPINIERE_N2_M03</t>
  </si>
  <si>
    <t>SAU_CULTIVEE_HORTI_HORS_SOL_N2_M03</t>
  </si>
  <si>
    <t>SAU_TOTAL_HORTI_HORS_SOL_N2_M03</t>
  </si>
  <si>
    <t>PROD_COUV_PLANTES_MASSIF_VIVACES_N2_M04</t>
  </si>
  <si>
    <t>PROD_COUV_PLANTES_EN_POT_N2_M04</t>
  </si>
  <si>
    <t>PROD_COUV_ARBRES_ARBUSTES_EN_POT_N2_M04</t>
  </si>
  <si>
    <t>PROD_COUV_PLANTES_MED_EN_POT_N2_M04</t>
  </si>
  <si>
    <t>PROD_COUV_AUTRES_ARBRES_EN_POT_N2_M04</t>
  </si>
  <si>
    <t>PROD_COUV_FLEURS_COUPEES_PLEINE_TERRE_N2_M04</t>
  </si>
  <si>
    <t>PROD_COUV_AUTRES_FLEURS_COUPEES_EN_POT_N2_M04</t>
  </si>
  <si>
    <t>PROD_COUV_AUTRES_CULTURES_PLEINE_TERRE_N2_M04</t>
  </si>
  <si>
    <t>PROD_EXT_PLANTES_VIVACES_EN_POT_N2_M04</t>
  </si>
  <si>
    <t>PROD_EXT_PLANTES_VIVACES_PLEINE_TERRE_N2_M04</t>
  </si>
  <si>
    <t>PROD_EXT_CHRYSANTHEME_EN_POT_N2_M04</t>
  </si>
  <si>
    <t>PROD_EXT_PLANTES_EN_POT_N2_M04</t>
  </si>
  <si>
    <t>PROD_EXT_ARBRES_ARBUSTES_EN_POT_N2_M04</t>
  </si>
  <si>
    <t>PROD_EXT_AUTRES_ARBRES_EN_POT_N2_M04</t>
  </si>
  <si>
    <t>PROD_EXT_PLANTES_MED_EN_POT_N2_M04</t>
  </si>
  <si>
    <t>PROD_EXT_ARBRES_PLEINE_TERRE_N2_M04</t>
  </si>
  <si>
    <t>PROD_EXT_FRUITIERS_PLEINE_TERRE_N2_M04</t>
  </si>
  <si>
    <t>PROD_EXT_ROSIER_PLEINE_TERRE_N2_M04</t>
  </si>
  <si>
    <t>PROD_EXT_FLEURS_ETE_PLEINE_TERRE_N2_M04</t>
  </si>
  <si>
    <t>PROD_EXT_BULBES_PLEINE_TERRE_N2_M04</t>
  </si>
  <si>
    <t>PROD_EXT_AUTRES_CULTURES_PLEINE_TERRE_N2_M04</t>
  </si>
  <si>
    <t>SURF_TOT_NON_CULTIVEE_N2_M04</t>
  </si>
  <si>
    <t>SURF_HORS_SOL_NON_CULTIVEE_N2_M04</t>
  </si>
  <si>
    <t>SAU_CULTIVEE_HORTI_PEPINIERE_N2_M04</t>
  </si>
  <si>
    <t>SAU_TOTALE_HORTI_PEPINIERE_N2_M04</t>
  </si>
  <si>
    <t>SAU_CULTIVEE_HORTI_HORS_SOL_N2_M04</t>
  </si>
  <si>
    <t>SAU_TOTAL_HORTI_HORS_SOL_N2_M04</t>
  </si>
  <si>
    <t>PROD_COUV_PLANTES_MASSIF_VIVACES_N2_M05</t>
  </si>
  <si>
    <t>PROD_COUV_PLANTES_EN_POT_N2_M05</t>
  </si>
  <si>
    <t>PROD_COUV_ARBRES_ARBUSTES_EN_POT_N2_M05</t>
  </si>
  <si>
    <t>PROD_COUV_PLANTES_MED_EN_POT_N2_M05</t>
  </si>
  <si>
    <t>PROD_COUV_AUTRES_ARBRES_EN_POT_N2_M05</t>
  </si>
  <si>
    <t>PROD_COUV_FLEURS_COUPEES_PLEINE_TERRE_N2_M05</t>
  </si>
  <si>
    <t>PROD_COUV_AUTRES_FLEURS_COUPEES_EN_POT_N2_M05</t>
  </si>
  <si>
    <t>PROD_COUV_AUTRES_CULTURES_PLEINE_TERRE_N2_M05</t>
  </si>
  <si>
    <t>PROD_EXT_PLANTES_VIVACES_EN_POT_N2_M05</t>
  </si>
  <si>
    <t>PROD_EXT_PLANTES_VIVACES_PLEINE_TERRE_N2_M05</t>
  </si>
  <si>
    <t>PROD_EXT_CHRYSANTHEME_EN_POT_N2_M05</t>
  </si>
  <si>
    <t>PROD_EXT_PLANTES_EN_POT_N2_M05</t>
  </si>
  <si>
    <t>PROD_EXT_ARBRES_ARBUSTES_EN_POT_N2_M05</t>
  </si>
  <si>
    <t>PROD_EXT_AUTRES_ARBRES_EN_POT_N2_M05</t>
  </si>
  <si>
    <t>PROD_EXT_PLANTES_MED_EN_POT_N2_M05</t>
  </si>
  <si>
    <t>PROD_EXT_ARBRES_PLEINE_TERRE_N2_M05</t>
  </si>
  <si>
    <t>PROD_EXT_FRUITIERS_PLEINE_TERRE_N2_M05</t>
  </si>
  <si>
    <t>PROD_EXT_ROSIER_PLEINE_TERRE_N2_M05</t>
  </si>
  <si>
    <t>PROD_EXT_FLEURS_ETE_PLEINE_TERRE_N2_M05</t>
  </si>
  <si>
    <t>PROD_EXT_BULBES_PLEINE_TERRE_N2_M05</t>
  </si>
  <si>
    <t>PROD_EXT_AUTRES_CULTURES_PLEINE_TERRE_N2_M05</t>
  </si>
  <si>
    <t>SURF_TOT_NON_CULTIVEE_N2_M05</t>
  </si>
  <si>
    <t>SURF_HORS_SOL_NON_CULTIVEE_N2_M05</t>
  </si>
  <si>
    <t>SAU_CULTIVEE_HORTI_PEPINIERE_N2_M05</t>
  </si>
  <si>
    <t>SAU_TOTALE_HORTI_PEPINIERE_N2_M05</t>
  </si>
  <si>
    <t>SAU_CULTIVEE_HORTI_HORS_SOL_N2_M05</t>
  </si>
  <si>
    <t>SAU_TOTAL_HORTI_HORS_SOL_N2_M05</t>
  </si>
  <si>
    <t>PROD_COUV_PLANTES_MASSIF_VIVACES_N2_M06</t>
  </si>
  <si>
    <t>PROD_COUV_PLANTES_EN_POT_N2_M06</t>
  </si>
  <si>
    <t>PROD_COUV_ARBRES_ARBUSTES_EN_POT_N2_M06</t>
  </si>
  <si>
    <t>PROD_COUV_PLANTES_MED_EN_POT_N2_M06</t>
  </si>
  <si>
    <t>PROD_COUV_AUTRES_ARBRES_EN_POT_N2_M06</t>
  </si>
  <si>
    <t>PROD_COUV_FLEURS_COUPEES_PLEINE_TERRE_N2_M06</t>
  </si>
  <si>
    <t>PROD_COUV_AUTRES_FLEURS_COUPEES_EN_POT_N2_M06</t>
  </si>
  <si>
    <t>PROD_COUV_AUTRES_CULTURES_PLEINE_TERRE_N2_M06</t>
  </si>
  <si>
    <t>PROD_EXT_PLANTES_VIVACES_EN_POT_N2_M06</t>
  </si>
  <si>
    <t>PROD_EXT_PLANTES_VIVACES_PLEINE_TERRE_N2_M06</t>
  </si>
  <si>
    <t>PROD_EXT_CHRYSANTHEME_EN_POT_N2_M06</t>
  </si>
  <si>
    <t>PROD_EXT_PLANTES_EN_POT_N2_M06</t>
  </si>
  <si>
    <t>PROD_EXT_ARBRES_ARBUSTES_EN_POT_N2_M06</t>
  </si>
  <si>
    <t>PROD_EXT_AUTRES_ARBRES_EN_POT_N2_M06</t>
  </si>
  <si>
    <t>PROD_EXT_PLANTES_MED_EN_POT_N2_M06</t>
  </si>
  <si>
    <t>PROD_EXT_ARBRES_PLEINE_TERRE_N2_M06</t>
  </si>
  <si>
    <t>PROD_EXT_FRUITIERS_PLEINE_TERRE_N2_M06</t>
  </si>
  <si>
    <t>PROD_EXT_ROSIER_PLEINE_TERRE_N2_M06</t>
  </si>
  <si>
    <t>PROD_EXT_FLEURS_ETE_PLEINE_TERRE_N2_M06</t>
  </si>
  <si>
    <t>PROD_EXT_BULBES_PLEINE_TERRE_N2_M06</t>
  </si>
  <si>
    <t>PROD_EXT_AUTRES_CULTURES_PLEINE_TERRE_N2_M06</t>
  </si>
  <si>
    <t>SURF_TOT_NON_CULTIVEE_N2_M06</t>
  </si>
  <si>
    <t>SURF_HORS_SOL_NON_CULTIVEE_N2_M06</t>
  </si>
  <si>
    <t>SAU_CULTIVEE_HORTI_PEPINIERE_N2_M06</t>
  </si>
  <si>
    <t>SAU_TOTALE_HORTI_PEPINIERE_N2_M06</t>
  </si>
  <si>
    <t>SAU_CULTIVEE_HORTI_HORS_SOL_N2_M06</t>
  </si>
  <si>
    <t>SAU_TOTAL_HORTI_HORS_SOL_N2_M06</t>
  </si>
  <si>
    <t>PROD_COUV_PLANTES_MASSIF_VIVACES_N2_M07</t>
  </si>
  <si>
    <t>PROD_COUV_PLANTES_EN_POT_N2_M07</t>
  </si>
  <si>
    <t>PROD_COUV_ARBRES_ARBUSTES_EN_POT_N2_M07</t>
  </si>
  <si>
    <t>PROD_COUV_PLANTES_MED_EN_POT_N2_M07</t>
  </si>
  <si>
    <t>PROD_COUV_AUTRES_ARBRES_EN_POT_N2_M07</t>
  </si>
  <si>
    <t>PROD_COUV_FLEURS_COUPEES_PLEINE_TERRE_N2_M07</t>
  </si>
  <si>
    <t>PROD_COUV_AUTRES_FLEURS_COUPEES_EN_POT_N2_M07</t>
  </si>
  <si>
    <t>PROD_COUV_AUTRES_CULTURES_PLEINE_TERRE_N2_M07</t>
  </si>
  <si>
    <t>PROD_EXT_PLANTES_VIVACES_EN_POT_N2_M07</t>
  </si>
  <si>
    <t>PROD_EXT_PLANTES_VIVACES_PLEINE_TERRE_N2_M07</t>
  </si>
  <si>
    <t>PROD_EXT_CHRYSANTHEME_EN_POT_N2_M07</t>
  </si>
  <si>
    <t>PROD_EXT_PLANTES_EN_POT_N2_M07</t>
  </si>
  <si>
    <t>PROD_EXT_ARBRES_ARBUSTES_EN_POT_N2_M07</t>
  </si>
  <si>
    <t>PROD_EXT_AUTRES_ARBRES_EN_POT_N2_M07</t>
  </si>
  <si>
    <t>PROD_EXT_PLANTES_MED_EN_POT_N2_M07</t>
  </si>
  <si>
    <t>PROD_EXT_ARBRES_PLEINE_TERRE_N2_M07</t>
  </si>
  <si>
    <t>PROD_EXT_FRUITIERS_PLEINE_TERRE_N2_M07</t>
  </si>
  <si>
    <t>PROD_EXT_ROSIER_PLEINE_TERRE_N2_M07</t>
  </si>
  <si>
    <t>PROD_EXT_FLEURS_ETE_PLEINE_TERRE_N2_M07</t>
  </si>
  <si>
    <t>PROD_EXT_BULBES_PLEINE_TERRE_N2_M07</t>
  </si>
  <si>
    <t>PROD_EXT_AUTRES_CULTURES_PLEINE_TERRE_N2_M07</t>
  </si>
  <si>
    <t>SURF_TOT_NON_CULTIVEE_N2_M07</t>
  </si>
  <si>
    <t>SURF_HORS_SOL_NON_CULTIVEE_N2_M07</t>
  </si>
  <si>
    <t>SAU_CULTIVEE_HORTI_PEPINIERE_N2_M07</t>
  </si>
  <si>
    <t>SAU_TOTALE_HORTI_PEPINIERE_N2_M07</t>
  </si>
  <si>
    <t>SAU_CULTIVEE_HORTI_HORS_SOL_N2_M07</t>
  </si>
  <si>
    <t>SAU_TOTAL_HORTI_HORS_SOL_N2_M07</t>
  </si>
  <si>
    <t>PROD_COUV_PLANTES_MASSIF_VIVACES_N2_M08</t>
  </si>
  <si>
    <t>PROD_COUV_PLANTES_EN_POT_N2_M08</t>
  </si>
  <si>
    <t>PROD_COUV_ARBRES_ARBUSTES_EN_POT_N2_M08</t>
  </si>
  <si>
    <t>PROD_COUV_PLANTES_MED_EN_POT_N2_M08</t>
  </si>
  <si>
    <t>PROD_COUV_AUTRES_ARBRES_EN_POT_N2_M08</t>
  </si>
  <si>
    <t>PROD_COUV_FLEURS_COUPEES_PLEINE_TERRE_N2_M08</t>
  </si>
  <si>
    <t>PROD_COUV_AUTRES_FLEURS_COUPEES_EN_POT_N2_M08</t>
  </si>
  <si>
    <t>PROD_COUV_AUTRES_CULTURES_PLEINE_TERRE_N2_M08</t>
  </si>
  <si>
    <t>PROD_EXT_PLANTES_VIVACES_EN_POT_N2_M08</t>
  </si>
  <si>
    <t>PROD_EXT_PLANTES_VIVACES_PLEINE_TERRE_N2_M08</t>
  </si>
  <si>
    <t>PROD_EXT_CHRYSANTHEME_EN_POT_N2_M08</t>
  </si>
  <si>
    <t>PROD_EXT_PLANTES_EN_POT_N2_M08</t>
  </si>
  <si>
    <t>PROD_EXT_ARBRES_ARBUSTES_EN_POT_N2_M08</t>
  </si>
  <si>
    <t>PROD_EXT_AUTRES_ARBRES_EN_POT_N2_M08</t>
  </si>
  <si>
    <t>PROD_EXT_PLANTES_MED_EN_POT_N2_M08</t>
  </si>
  <si>
    <t>PROD_EXT_ARBRES_PLEINE_TERRE_N2_M08</t>
  </si>
  <si>
    <t>PROD_EXT_FRUITIERS_PLEINE_TERRE_N2_M08</t>
  </si>
  <si>
    <t>PROD_EXT_ROSIER_PLEINE_TERRE_N2_M08</t>
  </si>
  <si>
    <t>PROD_EXT_FLEURS_ETE_PLEINE_TERRE_N2_M08</t>
  </si>
  <si>
    <t>PROD_EXT_BULBES_PLEINE_TERRE_N2_M08</t>
  </si>
  <si>
    <t>PROD_EXT_AUTRES_CULTURES_PLEINE_TERRE_N2_M08</t>
  </si>
  <si>
    <t>SURF_TOT_NON_CULTIVEE_N2_M08</t>
  </si>
  <si>
    <t>SURF_HORS_SOL_NON_CULTIVEE_N2_M08</t>
  </si>
  <si>
    <t>SAU_CULTIVEE_HORTI_PEPINIERE_N2_M08</t>
  </si>
  <si>
    <t>SAU_TOTALE_HORTI_PEPINIERE_N2_M08</t>
  </si>
  <si>
    <t>SAU_CULTIVEE_HORTI_HORS_SOL_N2_M08</t>
  </si>
  <si>
    <t>SAU_TOTAL_HORTI_HORS_SOL_N2_M08</t>
  </si>
  <si>
    <t>PROD_COUV_PLANTES_MASSIF_VIVACES_N2_M09</t>
  </si>
  <si>
    <t>PROD_COUV_PLANTES_EN_POT_N2_M09</t>
  </si>
  <si>
    <t>PROD_COUV_ARBRES_ARBUSTES_EN_POT_N2_M09</t>
  </si>
  <si>
    <t>PROD_COUV_PLANTES_MED_EN_POT_N2_M09</t>
  </si>
  <si>
    <t>PROD_COUV_AUTRES_ARBRES_EN_POT_N2_M09</t>
  </si>
  <si>
    <t>PROD_COUV_FLEURS_COUPEES_PLEINE_TERRE_N2_M09</t>
  </si>
  <si>
    <t>PROD_COUV_AUTRES_FLEURS_COUPEES_EN_POT_N2_M09</t>
  </si>
  <si>
    <t>PROD_COUV_AUTRES_CULTURES_PLEINE_TERRE_N2_M09</t>
  </si>
  <si>
    <t>PROD_EXT_PLANTES_VIVACES_EN_POT_N2_M09</t>
  </si>
  <si>
    <t>PROD_EXT_PLANTES_VIVACES_PLEINE_TERRE_N2_M09</t>
  </si>
  <si>
    <t>PROD_EXT_CHRYSANTHEME_EN_POT_N2_M09</t>
  </si>
  <si>
    <t>PROD_EXT_PLANTES_EN_POT_N2_M09</t>
  </si>
  <si>
    <t>PROD_EXT_ARBRES_ARBUSTES_EN_POT_N2_M09</t>
  </si>
  <si>
    <t>PROD_EXT_AUTRES_ARBRES_EN_POT_N2_M09</t>
  </si>
  <si>
    <t>PROD_EXT_PLANTES_MED_EN_POT_N2_M09</t>
  </si>
  <si>
    <t>PROD_EXT_ARBRES_PLEINE_TERRE_N2_M09</t>
  </si>
  <si>
    <t>PROD_EXT_FRUITIERS_PLEINE_TERRE_N2_M09</t>
  </si>
  <si>
    <t>PROD_EXT_ROSIER_PLEINE_TERRE_N2_M09</t>
  </si>
  <si>
    <t>PROD_EXT_FLEURS_ETE_PLEINE_TERRE_N2_M09</t>
  </si>
  <si>
    <t>PROD_EXT_BULBES_PLEINE_TERRE_N2_M09</t>
  </si>
  <si>
    <t>PROD_EXT_AUTRES_CULTURES_PLEINE_TERRE_N2_M09</t>
  </si>
  <si>
    <t>SURF_TOT_NON_CULTIVEE_N2_M09</t>
  </si>
  <si>
    <t>SURF_HORS_SOL_NON_CULTIVEE_N2_M09</t>
  </si>
  <si>
    <t>SAU_CULTIVEE_HORTI_PEPINIERE_N2_M09</t>
  </si>
  <si>
    <t>SAU_TOTALE_HORTI_PEPINIERE_N2_M09</t>
  </si>
  <si>
    <t>SAU_CULTIVEE_HORTI_HORS_SOL_N2_M09</t>
  </si>
  <si>
    <t>SAU_TOTAL_HORTI_HORS_SOL_N2_M09</t>
  </si>
  <si>
    <t>PROD_COUV_PLANTES_MASSIF_VIVACES_N2_M10</t>
  </si>
  <si>
    <t>PROD_COUV_PLANTES_EN_POT_N2_M10</t>
  </si>
  <si>
    <t>PROD_COUV_ARBRES_ARBUSTES_EN_POT_N2_M10</t>
  </si>
  <si>
    <t>PROD_COUV_PLANTES_MED_EN_POT_N2_M10</t>
  </si>
  <si>
    <t>PROD_COUV_AUTRES_ARBRES_EN_POT_N2_M10</t>
  </si>
  <si>
    <t>PROD_COUV_FLEURS_COUPEES_PLEINE_TERRE_N2_M10</t>
  </si>
  <si>
    <t>PROD_COUV_AUTRES_FLEURS_COUPEES_EN_POT_N2_M10</t>
  </si>
  <si>
    <t>PROD_COUV_AUTRES_CULTURES_PLEINE_TERRE_N2_M10</t>
  </si>
  <si>
    <t>PROD_EXT_PLANTES_VIVACES_EN_POT_N2_M10</t>
  </si>
  <si>
    <t>PROD_EXT_PLANTES_VIVACES_PLEINE_TERRE_N2_M10</t>
  </si>
  <si>
    <t>PROD_EXT_CHRYSANTHEME_EN_POT_N2_M10</t>
  </si>
  <si>
    <t>PROD_EXT_PLANTES_EN_POT_N2_M10</t>
  </si>
  <si>
    <t>PROD_EXT_ARBRES_ARBUSTES_EN_POT_N2_M10</t>
  </si>
  <si>
    <t>PROD_EXT_AUTRES_ARBRES_EN_POT_N2_M10</t>
  </si>
  <si>
    <t>PROD_EXT_PLANTES_MED_EN_POT_N2_M10</t>
  </si>
  <si>
    <t>PROD_EXT_ARBRES_PLEINE_TERRE_N2_M10</t>
  </si>
  <si>
    <t>PROD_EXT_FRUITIERS_PLEINE_TERRE_N2_M10</t>
  </si>
  <si>
    <t>PROD_EXT_ROSIER_PLEINE_TERRE_N2_M10</t>
  </si>
  <si>
    <t>PROD_EXT_FLEURS_ETE_PLEINE_TERRE_N2_M10</t>
  </si>
  <si>
    <t>PROD_EXT_BULBES_PLEINE_TERRE_N2_M10</t>
  </si>
  <si>
    <t>PROD_EXT_AUTRES_CULTURES_PLEINE_TERRE_N2_M10</t>
  </si>
  <si>
    <t>SURF_TOT_NON_CULTIVEE_N2_M10</t>
  </si>
  <si>
    <t>SURF_HORS_SOL_NON_CULTIVEE_N2_M10</t>
  </si>
  <si>
    <t>SAU_CULTIVEE_HORTI_PEPINIERE_N2_M10</t>
  </si>
  <si>
    <t>SAU_TOTALE_HORTI_PEPINIERE_N2_M10</t>
  </si>
  <si>
    <t>SAU_CULTIVEE_HORTI_HORS_SOL_N2_M10</t>
  </si>
  <si>
    <t>SAU_TOTAL_HORTI_HORS_SOL_N2_M10</t>
  </si>
  <si>
    <t>PROD_COUV_PLANTES_MASSIF_VIVACES_N2_M11</t>
  </si>
  <si>
    <t>PROD_COUV_PLANTES_EN_POT_N2_M11</t>
  </si>
  <si>
    <t>PROD_COUV_ARBRES_ARBUSTES_EN_POT_N2_M11</t>
  </si>
  <si>
    <t>PROD_COUV_PLANTES_MED_EN_POT_N2_M11</t>
  </si>
  <si>
    <t>PROD_COUV_AUTRES_ARBRES_EN_POT_N2_M11</t>
  </si>
  <si>
    <t>PROD_COUV_FLEURS_COUPEES_PLEINE_TERRE_N2_M11</t>
  </si>
  <si>
    <t>PROD_COUV_AUTRES_FLEURS_COUPEES_EN_POT_N2_M11</t>
  </si>
  <si>
    <t>PROD_COUV_AUTRES_CULTURES_PLEINE_TERRE_N2_M11</t>
  </si>
  <si>
    <t>PROD_EXT_PLANTES_VIVACES_EN_POT_N2_M11</t>
  </si>
  <si>
    <t>PROD_EXT_PLANTES_VIVACES_PLEINE_TERRE_N2_M11</t>
  </si>
  <si>
    <t>PROD_EXT_CHRYSANTHEME_EN_POT_N2_M11</t>
  </si>
  <si>
    <t>PROD_EXT_PLANTES_EN_POT_N2_M11</t>
  </si>
  <si>
    <t>PROD_EXT_ARBRES_ARBUSTES_EN_POT_N2_M11</t>
  </si>
  <si>
    <t>PROD_EXT_AUTRES_ARBRES_EN_POT_N2_M11</t>
  </si>
  <si>
    <t>PROD_EXT_PLANTES_MED_EN_POT_N2_M11</t>
  </si>
  <si>
    <t>PROD_EXT_ARBRES_PLEINE_TERRE_N2_M11</t>
  </si>
  <si>
    <t>PROD_EXT_FRUITIERS_PLEINE_TERRE_N2_M11</t>
  </si>
  <si>
    <t>PROD_EXT_ROSIER_PLEINE_TERRE_N2_M11</t>
  </si>
  <si>
    <t>PROD_EXT_FLEURS_ETE_PLEINE_TERRE_N2_M11</t>
  </si>
  <si>
    <t>PROD_EXT_BULBES_PLEINE_TERRE_N2_M11</t>
  </si>
  <si>
    <t>PROD_EXT_AUTRES_CULTURES_PLEINE_TERRE_N2_M11</t>
  </si>
  <si>
    <t>SURF_TOT_NON_CULTIVEE_N2_M11</t>
  </si>
  <si>
    <t>SURF_HORS_SOL_NON_CULTIVEE_N2_M11</t>
  </si>
  <si>
    <t>SAU_CULTIVEE_HORTI_PEPINIERE_N2_M11</t>
  </si>
  <si>
    <t>SAU_TOTALE_HORTI_PEPINIERE_N2_M11</t>
  </si>
  <si>
    <t>SAU_CULTIVEE_HORTI_HORS_SOL_N2_M11</t>
  </si>
  <si>
    <t>SAU_TOTAL_HORTI_HORS_SOL_N2_M11</t>
  </si>
  <si>
    <t>PROD_COUV_PLANTES_MASSIF_VIVACES_N2_M12</t>
  </si>
  <si>
    <t>PROD_COUV_PLANTES_EN_POT_N2_M12</t>
  </si>
  <si>
    <t>PROD_COUV_ARBRES_ARBUSTES_EN_POT_N2_M12</t>
  </si>
  <si>
    <t>PROD_COUV_PLANTES_MED_EN_POT_N2_M12</t>
  </si>
  <si>
    <t>PROD_COUV_AUTRES_ARBRES_EN_POT_N2_M12</t>
  </si>
  <si>
    <t>PROD_COUV_FLEURS_COUPEES_PLEINE_TERRE_N2_M12</t>
  </si>
  <si>
    <t>PROD_COUV_AUTRES_FLEURS_COUPEES_EN_POT_N2_M12</t>
  </si>
  <si>
    <t>PROD_COUV_AUTRES_CULTURES_PLEINE_TERRE_N2_M12</t>
  </si>
  <si>
    <t>PROD_EXT_PLANTES_VIVACES_EN_POT_N2_M12</t>
  </si>
  <si>
    <t>PROD_EXT_PLANTES_VIVACES_PLEINE_TERRE_N2_M12</t>
  </si>
  <si>
    <t>PROD_EXT_CHRYSANTHEME_EN_POT_N2_M12</t>
  </si>
  <si>
    <t>PROD_EXT_PLANTES_EN_POT_N2_M12</t>
  </si>
  <si>
    <t>PROD_EXT_ARBRES_ARBUSTES_EN_POT_N2_M12</t>
  </si>
  <si>
    <t>PROD_EXT_AUTRES_ARBRES_EN_POT_N2_M12</t>
  </si>
  <si>
    <t>PROD_EXT_PLANTES_MED_EN_POT_N2_M12</t>
  </si>
  <si>
    <t>PROD_EXT_ARBRES_PLEINE_TERRE_N2_M12</t>
  </si>
  <si>
    <t>PROD_EXT_FRUITIERS_PLEINE_TERRE_N2_M12</t>
  </si>
  <si>
    <t>PROD_EXT_ROSIER_PLEINE_TERRE_N2_M12</t>
  </si>
  <si>
    <t>PROD_EXT_FLEURS_ETE_PLEINE_TERRE_N2_M12</t>
  </si>
  <si>
    <t>PROD_EXT_BULBES_PLEINE_TERRE_N2_M12</t>
  </si>
  <si>
    <t>PROD_EXT_AUTRES_CULTURES_PLEINE_TERRE_N2_M12</t>
  </si>
  <si>
    <t>SURF_TOT_NON_CULTIVEE_N2_M12</t>
  </si>
  <si>
    <t>SURF_HORS_SOL_NON_CULTIVEE_N2_M12</t>
  </si>
  <si>
    <t>SAU_CULTIVEE_HORTI_PEPINIERE_N2_M12</t>
  </si>
  <si>
    <t>SAU_TOTALE_HORTI_PEPINIERE_N2_M12</t>
  </si>
  <si>
    <t>SAU_CULTIVEE_HORTI_HORS_SOL_N2_M12</t>
  </si>
  <si>
    <t>SAU_TOTAL_HORTI_HORS_SOL_N2_M12</t>
  </si>
  <si>
    <t>PROD_COUV_PLANTES_MASSIF_VIVACES_N2_MOY</t>
  </si>
  <si>
    <t>PROD_COUV_PLANTES_EN_POT_N2_MOY</t>
  </si>
  <si>
    <t>PROD_COUV_ARBRES_ARBUSTES_EN_POT_N2_MOY</t>
  </si>
  <si>
    <t>PROD_COUV_PLANTES_MED_EN_POT_N2_MOY</t>
  </si>
  <si>
    <t>PROD_COUV_AUTRES_ARBRES_EN_POT_N2_MOY</t>
  </si>
  <si>
    <t>PROD_COUV_FLEURS_COUPEES_PLEINE_TERRE_N2_MOY</t>
  </si>
  <si>
    <t>PROD_COUV_AUTRES_FLEURS_COUPEES_EN_POT_N2_MOY</t>
  </si>
  <si>
    <t>PROD_COUV_AUTRES_CULTURES_PLEINE_TERRE_N2_MOY</t>
  </si>
  <si>
    <t>PROD_EXT_PLANTES_VIVACES_EN_POT_N2_MOY</t>
  </si>
  <si>
    <t>PROD_EXT_PLANTES_VIVACES_PLEINE_TERRE_N2_MOY</t>
  </si>
  <si>
    <t>PROD_EXT_CHRYSANTHEME_EN_POT_N2_MOY</t>
  </si>
  <si>
    <t>PROD_EXT_PLANTES_EN_POT_N2_MOY</t>
  </si>
  <si>
    <t>PROD_EXT_ARBRES_ARBUSTES_EN_POT_N2_MOY</t>
  </si>
  <si>
    <t>PROD_EXT_AUTRES_ARBRES_EN_POT_N2_MOY</t>
  </si>
  <si>
    <t>PROD_EXT_PLANTES_MED_EN_POT_N2_MOY</t>
  </si>
  <si>
    <t>PROD_EXT_ARBRES_PLEINE_TERRE_N2_MOY</t>
  </si>
  <si>
    <t>PROD_EXT_FRUITIERS_PLEINE_TERRE_N2_MOY</t>
  </si>
  <si>
    <t>PROD_EXT_ROSIER_PLEINE_TERRE_N2_MOY</t>
  </si>
  <si>
    <t>PROD_EXT_FLEURS_ETE_PLEINE_TERRE_N2_MOY</t>
  </si>
  <si>
    <t>PROD_EXT_BULBES_PLEINE_TERRE_N2_MOY</t>
  </si>
  <si>
    <t>PROD_EXT_AUTRES_CULTURES_PLEINE_TERRE_N2_MOY</t>
  </si>
  <si>
    <t>SURF_TOT_NON_CULTIVEE_N2_MOY</t>
  </si>
  <si>
    <t>SURF_HORS_SOL_NON_CULTIVEE_N2_MOY</t>
  </si>
  <si>
    <t>SAU_CULTIVEE_HORTI_PEPINIERE_N2_MOY</t>
  </si>
  <si>
    <t>SAU_TOTALE_HORTI_PEPINIERE_N2_MOY</t>
  </si>
  <si>
    <t>SAU_CULTIVEE_HORTI_HORS_SOL_N2_MOY</t>
  </si>
  <si>
    <t>SAU_TOTAL_HORTI_HORS_SOL_N2_MOY</t>
  </si>
  <si>
    <t>Grandes cultures : céréales, oléagineux, protéagineux, autres</t>
  </si>
  <si>
    <t>ALIGN_CONV_ARA</t>
  </si>
  <si>
    <t>ALIGN_CONV_SURF</t>
  </si>
  <si>
    <t>ALIGN_REEL_ARA</t>
  </si>
  <si>
    <t>ALIGN_REEL_SURF</t>
  </si>
  <si>
    <t>ALIGN_UNITE</t>
  </si>
  <si>
    <t>ALTER_POURCENTAGE_SURF_HORS_HORTI</t>
  </si>
  <si>
    <t>ALTER_POURCENTAGE_SURF_HORTI</t>
  </si>
  <si>
    <t>ALTER_RESULTAT_HORS_HORTI</t>
  </si>
  <si>
    <t>ALTER_RESULTAT_HORTI</t>
  </si>
  <si>
    <t>ALTER_SAU_HORS_HORTI</t>
  </si>
  <si>
    <t>ALTER_SURF_HORS_HORTI</t>
  </si>
  <si>
    <t>ALTER_SURF_HORTI</t>
  </si>
  <si>
    <t>ANALYSE_MICROBIO</t>
  </si>
  <si>
    <t>ANCIENNE_REGION</t>
  </si>
  <si>
    <t>ARBO_NB_2_VARIETES</t>
  </si>
  <si>
    <t>ARBO_NB_3_VARIETES</t>
  </si>
  <si>
    <t>AUTRES_HORS_RUINES_CONV_SURF</t>
  </si>
  <si>
    <t>AUTRES_HORS_RUINES_REEL_SURF</t>
  </si>
  <si>
    <t>AUTRES_HORS_RUINES_UNITE</t>
  </si>
  <si>
    <t>AUTRES_RUINES_CONV_SURF</t>
  </si>
  <si>
    <t>AUTRES_RUINES_REEL_SURF</t>
  </si>
  <si>
    <t>AUTRES_RUINES_UNITE</t>
  </si>
  <si>
    <t>AUTRES_SURF_NON_TRAITEES</t>
  </si>
  <si>
    <t>AUTRES_SURFACIQUES_CONV_SURF</t>
  </si>
  <si>
    <t>AUTRES_SURFACIQUES_REEL_SURF</t>
  </si>
  <si>
    <t>AUTRES_SURFACIQUES_UNITE</t>
  </si>
  <si>
    <t>BANDES_CONV_SURF</t>
  </si>
  <si>
    <t>BANDES_REEL_SURF</t>
  </si>
  <si>
    <t>BANDES_UNITE</t>
  </si>
  <si>
    <t>BORDURES_OBL_CONV_ARA</t>
  </si>
  <si>
    <t>BORDURES_OBL_REEL_ARA</t>
  </si>
  <si>
    <t>BORDURES_OBL_UNITE</t>
  </si>
  <si>
    <t>BORDURES_POIDS_CONV_SURF</t>
  </si>
  <si>
    <t>BORDURES_POIDS_REEL_SURF</t>
  </si>
  <si>
    <t>BORDURES_POIDS_UNITE</t>
  </si>
  <si>
    <t>BOSQUETS_CONV_ARA</t>
  </si>
  <si>
    <t>BOSQUETS_CONV_SURF</t>
  </si>
  <si>
    <t>BOSQUETS_REEL_ARA</t>
  </si>
  <si>
    <t>BOSQUETS_REEL_SURF</t>
  </si>
  <si>
    <t>BOSQUETS_UNITE</t>
  </si>
  <si>
    <t>CONCERNE_SURF_CULTUREES_ANNUELLES</t>
  </si>
  <si>
    <t>CONCERNE_SURF_CULTUREES_PERENNES</t>
  </si>
  <si>
    <t>COUVERT_VEG_ARBO</t>
  </si>
  <si>
    <t>COUVERT_VEG_HORTI</t>
  </si>
  <si>
    <t>COUVERT_VEG_VIGNES</t>
  </si>
  <si>
    <t>CRITERE_OBLIGATOIRE</t>
  </si>
  <si>
    <t>CULTURES_HORS_SOL_2_VARIETES</t>
  </si>
  <si>
    <t>CULTURES_HORS_SOL_3_VARIETES</t>
  </si>
  <si>
    <t>DEROGATION_CMR1</t>
  </si>
  <si>
    <t>DIVERSITE_VIGNE</t>
  </si>
  <si>
    <t>EQUIV_NB_ESPECES_SEMEES_PURES</t>
  </si>
  <si>
    <t>EQUIV_PART_PP</t>
  </si>
  <si>
    <t>EQUIV_SURF_SEMEES_COMPLEXE</t>
  </si>
  <si>
    <t>EQUIV_SURF_SEMEES_GRAMINEES</t>
  </si>
  <si>
    <t>EQUIV_SURF_SEMEES_LEGUMINEUSE</t>
  </si>
  <si>
    <t>FOSSE_CONV_ARA</t>
  </si>
  <si>
    <t>FOSSE_CONV_SURF</t>
  </si>
  <si>
    <t>FOSSE_REEL_ARA</t>
  </si>
  <si>
    <t>FOSSE_REEL_SURF</t>
  </si>
  <si>
    <t>FOSSE_UNITE</t>
  </si>
  <si>
    <t>HAIE_CONV_ARA</t>
  </si>
  <si>
    <t>HAIE_CONV_SURF</t>
  </si>
  <si>
    <t>HAIE_REEL_ARA</t>
  </si>
  <si>
    <t>HAIE_REEL_SURF</t>
  </si>
  <si>
    <t>HAIE_UNITE</t>
  </si>
  <si>
    <t>IAE_EXHAUSTIF</t>
  </si>
  <si>
    <t>ISOLE_CONV_ARA</t>
  </si>
  <si>
    <t>ISOLE_CONV_SURF</t>
  </si>
  <si>
    <t>ISOLE_REEL_ARA</t>
  </si>
  <si>
    <t>ISOLE_REEL_SURF</t>
  </si>
  <si>
    <t>ISOLE_UNITE</t>
  </si>
  <si>
    <t>JACHERE_CONV_ARA</t>
  </si>
  <si>
    <t>JACHERE_CONV_SURF</t>
  </si>
  <si>
    <t>JACHERE_MELLI_CONV_ARA</t>
  </si>
  <si>
    <t>JACHERE_MELLI_CONV_SURF</t>
  </si>
  <si>
    <t>JACHERE_MELLI_REEL_ARA</t>
  </si>
  <si>
    <t>JACHERE_MELLI_REEL_SURF</t>
  </si>
  <si>
    <t>JACHERE_MELLI_UNITE</t>
  </si>
  <si>
    <t>JACHERE_REEL_ARA</t>
  </si>
  <si>
    <t>JACHERE_REEL_SURF</t>
  </si>
  <si>
    <t>JACHERE_UNITE</t>
  </si>
  <si>
    <t>LEG_FRUITS_2_VARIETES</t>
  </si>
  <si>
    <t>LEG_FRUITS_3_VARIETES</t>
  </si>
  <si>
    <t>LEG_FRUITS_NB_ESPECES</t>
  </si>
  <si>
    <t>LISTE_MATERIEL_UTILISE</t>
  </si>
  <si>
    <t>LISTE_MATERIELS_METHODES</t>
  </si>
  <si>
    <t>MARE_CONV_ARA</t>
  </si>
  <si>
    <t>MARE_CONV_SURF</t>
  </si>
  <si>
    <t>MARE_REEL_ARA</t>
  </si>
  <si>
    <t>MARE_REEL_SURF</t>
  </si>
  <si>
    <t>MARE_UNITE</t>
  </si>
  <si>
    <t>MAX_POINTS_CMR</t>
  </si>
  <si>
    <t>MAX_POINTS_COUVERT_VEGETAL</t>
  </si>
  <si>
    <t>MAX_POINTS_DIVERSITE</t>
  </si>
  <si>
    <t>MAX_POINTS_IAE</t>
  </si>
  <si>
    <t>MAX_POINTS_MATERIEL_UTILISE</t>
  </si>
  <si>
    <t>MAX_POINTS_MENACEES</t>
  </si>
  <si>
    <t>MAX_POINTS_METHODES_ALTERNATIVES</t>
  </si>
  <si>
    <t>MAX_POINTS_NB_ESPECES_ANIMALES_ELEVEES</t>
  </si>
  <si>
    <t>MAX_POINTS_NB_ESPECES_VEG_CULTIVEES</t>
  </si>
  <si>
    <t>MAX_POINTS_PHYTO</t>
  </si>
  <si>
    <t>MAX_POINTS_POIDS_CULTURE_PRINCIPALE</t>
  </si>
  <si>
    <t>MAX_POINTS_PRESENCE_RUCHES</t>
  </si>
  <si>
    <t>MAX_POINTS_QUALITE_BIO_SOL</t>
  </si>
  <si>
    <t>MAX_POINTS_SUBST_ACT</t>
  </si>
  <si>
    <t>MAX_POINTS_SURF_NON_TRAITEE</t>
  </si>
  <si>
    <t>MAX_POINTS_SURVEILLANCE</t>
  </si>
  <si>
    <t>MAX_POINTS_TAILLES_PARCELLES</t>
  </si>
  <si>
    <t>MUR_CONV_ARA</t>
  </si>
  <si>
    <t>MUR_CONV_SURF</t>
  </si>
  <si>
    <t>MUR_REEL_ARA</t>
  </si>
  <si>
    <t>MUR_REEL_SURF</t>
  </si>
  <si>
    <t>MUR_UNITE</t>
  </si>
  <si>
    <t>NB_ARBO</t>
  </si>
  <si>
    <t>NB_AUTRES_CULT_ARABLES</t>
  </si>
  <si>
    <t>NB_CAMPAGNES_CONCERNEES</t>
  </si>
  <si>
    <t>NB_CULTURES_FOURRAGERES</t>
  </si>
  <si>
    <t>NB_CULTURES_HORS_SOL</t>
  </si>
  <si>
    <t>NB_ESPECES_AUTRES</t>
  </si>
  <si>
    <t>NB_ESPECES_BOVINES</t>
  </si>
  <si>
    <t>NB_ESPECES_CAPRINES</t>
  </si>
  <si>
    <t>NB_ESPECES_OVINES</t>
  </si>
  <si>
    <t>NB_ESPECES_PORCINES</t>
  </si>
  <si>
    <t>NB_ESPECES_SEMEES</t>
  </si>
  <si>
    <t>NB_ESPECES_VOLAILLES</t>
  </si>
  <si>
    <t>NB_FLEURS</t>
  </si>
  <si>
    <t>NB_LEG_FRUITS_HORS_ARBO</t>
  </si>
  <si>
    <t>NB_MATERIEL_UTILISE</t>
  </si>
  <si>
    <t>NB_RACES_ANIMALES_MENACEES</t>
  </si>
  <si>
    <t>NB_RUCHES</t>
  </si>
  <si>
    <t>NB_TYPE_IAE</t>
  </si>
  <si>
    <t>NB_VAR_VEG_MENACEES</t>
  </si>
  <si>
    <t>NB_VIGNES</t>
  </si>
  <si>
    <t>NOM_CULTURE_PRINCIPALE</t>
  </si>
  <si>
    <t>NOMS_MENACEES</t>
  </si>
  <si>
    <t>OBL_HERBE</t>
  </si>
  <si>
    <t>OBL_PART_IAE_CONCERNE</t>
  </si>
  <si>
    <t>OBL_PRAIRIES</t>
  </si>
  <si>
    <t>OBL_SOCLE_ITEM</t>
  </si>
  <si>
    <t>OBL_SURF_IAE</t>
  </si>
  <si>
    <t>OBL_TERRES_ARA</t>
  </si>
  <si>
    <t>OUTIL_DIAGNOSTIC</t>
  </si>
  <si>
    <t>PART_ARBO_COUVERTE</t>
  </si>
  <si>
    <t>PART_HORTI_HORS_PEPI_COUVERTE</t>
  </si>
  <si>
    <t>PART_SURF_PRAIRIES_PERM</t>
  </si>
  <si>
    <t>PART_VIGNES_COUVERTE</t>
  </si>
  <si>
    <t>PARTICIPATION_CAMPAGNE_PROSPECTION</t>
  </si>
  <si>
    <t>PLAFOND_SUBST_ACT_N</t>
  </si>
  <si>
    <t>PLAFOND_SUBST_ACT_N1</t>
  </si>
  <si>
    <t>PLAFOND_SUBST_ACT_N2</t>
  </si>
  <si>
    <t>PLANCHER_SUBST_ACT_N</t>
  </si>
  <si>
    <t>PLANCHER_SUBST_ACT_N1</t>
  </si>
  <si>
    <t>PLANCHER_SUBST_ACT_N2</t>
  </si>
  <si>
    <t>POIDS_IAE_TOT_EXPL</t>
  </si>
  <si>
    <t>POIDS_PART_IAE</t>
  </si>
  <si>
    <t>POIDS_SURF_TOT</t>
  </si>
  <si>
    <t>POURCENTAGE_SAU_NON_TRAITEE</t>
  </si>
  <si>
    <t>POURCENTAGE_SURF_ARBO</t>
  </si>
  <si>
    <t>POURCENTAGE_SURF_CULTURES_HORS_SOL</t>
  </si>
  <si>
    <t>POURCENTAGE_SURF_LEG_FRUITS</t>
  </si>
  <si>
    <t>POURCENTAGE_SURF_VIGNES</t>
  </si>
  <si>
    <t>PRAIRIES_CONV_SURF</t>
  </si>
  <si>
    <t>PRAIRIES_REEL_SURF</t>
  </si>
  <si>
    <t>PRAIRIES_UNITE</t>
  </si>
  <si>
    <t>PRORATA_SURF_CULTURES_ANNUELLES_CONCERNEES</t>
  </si>
  <si>
    <t>PRORATA_SURF_CULTURES_PERENNES_CONCERNEES</t>
  </si>
  <si>
    <t>QUANTITE_SUBST_ACT_N</t>
  </si>
  <si>
    <t>QUANTITE_SUBST_ACT_N1</t>
  </si>
  <si>
    <t>QUANTITE_TOTALE_SUBST_ACT</t>
  </si>
  <si>
    <t>RATIO_6HA_PERM_SAU</t>
  </si>
  <si>
    <t>RATIO_CULTURE_PPLE_SAU</t>
  </si>
  <si>
    <t>RECY_POURCENTAGE_EAUX_IRRIG</t>
  </si>
  <si>
    <t>RECY_POURCENTAGE_SYSTEME_PARTIEL</t>
  </si>
  <si>
    <t>RECY_POURCENTAGE_SYSTEME_TOTAL</t>
  </si>
  <si>
    <t>RECY_SURF_CONCERNEE</t>
  </si>
  <si>
    <t>RECY_SYSTEME_TRAIT_PARTIEL</t>
  </si>
  <si>
    <t>RECY_SYSTEME_TRAIT_TOTAL</t>
  </si>
  <si>
    <t>RECY_VOLUME_EAU_IRRIG</t>
  </si>
  <si>
    <t>RECY_VOLUME_EAU_RECYCLE</t>
  </si>
  <si>
    <t>RESULTAT_BILAN_IAE</t>
  </si>
  <si>
    <t>RESULTAT_CAMPAGNE_COLLECTIVE</t>
  </si>
  <si>
    <t>RESULTAT_COLLECTE_DONNEES</t>
  </si>
  <si>
    <t>RESULTAT_COUVERT_VEGETAL</t>
  </si>
  <si>
    <t>RESULTAT_CULTURES_HORS_SOL</t>
  </si>
  <si>
    <t>RESULTAT_DIVERSITE</t>
  </si>
  <si>
    <t>RESULTAT_DIVERSITE_ARBO</t>
  </si>
  <si>
    <t>RESULTAT_DIVERSITE_IAE</t>
  </si>
  <si>
    <t>RESULTAT_DIVERSITE_LEG_FRUITS</t>
  </si>
  <si>
    <t>RESULTAT_DIVERSITE_VIGNE</t>
  </si>
  <si>
    <t>RESULTAT_EAUX_IRRIG</t>
  </si>
  <si>
    <t>RESULTAT_HERBICIDES_CMR2</t>
  </si>
  <si>
    <t>RESULTAT_MATERIEL_UTILISE</t>
  </si>
  <si>
    <t>RESULTAT_NB_ESPECES_ANIMALES_ELEVEES</t>
  </si>
  <si>
    <t>RESULTAT_NB_ESPECES_VEG_CULTIVEES</t>
  </si>
  <si>
    <t>RESULTAT_NON_HERBICIDES_CMR2</t>
  </si>
  <si>
    <t>RESULTAT_PART_ARBO</t>
  </si>
  <si>
    <t>RESULTAT_PART_CULTURES_HORS_SOL</t>
  </si>
  <si>
    <t>RESULTAT_PART_LEG_FRUITS</t>
  </si>
  <si>
    <t>RESULTAT_PART_VIGNES</t>
  </si>
  <si>
    <t>RESULTAT_POIDS_CULTURE_PRINCIPALE</t>
  </si>
  <si>
    <t>RESULTAT_POIDS_IAE</t>
  </si>
  <si>
    <t>RESULTAT_PRESENCE_RUCHES</t>
  </si>
  <si>
    <t>RESULTAT_PRORATA_SUBST_ACT</t>
  </si>
  <si>
    <t>RESULTAT_QUALITE_BIO_SOL</t>
  </si>
  <si>
    <t>RESULTAT_RACES_ANIMALES_MENACEES</t>
  </si>
  <si>
    <t>RESULTAT_RECYCLAGE</t>
  </si>
  <si>
    <t>RESULTAT_SUBST_ACT</t>
  </si>
  <si>
    <t>RESULTAT_SURF_ARBO_COUVERTE</t>
  </si>
  <si>
    <t>RESULTAT_SURF_HORTI_COUVERTE</t>
  </si>
  <si>
    <t>RESULTAT_SURF_NON_TRAITEE</t>
  </si>
  <si>
    <t>RESULTAT_SURF_VIGNES_COUVERTE</t>
  </si>
  <si>
    <t>RESULTAT_SURVEILLANCE</t>
  </si>
  <si>
    <t>RESULTAT_SYSTEME_PARTIEL</t>
  </si>
  <si>
    <t>RESULTAT_SYSTEME_TOTAL</t>
  </si>
  <si>
    <t>RESULTAT_TAILLE_PARCELLES</t>
  </si>
  <si>
    <t>RESULTAT_TOTAL_POINTS_MENACEES</t>
  </si>
  <si>
    <t>RESULTAT_VAR_VEG_MENACEES</t>
  </si>
  <si>
    <t>SAU_HORS_PRAIRIES_PERM</t>
  </si>
  <si>
    <t>SOMME_AUTRES_CULTURES</t>
  </si>
  <si>
    <t>SOMME_CULTURES_ARABLES</t>
  </si>
  <si>
    <t>SOMME_PARCELLES_INF_6HA</t>
  </si>
  <si>
    <t>SUBST_ACT_PLAFOND_RETENU</t>
  </si>
  <si>
    <t>SUBST_ACT_PLANCHER_RETENU</t>
  </si>
  <si>
    <t>SURF_CULTURES_ANNUELLES_CONCERNEE</t>
  </si>
  <si>
    <t>SURF_CULTURES_PERENNES_CONCERNEE</t>
  </si>
  <si>
    <t>SURF_PP_NON_TRAITEES</t>
  </si>
  <si>
    <t>SURF_PRAIRIES_PERM</t>
  </si>
  <si>
    <t>SURF_REELLES_IAE</t>
  </si>
  <si>
    <t>SURF_TOTALE_CULTURES_ANNUELLES</t>
  </si>
  <si>
    <t>SURF_TOTALE_CULTURES_PERENNES</t>
  </si>
  <si>
    <t>SURF_TOTALE_NON_TRAITEE</t>
  </si>
  <si>
    <t>SURFACE_CULTURE_PRINCIPALE</t>
  </si>
  <si>
    <t>SURVEILLANCE_ACTIVE_POURCENTAGE_CONCERNE</t>
  </si>
  <si>
    <t>TEST_BECHE</t>
  </si>
  <si>
    <t>TOT_NB_ESPECES</t>
  </si>
  <si>
    <t>TOTAL_CMR</t>
  </si>
  <si>
    <t>TOTAL_ESPECES_ELEVEES</t>
  </si>
  <si>
    <t>TOTAL_RUCHES</t>
  </si>
  <si>
    <t>TOTAL_SURF_ARBO_CULTURES_PERENNES</t>
  </si>
  <si>
    <t>TOTAL_SURF_HORTI_HORS_PEPI</t>
  </si>
  <si>
    <t>UTILISATION_CMR1</t>
  </si>
  <si>
    <t>UTILISATION_HERBICIDES_CMR2</t>
  </si>
  <si>
    <t>UTILISATION_NON_HERBICIDES_CMR2</t>
  </si>
  <si>
    <t>VERGER_CONV_SURF</t>
  </si>
  <si>
    <t>VERGER_REEL_SURF</t>
  </si>
  <si>
    <t>VERGER_UNITE</t>
  </si>
  <si>
    <t>ZONES_HERBACEES_CONV_SURF</t>
  </si>
  <si>
    <t>ZONES_HERBACEES_REEL_SURF</t>
  </si>
  <si>
    <t>ZONES_HERBACEES_UNITE</t>
  </si>
  <si>
    <t>ZONES_HUMIDES_CONV_SURF</t>
  </si>
  <si>
    <t>ZONES_HUMIDES_REEL_SURF</t>
  </si>
  <si>
    <t>ZONES_HUMIDES_UNITE</t>
  </si>
  <si>
    <t>ARBO_ANC_PLAFOND_IFT_HERBICIDES</t>
  </si>
  <si>
    <t>ARBO_ANC_PLAFOND_IFT_HORS_HERBICIDES</t>
  </si>
  <si>
    <t>ARBO_ANC_PLANCHER_IFT_HERBICIDES</t>
  </si>
  <si>
    <t>ARBO_ANC_PLANCHER_IFT_HORS_HERBICIDES</t>
  </si>
  <si>
    <t>ARBO_CONDITION_ANCIENNE_NOTATION</t>
  </si>
  <si>
    <t>ARBO_IFT_REALISE_HERBICIDES</t>
  </si>
  <si>
    <t>ARBO_IFT_REALISE_HORS_HERBICIDES</t>
  </si>
  <si>
    <t>ARBO_PLAFOND_IFT_HERBICIDES</t>
  </si>
  <si>
    <t>ARBO_PLAFOND_IFT_HORS_HERBICIDES</t>
  </si>
  <si>
    <t>ARBO_PLANCHER_IFT_HERBICIDES</t>
  </si>
  <si>
    <t>ARBO_PLANCHER_IFT_HORS_HERBICIDES</t>
  </si>
  <si>
    <t>ARBO_RESULTAT_HERBICIDES</t>
  </si>
  <si>
    <t>ARBO_RESULTAT_HORS_HERBICIDES</t>
  </si>
  <si>
    <t>GC_ANC_PLAFOND_IFT_HERBICIDES</t>
  </si>
  <si>
    <t>GC_ANC_PLAFOND_IFT_HORS_HERBICIDES</t>
  </si>
  <si>
    <t>GC_ANC_PLANCHER_IFT_HERBICIDES</t>
  </si>
  <si>
    <t>GC_ANC_PLANCHER_IFT_HORS_HERBICIDES</t>
  </si>
  <si>
    <t>GC_CONDITION_ANCIENNE_NOTATION</t>
  </si>
  <si>
    <t>GC_IFT_REALISE_HERBICIDES</t>
  </si>
  <si>
    <t>GC_IFT_REALISE_HORS_HERBICIDES</t>
  </si>
  <si>
    <t>GC_PLAFOND_IFT_HERBICIDES</t>
  </si>
  <si>
    <t>GC_PLAFOND_IFT_HORS_HERBICIDES</t>
  </si>
  <si>
    <t>GC_PLANCHER_IFT_HERBICIDES</t>
  </si>
  <si>
    <t>GC_PLANCHER_IFT_HORS_HERBICIDES</t>
  </si>
  <si>
    <t>GC_RESULTAT_HERBICIDES</t>
  </si>
  <si>
    <t>GC_RESULTAT_HORS_HERBICIDES</t>
  </si>
  <si>
    <t>MAX_POINTS_RECYCLAGE</t>
  </si>
  <si>
    <t>PDT_IFT_REALISE_HERBICIDES</t>
  </si>
  <si>
    <t>PDT_IFT_REALISE_HORS_HERBICIDES</t>
  </si>
  <si>
    <t>QUANTITE_SUBST_ACT_N2</t>
  </si>
  <si>
    <t>RESULTAT_METHODES_ALTERNATIVES</t>
  </si>
  <si>
    <t>VIGNE_ANC_PLAFOND_IFT_HERBICIDES</t>
  </si>
  <si>
    <t>VIGNE_ANC_PLAFOND_IFT_HORS_HERBICIDES</t>
  </si>
  <si>
    <t>VIGNE_ANC_PLANCHER_IFT_HERBICIDES</t>
  </si>
  <si>
    <t>VIGNE_CONDITION_ANCIENNE_NOTATION</t>
  </si>
  <si>
    <t>VIGNE_IFT_REALISE_HERBICIDES</t>
  </si>
  <si>
    <t>VIGNE_IFT_REALISE_HORS_HERBICIDES</t>
  </si>
  <si>
    <t>VIGNE_PLAFOND_IFT_HERBICIDES</t>
  </si>
  <si>
    <t>VIGNE_PLAFOND_IFT_HORS_HERBICIDES</t>
  </si>
  <si>
    <t>VIGNE_PLANCHER_IFT_HERBICIDES</t>
  </si>
  <si>
    <t>VIGNE_PLANCHER_IFT_HORS_HERBICIDES</t>
  </si>
  <si>
    <t>VIGNE_RESULTAT_HERBICIDES</t>
  </si>
  <si>
    <t>VIGNE_RESULTAT_HORS_HERBICIDES</t>
  </si>
  <si>
    <t>Certification individuelle directe</t>
  </si>
  <si>
    <t>CERTIS</t>
  </si>
  <si>
    <t>v4</t>
  </si>
  <si>
    <t>GC_SURF</t>
  </si>
  <si>
    <t>VIGNE_SURF</t>
  </si>
  <si>
    <t>ARBO_SURF</t>
  </si>
  <si>
    <t>GC_RESULTAT</t>
  </si>
  <si>
    <t>VIGNE_RESULTAT</t>
  </si>
  <si>
    <t>ARBO_RESULTAT</t>
  </si>
  <si>
    <t>GC_MAX_POINTS</t>
  </si>
  <si>
    <t>VIGNE_MAX_POINTS</t>
  </si>
  <si>
    <t>ARBO_MAX_POINTS</t>
  </si>
  <si>
    <t>GC_ANCIENNE_NOTATION</t>
  </si>
  <si>
    <t>TOTAL_SURF</t>
  </si>
  <si>
    <t>VIGNE_ANCIENNE_NOTATION</t>
  </si>
  <si>
    <t>TOTAL_RESULTAT</t>
  </si>
  <si>
    <t>TOTAL_MAX_POINTS</t>
  </si>
  <si>
    <t>ARBO_ANCIENNE_NOTATION</t>
  </si>
  <si>
    <t>SUPERFICIE_TOTALE_IRRIGUEE</t>
  </si>
  <si>
    <t>ENREGISTREMENT_PRATIQUES_IRRIGATION</t>
  </si>
  <si>
    <t>NB_PARCELLES_IRRIGUEES</t>
  </si>
  <si>
    <t>NB_APPORTS_EAU</t>
  </si>
  <si>
    <t>NB_DONNEES_A_ENREGISTRER</t>
  </si>
  <si>
    <t>DATE_PERIODE_APPORT</t>
  </si>
  <si>
    <t>ESTIMATION_VOLUME_APPORT</t>
  </si>
  <si>
    <t>MODE_IRRIGATION</t>
  </si>
  <si>
    <t>MATERIEL_UTILISE</t>
  </si>
  <si>
    <t>ORIGINE_EAU</t>
  </si>
  <si>
    <t>FACTEUR_DECLENCHANT_IRRIGATION</t>
  </si>
  <si>
    <t>CULTURE_IRRIGUEE</t>
  </si>
  <si>
    <t>VARIETE_IRRIGUEE</t>
  </si>
  <si>
    <t>DATE_SEMIS</t>
  </si>
  <si>
    <t>AUTRES_PRATIQUES</t>
  </si>
  <si>
    <t>RENDEMENT_PARCELLE</t>
  </si>
  <si>
    <t>NB_DONNEES_MANQUANTES</t>
  </si>
  <si>
    <t>CALCUL_POINTS_PRATIQUES</t>
  </si>
  <si>
    <t>RESULTATS_POINTS_PRATIQUES</t>
  </si>
  <si>
    <t>MAX_POINTS_PRATIQUES</t>
  </si>
  <si>
    <t>NB_OUTILS_MIXTE</t>
  </si>
  <si>
    <t>POINTS_HORS_HORTICULTURE</t>
  </si>
  <si>
    <t>SURF_HORTICULTURE</t>
  </si>
  <si>
    <t>PART_SURF_HORTICULTURE</t>
  </si>
  <si>
    <t>POINTS_HORTICULTURE</t>
  </si>
  <si>
    <t>PART_SAU_HORS_HORTICULTURE</t>
  </si>
  <si>
    <t>PART_SAU_HORTICULTURE</t>
  </si>
  <si>
    <t>POINTS_UTILISATION_OUTILS</t>
  </si>
  <si>
    <t>MAX_POINTS_UTILISATION_OUTILS</t>
  </si>
  <si>
    <t>SURF_IRRIGUEE_AVEC_MATERIEL</t>
  </si>
  <si>
    <t>PART_SURF_IRRIGUEE_EQUIPEE</t>
  </si>
  <si>
    <t>RESULTATS_POINTS_UTILISATION_MATERIEL</t>
  </si>
  <si>
    <t>MAX_POINTS_UTILISATION_MATERIEL</t>
  </si>
  <si>
    <t>DEMARCHE_COLLECTIVE</t>
  </si>
  <si>
    <t>NOM_DEMARCHE_COLLECTIVE</t>
  </si>
  <si>
    <t>RESULTATS_POINTS_DEMARCHE_COLL</t>
  </si>
  <si>
    <t>MAX_POINTS_DEMARCHE_COLL</t>
  </si>
  <si>
    <t>SURF_IRRIGUEE_AVEC_PRATIQUES_AGRO</t>
  </si>
  <si>
    <t>PART_SURF_IRRIGUEE_PRATIQUES_AGRO</t>
  </si>
  <si>
    <t>RESULTATS_POINTS_PRATIQUES_AGRO</t>
  </si>
  <si>
    <t>MAX_POINTS_PRATIQUES_AGRO</t>
  </si>
  <si>
    <t>VOL_PRELEVE_HORS_ETIAGE</t>
  </si>
  <si>
    <t>VOL_PRELEVE_ETIAGE</t>
  </si>
  <si>
    <t>VOL_TOTAL_EAU</t>
  </si>
  <si>
    <t>PART_PRELEVE_ETIAGE</t>
  </si>
  <si>
    <t>RESULTATS_PRELEVE_ETIAGE</t>
  </si>
  <si>
    <t>MAX_PRELEVE_ETIAGE</t>
  </si>
  <si>
    <t>POINTS_RECYCLAGE_TRAITEMENT</t>
  </si>
  <si>
    <t>MAX_POINTS_RECYCLAGE_TRAITEMENT</t>
  </si>
  <si>
    <t>RECUP_EAU_PLUIE</t>
  </si>
  <si>
    <t>PART_SURF_CULTURES_HORS_SOL</t>
  </si>
  <si>
    <t>POINTS_RECUP_EAU_PLUIE</t>
  </si>
  <si>
    <t>MAX_POINTS_RECUP_EAU_PLUIE</t>
  </si>
  <si>
    <t>NOTE_GLOBALE_IRRIGATION</t>
  </si>
  <si>
    <t>MAX_NOTE_GLOBALE_IRRIGATION</t>
  </si>
  <si>
    <t>BGA_ENTREE_E1_1_N</t>
  </si>
  <si>
    <t>BGA_ENTREE_E1_2_N</t>
  </si>
  <si>
    <t>BGA_ENTREE_E2_N</t>
  </si>
  <si>
    <t>BGA_ENTREE_E3_N</t>
  </si>
  <si>
    <t>BGA_SORTIE_E1_3_N</t>
  </si>
  <si>
    <r>
      <t>BGA_SORTIE_</t>
    </r>
    <r>
      <rPr>
        <sz val="11"/>
        <color rgb="FF172B4D"/>
        <rFont val="Calibri"/>
        <family val="2"/>
        <scheme val="minor"/>
      </rPr>
      <t>S1_1_N</t>
    </r>
  </si>
  <si>
    <r>
      <t>BGA_SORTIE_</t>
    </r>
    <r>
      <rPr>
        <sz val="11"/>
        <color rgb="FF172B4D"/>
        <rFont val="Calibri"/>
        <family val="2"/>
        <scheme val="minor"/>
      </rPr>
      <t>S1_2_N</t>
    </r>
  </si>
  <si>
    <r>
      <t>BGA_SORTIE_</t>
    </r>
    <r>
      <rPr>
        <sz val="11"/>
        <color rgb="FF172B4D"/>
        <rFont val="Calibri"/>
        <family val="2"/>
        <scheme val="minor"/>
      </rPr>
      <t>S1_3_N</t>
    </r>
  </si>
  <si>
    <r>
      <t>BGA_BALANCE_AVANT_ENGRAIS</t>
    </r>
    <r>
      <rPr>
        <sz val="11"/>
        <color rgb="FF172B4D"/>
        <rFont val="Calibri"/>
        <family val="2"/>
        <scheme val="minor"/>
      </rPr>
      <t>_N</t>
    </r>
  </si>
  <si>
    <r>
      <t>BGA_BALANCE_APRES_ENGRAIS</t>
    </r>
    <r>
      <rPr>
        <sz val="11"/>
        <color rgb="FF172B4D"/>
        <rFont val="Calibri"/>
        <family val="2"/>
        <scheme val="minor"/>
      </rPr>
      <t>_N</t>
    </r>
  </si>
  <si>
    <r>
      <t>BIL_AP_ENTREE</t>
    </r>
    <r>
      <rPr>
        <sz val="11"/>
        <color theme="1"/>
        <rFont val="Calibri"/>
        <family val="2"/>
        <scheme val="minor"/>
      </rPr>
      <t>_E1_N</t>
    </r>
  </si>
  <si>
    <r>
      <t>BIL_AP_ENTREE</t>
    </r>
    <r>
      <rPr>
        <sz val="11"/>
        <color theme="1"/>
        <rFont val="Calibri"/>
        <family val="2"/>
        <scheme val="minor"/>
      </rPr>
      <t>_E2_1_N</t>
    </r>
  </si>
  <si>
    <r>
      <t>BIL_AP_ENTREE</t>
    </r>
    <r>
      <rPr>
        <sz val="11"/>
        <color theme="1"/>
        <rFont val="Calibri"/>
        <family val="2"/>
        <scheme val="minor"/>
      </rPr>
      <t>_E2_2_N</t>
    </r>
  </si>
  <si>
    <r>
      <t>BIL_AP_ENTREE</t>
    </r>
    <r>
      <rPr>
        <sz val="11"/>
        <color theme="1"/>
        <rFont val="Calibri"/>
        <family val="2"/>
        <scheme val="minor"/>
      </rPr>
      <t>_E2_3_N</t>
    </r>
  </si>
  <si>
    <r>
      <t>BIL_AP_ENTREE</t>
    </r>
    <r>
      <rPr>
        <sz val="11"/>
        <color theme="1"/>
        <rFont val="Calibri"/>
        <family val="2"/>
        <scheme val="minor"/>
      </rPr>
      <t>_E3_N</t>
    </r>
  </si>
  <si>
    <r>
      <t>BIL_AP_ENTREE</t>
    </r>
    <r>
      <rPr>
        <sz val="11"/>
        <color theme="1"/>
        <rFont val="Calibri"/>
        <family val="2"/>
        <scheme val="minor"/>
      </rPr>
      <t>_E4_N</t>
    </r>
  </si>
  <si>
    <r>
      <t>BIL_AP_SORTIE</t>
    </r>
    <r>
      <rPr>
        <sz val="11"/>
        <color theme="1"/>
        <rFont val="Calibri"/>
        <family val="2"/>
        <scheme val="minor"/>
      </rPr>
      <t>_S1_N</t>
    </r>
  </si>
  <si>
    <r>
      <t>BIL_AP_SORTIE</t>
    </r>
    <r>
      <rPr>
        <sz val="11"/>
        <color theme="1"/>
        <rFont val="Calibri"/>
        <family val="2"/>
        <scheme val="minor"/>
      </rPr>
      <t>_S2_N</t>
    </r>
  </si>
  <si>
    <r>
      <t>BIL_AP_SORTIE</t>
    </r>
    <r>
      <rPr>
        <sz val="11"/>
        <color theme="1"/>
        <rFont val="Calibri"/>
        <family val="2"/>
        <scheme val="minor"/>
      </rPr>
      <t>_S3_N</t>
    </r>
  </si>
  <si>
    <r>
      <t>BIL_AP_SORTIE</t>
    </r>
    <r>
      <rPr>
        <sz val="11"/>
        <color theme="1"/>
        <rFont val="Calibri"/>
        <family val="2"/>
        <scheme val="minor"/>
      </rPr>
      <t>_S4_N</t>
    </r>
  </si>
  <si>
    <r>
      <t>BIL_AP_BALANCE_AVANT_ENGRAIS</t>
    </r>
    <r>
      <rPr>
        <sz val="11"/>
        <color rgb="FF172B4D"/>
        <rFont val="Calibri"/>
        <family val="2"/>
        <scheme val="minor"/>
      </rPr>
      <t>_N</t>
    </r>
  </si>
  <si>
    <r>
      <t>BIL_AP_BALANCE_APRES_ENGRAIS</t>
    </r>
    <r>
      <rPr>
        <sz val="11"/>
        <color rgb="FF172B4D"/>
        <rFont val="Calibri"/>
        <family val="2"/>
        <scheme val="minor"/>
      </rPr>
      <t>_N</t>
    </r>
  </si>
  <si>
    <t>BGA_ENTREE_E1_1_N1</t>
  </si>
  <si>
    <t>BGA_ENTREE_E1_2_N1</t>
  </si>
  <si>
    <t>BGA_ENTREE_E2_N1</t>
  </si>
  <si>
    <t>BGA_ENTREE_E3_N1</t>
  </si>
  <si>
    <t>BGA_SORTIE_E1_3_N1</t>
  </si>
  <si>
    <r>
      <t>BGA_SORTIE_</t>
    </r>
    <r>
      <rPr>
        <sz val="11"/>
        <color rgb="FF172B4D"/>
        <rFont val="Calibri"/>
        <family val="2"/>
        <scheme val="minor"/>
      </rPr>
      <t>S1_1_N1</t>
    </r>
  </si>
  <si>
    <r>
      <t>BGA_SORTIE_</t>
    </r>
    <r>
      <rPr>
        <sz val="11"/>
        <color rgb="FF172B4D"/>
        <rFont val="Calibri"/>
        <family val="2"/>
        <scheme val="minor"/>
      </rPr>
      <t>S1_2_N1</t>
    </r>
  </si>
  <si>
    <r>
      <t>BGA_SORTIE_</t>
    </r>
    <r>
      <rPr>
        <sz val="11"/>
        <color rgb="FF172B4D"/>
        <rFont val="Calibri"/>
        <family val="2"/>
        <scheme val="minor"/>
      </rPr>
      <t>S1_3_N1</t>
    </r>
  </si>
  <si>
    <r>
      <t>BGA_BALANCE_AVANT_ENGRAIS</t>
    </r>
    <r>
      <rPr>
        <sz val="11"/>
        <color rgb="FF172B4D"/>
        <rFont val="Calibri"/>
        <family val="2"/>
        <scheme val="minor"/>
      </rPr>
      <t>_N1</t>
    </r>
  </si>
  <si>
    <r>
      <t>BGA_BALANCE_APRES_ENGRAIS</t>
    </r>
    <r>
      <rPr>
        <sz val="11"/>
        <color rgb="FF172B4D"/>
        <rFont val="Calibri"/>
        <family val="2"/>
        <scheme val="minor"/>
      </rPr>
      <t>_N1</t>
    </r>
  </si>
  <si>
    <r>
      <t>BIL_AP_ENTREE</t>
    </r>
    <r>
      <rPr>
        <sz val="11"/>
        <color theme="1"/>
        <rFont val="Calibri"/>
        <family val="2"/>
        <scheme val="minor"/>
      </rPr>
      <t>_E1_N1</t>
    </r>
  </si>
  <si>
    <r>
      <t>BIL_AP_ENTREE</t>
    </r>
    <r>
      <rPr>
        <sz val="11"/>
        <color theme="1"/>
        <rFont val="Calibri"/>
        <family val="2"/>
        <scheme val="minor"/>
      </rPr>
      <t>_E2_1_N1</t>
    </r>
  </si>
  <si>
    <r>
      <t>BIL_AP_ENTREE</t>
    </r>
    <r>
      <rPr>
        <sz val="11"/>
        <color theme="1"/>
        <rFont val="Calibri"/>
        <family val="2"/>
        <scheme val="minor"/>
      </rPr>
      <t>_E2_2_N1</t>
    </r>
  </si>
  <si>
    <r>
      <t>BIL_AP_ENTREE</t>
    </r>
    <r>
      <rPr>
        <sz val="11"/>
        <color theme="1"/>
        <rFont val="Calibri"/>
        <family val="2"/>
        <scheme val="minor"/>
      </rPr>
      <t>_E2_3_N1</t>
    </r>
  </si>
  <si>
    <r>
      <t>BIL_AP_ENTREE</t>
    </r>
    <r>
      <rPr>
        <sz val="11"/>
        <color theme="1"/>
        <rFont val="Calibri"/>
        <family val="2"/>
        <scheme val="minor"/>
      </rPr>
      <t>_E3_N1</t>
    </r>
  </si>
  <si>
    <r>
      <t>BIL_AP_ENTREE</t>
    </r>
    <r>
      <rPr>
        <sz val="11"/>
        <color theme="1"/>
        <rFont val="Calibri"/>
        <family val="2"/>
        <scheme val="minor"/>
      </rPr>
      <t>_E4_N1</t>
    </r>
  </si>
  <si>
    <r>
      <t>BIL_AP_SORTIE</t>
    </r>
    <r>
      <rPr>
        <sz val="11"/>
        <color theme="1"/>
        <rFont val="Calibri"/>
        <family val="2"/>
        <scheme val="minor"/>
      </rPr>
      <t>_S1_N1</t>
    </r>
  </si>
  <si>
    <r>
      <t>BIL_AP_SORTIE</t>
    </r>
    <r>
      <rPr>
        <sz val="11"/>
        <color theme="1"/>
        <rFont val="Calibri"/>
        <family val="2"/>
        <scheme val="minor"/>
      </rPr>
      <t>_S2_N1</t>
    </r>
  </si>
  <si>
    <r>
      <t>BIL_AP_SORTIE</t>
    </r>
    <r>
      <rPr>
        <sz val="11"/>
        <color theme="1"/>
        <rFont val="Calibri"/>
        <family val="2"/>
        <scheme val="minor"/>
      </rPr>
      <t>_S3_N1</t>
    </r>
  </si>
  <si>
    <r>
      <t>BIL_AP_SORTIE</t>
    </r>
    <r>
      <rPr>
        <sz val="11"/>
        <color theme="1"/>
        <rFont val="Calibri"/>
        <family val="2"/>
        <scheme val="minor"/>
      </rPr>
      <t>_S4_N1</t>
    </r>
  </si>
  <si>
    <r>
      <t>BIL_AP_BALANCE_AVANT_ENGRAIS</t>
    </r>
    <r>
      <rPr>
        <sz val="11"/>
        <color rgb="FF172B4D"/>
        <rFont val="Calibri"/>
        <family val="2"/>
        <scheme val="minor"/>
      </rPr>
      <t>_N1</t>
    </r>
  </si>
  <si>
    <r>
      <t>BIL_AP_BALANCE_APRES_ENGRAIS</t>
    </r>
    <r>
      <rPr>
        <sz val="11"/>
        <color rgb="FF172B4D"/>
        <rFont val="Calibri"/>
        <family val="2"/>
        <scheme val="minor"/>
      </rPr>
      <t>_N1</t>
    </r>
  </si>
  <si>
    <t>BGA_ENTREE_E1_1_N2</t>
  </si>
  <si>
    <t>BGA_ENTREE_E1_2_N2</t>
  </si>
  <si>
    <t>BGA_ENTREE_E2_N2</t>
  </si>
  <si>
    <t>BGA_ENTREE_E3_N2</t>
  </si>
  <si>
    <t>BGA_SORTIE_E1_3_N2</t>
  </si>
  <si>
    <r>
      <t>BGA_SORTIE_</t>
    </r>
    <r>
      <rPr>
        <sz val="11"/>
        <color rgb="FF172B4D"/>
        <rFont val="Calibri"/>
        <family val="2"/>
        <scheme val="minor"/>
      </rPr>
      <t>S1_1_N2</t>
    </r>
  </si>
  <si>
    <r>
      <t>BGA_SORTIE_</t>
    </r>
    <r>
      <rPr>
        <sz val="11"/>
        <color rgb="FF172B4D"/>
        <rFont val="Calibri"/>
        <family val="2"/>
        <scheme val="minor"/>
      </rPr>
      <t>S1_2_N2</t>
    </r>
  </si>
  <si>
    <r>
      <t>BGA_SORTIE_</t>
    </r>
    <r>
      <rPr>
        <sz val="11"/>
        <color rgb="FF172B4D"/>
        <rFont val="Calibri"/>
        <family val="2"/>
        <scheme val="minor"/>
      </rPr>
      <t>S1_3_N2</t>
    </r>
  </si>
  <si>
    <r>
      <t>BGA_BALANCE_AVANT_ENGRAIS</t>
    </r>
    <r>
      <rPr>
        <sz val="11"/>
        <color rgb="FF172B4D"/>
        <rFont val="Calibri"/>
        <family val="2"/>
        <scheme val="minor"/>
      </rPr>
      <t>_N2</t>
    </r>
  </si>
  <si>
    <r>
      <t>BGA_BALANCE_APRES_ENGRAIS</t>
    </r>
    <r>
      <rPr>
        <sz val="11"/>
        <color rgb="FF172B4D"/>
        <rFont val="Calibri"/>
        <family val="2"/>
        <scheme val="minor"/>
      </rPr>
      <t>_N2</t>
    </r>
  </si>
  <si>
    <r>
      <t>BIL_AP_ENTREE</t>
    </r>
    <r>
      <rPr>
        <sz val="11"/>
        <color theme="1"/>
        <rFont val="Calibri"/>
        <family val="2"/>
        <scheme val="minor"/>
      </rPr>
      <t>_E1_N2</t>
    </r>
  </si>
  <si>
    <r>
      <t>BIL_AP_ENTREE</t>
    </r>
    <r>
      <rPr>
        <sz val="11"/>
        <color theme="1"/>
        <rFont val="Calibri"/>
        <family val="2"/>
        <scheme val="minor"/>
      </rPr>
      <t>_E2_1_N2</t>
    </r>
  </si>
  <si>
    <r>
      <t>BIL_AP_ENTREE</t>
    </r>
    <r>
      <rPr>
        <sz val="11"/>
        <color theme="1"/>
        <rFont val="Calibri"/>
        <family val="2"/>
        <scheme val="minor"/>
      </rPr>
      <t>_E2_2_N2</t>
    </r>
  </si>
  <si>
    <r>
      <t>BIL_AP_ENTREE</t>
    </r>
    <r>
      <rPr>
        <sz val="11"/>
        <color theme="1"/>
        <rFont val="Calibri"/>
        <family val="2"/>
        <scheme val="minor"/>
      </rPr>
      <t>_E2_3_N2</t>
    </r>
  </si>
  <si>
    <r>
      <t>BIL_AP_ENTREE</t>
    </r>
    <r>
      <rPr>
        <sz val="11"/>
        <color theme="1"/>
        <rFont val="Calibri"/>
        <family val="2"/>
        <scheme val="minor"/>
      </rPr>
      <t>_E3_N2</t>
    </r>
  </si>
  <si>
    <r>
      <t>BIL_AP_ENTREE</t>
    </r>
    <r>
      <rPr>
        <sz val="11"/>
        <color theme="1"/>
        <rFont val="Calibri"/>
        <family val="2"/>
        <scheme val="minor"/>
      </rPr>
      <t>_E4_N2</t>
    </r>
  </si>
  <si>
    <r>
      <t>BIL_AP_SORTIE</t>
    </r>
    <r>
      <rPr>
        <sz val="11"/>
        <color theme="1"/>
        <rFont val="Calibri"/>
        <family val="2"/>
        <scheme val="minor"/>
      </rPr>
      <t>_S1_N2</t>
    </r>
  </si>
  <si>
    <r>
      <t>BIL_AP_SORTIE</t>
    </r>
    <r>
      <rPr>
        <sz val="11"/>
        <color theme="1"/>
        <rFont val="Calibri"/>
        <family val="2"/>
        <scheme val="minor"/>
      </rPr>
      <t>_S2_N2</t>
    </r>
  </si>
  <si>
    <r>
      <t>BIL_AP_SORTIE</t>
    </r>
    <r>
      <rPr>
        <sz val="11"/>
        <color theme="1"/>
        <rFont val="Calibri"/>
        <family val="2"/>
        <scheme val="minor"/>
      </rPr>
      <t>_S3_N2</t>
    </r>
  </si>
  <si>
    <r>
      <t>BIL_AP_SORTIE</t>
    </r>
    <r>
      <rPr>
        <sz val="11"/>
        <color theme="1"/>
        <rFont val="Calibri"/>
        <family val="2"/>
        <scheme val="minor"/>
      </rPr>
      <t>_S4_N2</t>
    </r>
  </si>
  <si>
    <r>
      <t>BIL_AP_BALANCE_AVANT_ENGRAIS</t>
    </r>
    <r>
      <rPr>
        <sz val="11"/>
        <color rgb="FF172B4D"/>
        <rFont val="Calibri"/>
        <family val="2"/>
        <scheme val="minor"/>
      </rPr>
      <t>_N2</t>
    </r>
  </si>
  <si>
    <r>
      <t>BIL_AP_BALANCE_APRES_ENGRAIS</t>
    </r>
    <r>
      <rPr>
        <sz val="11"/>
        <color rgb="FF172B4D"/>
        <rFont val="Calibri"/>
        <family val="2"/>
        <scheme val="minor"/>
      </rPr>
      <t>_N2</t>
    </r>
  </si>
  <si>
    <t>QUANTITE_AZOTE_APPORTEE_N</t>
  </si>
  <si>
    <t>QUANTITE_AZOTE_APPORTEE_N1</t>
  </si>
  <si>
    <t>QUANTITE_AZOTE_APPORTEE_N2</t>
  </si>
  <si>
    <t>PLAFOND_QUANTITE_AZOTE_APPORTEE_N</t>
  </si>
  <si>
    <t>PLAFOND_QUANTITE_AZOTE_APPORTEE_N1</t>
  </si>
  <si>
    <t>PLAFOND_QUANTITE_AZOTE_APPORTEE_N2</t>
  </si>
  <si>
    <t>PLANCHER_QUANTITE_AZOTE_APPORTEE_N</t>
  </si>
  <si>
    <t>PLANCHER_QUANTITE_AZOTE_APPORTEE_N1</t>
  </si>
  <si>
    <t>PLANCHER_QUANTITE_AZOTE_APPORTEE_N2</t>
  </si>
  <si>
    <t>OTEX_CONCERNE</t>
  </si>
  <si>
    <t>METHODE_CALCUL_RETENUE</t>
  </si>
  <si>
    <t>NB_CAMPAGNE_BILAN_AZOTE</t>
  </si>
  <si>
    <t>SOLDE_MOYEN_BILAN</t>
  </si>
  <si>
    <t>RESULTAT_SOLDE_MOYEN_BILAN</t>
  </si>
  <si>
    <t>PRISE_EN_COMPTE_CULTURE_MOYENNE</t>
  </si>
  <si>
    <t>SURF_CULTURES_MINEURES</t>
  </si>
  <si>
    <t>CORRECTION_NOMBRE_POINTS</t>
  </si>
  <si>
    <t>RESULTAT_BILAN_AZOTE</t>
  </si>
  <si>
    <t>MAX_POINTS_BILAN_AZOTE</t>
  </si>
  <si>
    <t>NB_CAMPAGNE_QUANTITE_AZOTE</t>
  </si>
  <si>
    <t>QUANTITE_TOTALE_AZOTE_APPORTEE</t>
  </si>
  <si>
    <t>PLAFOND_RETENU_QUANTITE_AZOTE</t>
  </si>
  <si>
    <t>PLANCHER_RETENU_QUANTITE_AZOTE</t>
  </si>
  <si>
    <t>RESULTAT_TOTAL_POINTS</t>
  </si>
  <si>
    <t>RESULTAT_QUANTITE_AZOTE</t>
  </si>
  <si>
    <t>MAX_POINTS_QUANTITE_AZOTE</t>
  </si>
  <si>
    <t>QUANTITE_AZOTE_MINERAL</t>
  </si>
  <si>
    <t>QUANTITE_AZOTE_ORGA</t>
  </si>
  <si>
    <t>QUANTITE_TOTALE_AZOTE</t>
  </si>
  <si>
    <t>POURCENTAGE_AZOTE_APPORTE</t>
  </si>
  <si>
    <t>RESULTAT_AZOTE_ORGA</t>
  </si>
  <si>
    <t>MAX_POINTS_AZOTE_ORGA</t>
  </si>
  <si>
    <t>GC_SURF_UTILISATION_PPF</t>
  </si>
  <si>
    <t>GC_SURF_UTILISATION_PPF_AJ</t>
  </si>
  <si>
    <t>GC_SURF_UTILISATION_ODP</t>
  </si>
  <si>
    <t>GC_SURF_UTILISATION_OPI</t>
  </si>
  <si>
    <t>VIGNE_SURF_UTILISATION_PPF</t>
  </si>
  <si>
    <t>VIGNE_SURF_UTILISATION_PPF_AJ</t>
  </si>
  <si>
    <t>VIGNE_SURF_UTILISATION_ODP</t>
  </si>
  <si>
    <t>CULTURES_MINEURES_SURF_UTILISATION_PPF_AJ</t>
  </si>
  <si>
    <t>CULTURES_MINEURES_SURF_UTILISATION_PPF</t>
  </si>
  <si>
    <t>TOTAL_SURF_BLE</t>
  </si>
  <si>
    <t>TOTAL_SURF_GC</t>
  </si>
  <si>
    <t>TOTAL_SURF_VIGNE_ARBO_MARAICHAGE</t>
  </si>
  <si>
    <t>GC_UTILISATION_OUTIL_PPF</t>
  </si>
  <si>
    <t>GC_RESULTAT_UTILISATION_OUTIL_PPF</t>
  </si>
  <si>
    <t>GC_POURCENTAGE_SURF_CONCERNEE_PPF_AJ</t>
  </si>
  <si>
    <t>GC_RESULTAT_PPF_AJ</t>
  </si>
  <si>
    <t>GC_POURCENTAGE_SURF_CONCERNEE_ODP</t>
  </si>
  <si>
    <t>GC_RESULTAT_ODP</t>
  </si>
  <si>
    <t>GC_POURCENTAGE_SURF_CONCERNEE_OPI</t>
  </si>
  <si>
    <t>GC_RESULTAT_OPI</t>
  </si>
  <si>
    <t>VIGNE_POURCENTAGE_SURF_CONCERNEE_PPF</t>
  </si>
  <si>
    <t>VIGNE_RESULTAT_PPF</t>
  </si>
  <si>
    <t>VIGNE_POURCENTAGE_SURF_CONCERNEE_PPF_AJ_ODP</t>
  </si>
  <si>
    <t>VIGNE_RESULTAT_PPF_AJ_ODP</t>
  </si>
  <si>
    <t>RESULTAT_TOTAL_CULTURES_PRINCIPALES</t>
  </si>
  <si>
    <t>CULTURES_MINEURES_POURCENTAGE_SURF_PPF_AJ_ODP</t>
  </si>
  <si>
    <t>CULTURES_MINEURES_RESULTAT_PPF_AJ_ODP</t>
  </si>
  <si>
    <t>CULTURES_MINEURES_POURCENTAGE_SURF_PPF</t>
  </si>
  <si>
    <t>CULTURES_MINEURES_RESULTAT_PPF</t>
  </si>
  <si>
    <t>RESULTAT_TOTAL_CULTURES_MINEURES</t>
  </si>
  <si>
    <t>RESULTAT_OAD</t>
  </si>
  <si>
    <t>MAX_POINTS_OAD</t>
  </si>
  <si>
    <t>AUTRES_SURFACES_NON_FERTILISEES</t>
  </si>
  <si>
    <t>TOTAL_SURFACES_NON_FERTILISEES</t>
  </si>
  <si>
    <t>POURCENTAGE_SURFACES_NON_FERTILISEES</t>
  </si>
  <si>
    <t>RESULTAT_SAU_NON_FERTILISEE</t>
  </si>
  <si>
    <t>MAX_POINTS_SAU_NON_FERTILISEE</t>
  </si>
  <si>
    <t>SURF_PROTEAGINEUX</t>
  </si>
  <si>
    <t>SURF_PP_LEGUMINEUSES</t>
  </si>
  <si>
    <t>SURF_LEGUMINEUSES_INTER_RANGS</t>
  </si>
  <si>
    <t>TOTAL_SURF_LEGUMINEUSES</t>
  </si>
  <si>
    <t>POURCENTAGE_SURF_LEGUMINEUSES</t>
  </si>
  <si>
    <t>RESULTAT_LEGUMINEUSES</t>
  </si>
  <si>
    <t>MAX_POINTS_LEGUMINEUSES</t>
  </si>
  <si>
    <t>COUVERTURE_HORS_CULTURES_PERENNES</t>
  </si>
  <si>
    <t>ZONE_VULNERABLE_RESPECT_DUREE_REGLEMENTAIRE</t>
  </si>
  <si>
    <t>HORS_ZONE_VULNERABLE_RESPECT_DUREE_REGLEMENTAIRE</t>
  </si>
  <si>
    <t>ZONE_VULNERABLE_SURF_TOTALE_CONCERNEE</t>
  </si>
  <si>
    <t>ZONE_VULNERABLE_COUVERTE</t>
  </si>
  <si>
    <t>ZONE_VULNERABLE_NB_SEMAINES_COUVERT</t>
  </si>
  <si>
    <t>HORS_ZONE_VULNERABLE_SURF_TOTALE_CONCERNEE</t>
  </si>
  <si>
    <t>HORS_ZONE_VULNERABLE_COUVERTE</t>
  </si>
  <si>
    <t>HORS_ZONE_VULNERABLE_NB_SEMAINES_COUVERT</t>
  </si>
  <si>
    <t>TOTAL_SAU_HORS_VITI_ARBO_HORTI</t>
  </si>
  <si>
    <t>ZONE_VULNERABLE_POURCENT_SURF_HORS_VITI_ARBO_HORTI</t>
  </si>
  <si>
    <t>RESULTAT_ZONE_VULNERABLE_SURF_HORS_VITI_ARBO_HORTI</t>
  </si>
  <si>
    <t>HORS_ZONE_VULNERABLE_POURCENT_SURF_HORS_VITI_ARBO_HORTI</t>
  </si>
  <si>
    <t>RESULTAT_HORS_ZONE_VULNERABLE_HORS_VITI_ARBO_HORTI</t>
  </si>
  <si>
    <t>ZONE_VULNERABLE_POURCENT_SAU_HORS_VITI_ARBO_HORTI</t>
  </si>
  <si>
    <t>RESULTAT_ZONE_VULNERABLE_SAU_HORS_VITI_ARBO_HORTI</t>
  </si>
  <si>
    <t>HORS_ZONE_VULNERABLE_POURCENT_SAU_HORS_VITI_ARBO_HORTI</t>
  </si>
  <si>
    <t>RESULTAT_HORS_ZONE_VULNERABLE_SAU_HORS_VITI_ARBO_HORTI</t>
  </si>
  <si>
    <t>POURCENTAGE_SAU_VIGNES</t>
  </si>
  <si>
    <t>RESULTAT_SAU_VIGNES</t>
  </si>
  <si>
    <t>POURCENTAGE_SAU_ARBO</t>
  </si>
  <si>
    <t>RESULTAT_SAU_ARBO</t>
  </si>
  <si>
    <t>POURCENTAGE_SAU_HORTI</t>
  </si>
  <si>
    <t>RESULTAT_SAU_HORTI</t>
  </si>
  <si>
    <t>RESULTAT_COUVERTURE_SOLS</t>
  </si>
  <si>
    <t>MAX_POINTS_COUVERTURE_SOLS</t>
  </si>
  <si>
    <t>SURF_HORTI_EQUIPEE</t>
  </si>
  <si>
    <t>POURCENTAGE_SURF_HORTI_EQUIPEE</t>
  </si>
  <si>
    <t>RESULTAT_TOTAL_APPORTS_FERTILISANTS</t>
  </si>
  <si>
    <t>RESULTAT_PRORATA_APPORTS_FERTILISANTS</t>
  </si>
  <si>
    <t>MAX_POINTS_APPORTS_FERTILISANTS</t>
  </si>
  <si>
    <t>RESULTAT_RECYCLAGE_TRAITEMENT_EAUX_IRRIG</t>
  </si>
  <si>
    <t>MAX_POINTS_RECYCLAGE_TRAITEMENT_EAUX_IRRIG</t>
  </si>
  <si>
    <t>MAX_POINTS_FERTILISATION</t>
  </si>
  <si>
    <t>DESCRIPTION_MATERIEL_UTILISE</t>
  </si>
  <si>
    <t>DESCRIPTION_PRATIQUES_AGRO</t>
  </si>
  <si>
    <t>EXPLOIT_IRRIGANTE</t>
  </si>
  <si>
    <t>SUPERFICIE_TOTALE_IRRIGABLE</t>
  </si>
  <si>
    <t>SURF_IRRIGUEE</t>
  </si>
  <si>
    <t>NB_OUTILS_EVAL_OFFRE</t>
  </si>
  <si>
    <t>NB_OUTILS_EVAL_DEMANDE</t>
  </si>
  <si>
    <t>NOTE_GLOBALE_FERTILISATION</t>
  </si>
  <si>
    <t>NOTE_GLOBALE_PHYTO</t>
  </si>
  <si>
    <t>MAX_POINTS_BIODIVERSITE</t>
  </si>
  <si>
    <t>NOTE_GLOBALE_BIODIVERSITE</t>
  </si>
  <si>
    <t>ARBO_RESULTAT_ANC_NOTATION_HERBICIDES</t>
  </si>
  <si>
    <t>ARBO_RESULTAT_ANC_NOTATION_HORS_HERBICIDES</t>
  </si>
  <si>
    <t>VIGNE_RESULTAT_ANC_NOTATION_HERBICIDES</t>
  </si>
  <si>
    <t>VIGNE_RESULTAT_ANC_NOTATION_HORS_HERBICIDES</t>
  </si>
  <si>
    <t>GC_RESULTAT_ANC_NOTATION_HERBICIDES</t>
  </si>
  <si>
    <t>GC_RESULTAT_ANC_NOTATION_HORS_HERBICIDES</t>
  </si>
  <si>
    <t>Onglet Suivi modif</t>
  </si>
  <si>
    <t>Onglet Identification</t>
  </si>
  <si>
    <t>Ajout de la version du référentiel et de la version de la trame.
Nommage des cellules nécessaires pour l'import dans Certibase.</t>
  </si>
  <si>
    <t>Nommage des cellules nécessaires pour l'import dans Certibase.</t>
  </si>
  <si>
    <t>Onglet Biodiversité</t>
  </si>
  <si>
    <t>Onglet Fertilisation</t>
  </si>
  <si>
    <t>Onglet Irrigation</t>
  </si>
  <si>
    <t>Décision</t>
  </si>
  <si>
    <t>Onglet SYNTHESE</t>
  </si>
  <si>
    <t>Décisions initial</t>
  </si>
  <si>
    <t>Décisions suivi</t>
  </si>
  <si>
    <t>Décisions renouvellement</t>
  </si>
  <si>
    <t>Accord</t>
  </si>
  <si>
    <t>Refus</t>
  </si>
  <si>
    <t>Maintien</t>
  </si>
  <si>
    <t>Suspension</t>
  </si>
  <si>
    <t>Retrait</t>
  </si>
  <si>
    <t>POURCENTAGE_CULTURES_MINEURES</t>
  </si>
  <si>
    <t>RESULTAT_DIAGNOSTIC_PRECOCE</t>
  </si>
  <si>
    <t>VIGNE_ANC_PLANCHER_IFT_HORS_HERBICIDES</t>
  </si>
  <si>
    <t>Certification individuelle dans un cadre collectif</t>
  </si>
  <si>
    <t>Code associé</t>
  </si>
  <si>
    <t>AFNOR CERTIFICATION</t>
  </si>
  <si>
    <t>ALPES CONTROLES</t>
  </si>
  <si>
    <t>BUREAU VERITAS CERTIFICATION</t>
  </si>
  <si>
    <t>CERTIPAQ</t>
  </si>
  <si>
    <t>CERTISUD</t>
  </si>
  <si>
    <t>CKCERT</t>
  </si>
  <si>
    <t>CONTROL UNION INSPECTIONS FRANCE</t>
  </si>
  <si>
    <t>ECOCERT</t>
  </si>
  <si>
    <t>LRO</t>
  </si>
  <si>
    <t>OCACIA</t>
  </si>
  <si>
    <t>QB VERIFICATION</t>
  </si>
  <si>
    <t>QUALISUD</t>
  </si>
  <si>
    <t>SGS ICS</t>
  </si>
  <si>
    <t>SOCOFRET</t>
  </si>
  <si>
    <t>TERRAE</t>
  </si>
  <si>
    <t>AVPI</t>
  </si>
  <si>
    <t>AFNOR</t>
  </si>
  <si>
    <t>ALPES</t>
  </si>
  <si>
    <t>VERITAS</t>
  </si>
  <si>
    <t>UNION</t>
  </si>
  <si>
    <t>QB</t>
  </si>
  <si>
    <t>SGS</t>
  </si>
  <si>
    <t>Norme NF V01-007 dans le cadre d'Agri Confiance mise en place par l'Union de producteurs de Grangeneuve et Rauzan</t>
  </si>
  <si>
    <t>Individuel</t>
  </si>
  <si>
    <t>Collectif</t>
  </si>
  <si>
    <t>Rang (gauche - droite)</t>
  </si>
  <si>
    <t>Chiffres</t>
  </si>
  <si>
    <t>Double rang impair</t>
  </si>
  <si>
    <t>Supérieur à 10</t>
  </si>
  <si>
    <t>SIRET exploitation</t>
  </si>
  <si>
    <t>SIRET structure coll.</t>
  </si>
  <si>
    <t>Durée de l'audit</t>
  </si>
  <si>
    <t>CVI</t>
  </si>
  <si>
    <t>Nom de l'exploitant</t>
  </si>
  <si>
    <t>Année de création</t>
  </si>
  <si>
    <t>Identification de l'exploitation auditée</t>
  </si>
  <si>
    <t>Activité végétale principale</t>
  </si>
  <si>
    <t>Activité végétale secondaire</t>
  </si>
  <si>
    <t>Activité végétale autre</t>
  </si>
  <si>
    <t>Activité animale principale</t>
  </si>
  <si>
    <t>Activité animale secondaire</t>
  </si>
  <si>
    <t>Activité animale autre</t>
  </si>
  <si>
    <t>Démarche équivalence niveau 2</t>
  </si>
  <si>
    <t>Autre démarche qualité 1</t>
  </si>
  <si>
    <t>Autre démarche qualité 2</t>
  </si>
  <si>
    <t>Autre démarche qualité 3</t>
  </si>
  <si>
    <t>Autres certifications de l'exploitation</t>
  </si>
  <si>
    <t>Surface de l'exploitation</t>
  </si>
  <si>
    <t>SNE</t>
  </si>
  <si>
    <t>IDENTIFICATION</t>
  </si>
  <si>
    <t>SURFACES</t>
  </si>
  <si>
    <t>Adresse complément</t>
  </si>
  <si>
    <t>Onglet Synthese_coll_v1.0</t>
  </si>
  <si>
    <t>Création de l'onglet. Il s'agit d'une refonte de l'onglet BDD_SC qui permettra aux SC de réaliser les copier-coller dans le fichier de synthèse du collectif.</t>
  </si>
  <si>
    <t>Contexte de l'audit interne</t>
  </si>
  <si>
    <t>2e suivi (cadre collectif)</t>
  </si>
  <si>
    <t>Légumes, fleurs (y compris les plantes médicinales, à parfum, ornementales, aromatiques) et fruits hors arboriculture - hors pommes de terre</t>
  </si>
  <si>
    <r>
      <rPr>
        <b/>
        <i/>
        <sz val="11"/>
        <rFont val="Calibri"/>
        <family val="2"/>
      </rPr>
      <t xml:space="preserve">Information </t>
    </r>
    <r>
      <rPr>
        <i/>
        <sz val="11"/>
        <rFont val="Calibri"/>
        <family val="2"/>
        <scheme val="minor"/>
      </rPr>
      <t>:</t>
    </r>
    <r>
      <rPr>
        <i/>
        <sz val="11"/>
        <color rgb="FFFF0000"/>
        <rFont val="Calibri"/>
        <family val="2"/>
        <scheme val="minor"/>
      </rPr>
      <t xml:space="preserve"> Seules les cultures hors sol sont concernées par cet item.</t>
    </r>
  </si>
  <si>
    <t>Part des surfaces en cultures hors sol avec un système total</t>
  </si>
  <si>
    <t>Part des surfaces en cultures hors sol avec un système partiel</t>
  </si>
  <si>
    <r>
      <rPr>
        <b/>
        <sz val="8"/>
        <color rgb="FFFF0000"/>
        <rFont val="Arial"/>
        <family val="2"/>
      </rPr>
      <t xml:space="preserve">* </t>
    </r>
    <r>
      <rPr>
        <sz val="8"/>
        <color rgb="FFFF0000"/>
        <rFont val="Arial"/>
        <family val="2"/>
      </rPr>
      <t>si cet audit est le 1er</t>
    </r>
  </si>
  <si>
    <t>Niveaux de certification</t>
  </si>
  <si>
    <t>Date attestion niveau 1</t>
  </si>
  <si>
    <t>Structure validatrice du niveau 1</t>
  </si>
  <si>
    <t>Certification niveau 2</t>
  </si>
  <si>
    <t>Date de certification niveau 2</t>
  </si>
  <si>
    <t>Organisme certificateur niveau 2</t>
  </si>
  <si>
    <t>Date de 1ère délivrance de la certification HVE</t>
  </si>
  <si>
    <t>Date de suspension de la certification</t>
  </si>
  <si>
    <t>Date d'arrêt de la certification</t>
  </si>
  <si>
    <t>Date 1ère certif HVE</t>
  </si>
  <si>
    <t>Non renseigné dans la trame v1.09</t>
  </si>
  <si>
    <t>Pour toutes les colonnes suivantes, suppression des formules et ajout de la mention "Non renseignée dans la trame v1.09" :
- "Date attestation niveau 1" (S)
- "Structure validatrice niveau 1" (T).
- "Certification de niveau 2" (U)
- "Date de certification niveau 2" (V)
- "Organisme certificateur niveau 2" (W)
- "Date de 1ère délivrance de la certification HVE" (Z)
- "Date de suspension de la certification" (AA)
- "Date d'arrêt de la certification" (AB)
- "Date 1ère certif HVE" (AQ)
- "Version référentiel" (AR)</t>
  </si>
  <si>
    <t>Commentaires</t>
  </si>
  <si>
    <t>@</t>
  </si>
  <si>
    <t>nb car interdits</t>
  </si>
  <si>
    <t xml:space="preserve">position @ </t>
  </si>
  <si>
    <t>NBCAR</t>
  </si>
  <si>
    <t>Caractères de fin avec le point</t>
  </si>
  <si>
    <t>Adresse à vérifier</t>
  </si>
  <si>
    <t>adressemail@detest.fr</t>
  </si>
  <si>
    <t>Le caractère "@" est obligatoire et doit être présent une seule fois</t>
  </si>
  <si>
    <t>Pas de "." (point) avant "@"</t>
  </si>
  <si>
    <t>Le caractère "." (point) ne peut pas être présent 2 fois de suite</t>
  </si>
  <si>
    <t>L'adresse ne doit pas contenir de caractère interdit</t>
  </si>
  <si>
    <t>La partie locale (avant le @) fait 64 caractères au maximum</t>
  </si>
  <si>
    <t>Caractères autorisés</t>
  </si>
  <si>
    <t>.</t>
  </si>
  <si>
    <t>_</t>
  </si>
  <si>
    <t>a</t>
  </si>
  <si>
    <t>b</t>
  </si>
  <si>
    <t>c</t>
  </si>
  <si>
    <t>d</t>
  </si>
  <si>
    <t>e</t>
  </si>
  <si>
    <t>f</t>
  </si>
  <si>
    <t>g</t>
  </si>
  <si>
    <t>h</t>
  </si>
  <si>
    <t>i</t>
  </si>
  <si>
    <t>j</t>
  </si>
  <si>
    <t>k</t>
  </si>
  <si>
    <t>l</t>
  </si>
  <si>
    <t>m</t>
  </si>
  <si>
    <t>n</t>
  </si>
  <si>
    <t>o</t>
  </si>
  <si>
    <t>p</t>
  </si>
  <si>
    <t>q</t>
  </si>
  <si>
    <t>r</t>
  </si>
  <si>
    <t>s</t>
  </si>
  <si>
    <t>t</t>
  </si>
  <si>
    <t>u</t>
  </si>
  <si>
    <t>v</t>
  </si>
  <si>
    <t>w</t>
  </si>
  <si>
    <t>y</t>
  </si>
  <si>
    <t>z</t>
  </si>
  <si>
    <t>Fruits hors sol</t>
  </si>
  <si>
    <t>Légumes hors sol</t>
  </si>
  <si>
    <t>v1.09</t>
  </si>
  <si>
    <t>Onglet Accueil</t>
  </si>
  <si>
    <t>Ajout de formules pour récupérer automatiquement la version et la date depuis l'onglet "Suivi modif".</t>
  </si>
  <si>
    <t>Note sur la campagne évaluée : la campagne évaluée est la dernière campagne achevée à la date de l’audit.</t>
  </si>
  <si>
    <t>Biodiversité</t>
  </si>
  <si>
    <t>Phyto</t>
  </si>
  <si>
    <t>Fertilisation</t>
  </si>
  <si>
    <t>Irrigation</t>
  </si>
  <si>
    <r>
      <rPr>
        <sz val="11"/>
        <color rgb="FFFF0000"/>
        <rFont val="Arial"/>
        <family val="2"/>
      </rPr>
      <t>*</t>
    </r>
    <r>
      <rPr>
        <sz val="8"/>
        <color rgb="FFFF0000"/>
        <rFont val="Arial"/>
        <family val="2"/>
      </rPr>
      <t xml:space="preserve"> si cet audit est le 1er</t>
    </r>
  </si>
  <si>
    <t>* Nouvelle colonne</t>
  </si>
  <si>
    <t>Date de délivrance de la 1ère certification</t>
  </si>
  <si>
    <t>Date de 1ère certification selon la V4</t>
  </si>
  <si>
    <t>Cet onglet sera supprimé de la trame de la grille d'audit après la dernière campagne de recensement.</t>
  </si>
  <si>
    <t>SYNTHESE</t>
  </si>
  <si>
    <t>Résultat de l'audit</t>
  </si>
  <si>
    <t>Total SAU hors sol</t>
  </si>
  <si>
    <t>Audit interne</t>
  </si>
  <si>
    <t>Exploitation irrigante</t>
  </si>
  <si>
    <t>Les exploitations sont classées selon leur spécialisation : l'orientation technico- économique (OTEX). Ce classement se fait à partir des coefficients de production brute standard (PBS).
Une exploitation est spécialisée dans un domaine si la PBS de la ou des productions concernées dépasse deux tiers du total.</t>
  </si>
  <si>
    <t>SURF_HS_RECYCL_TRAIT_TOTAL</t>
  </si>
  <si>
    <t>SURF_HS_RECYCL_TRAIT_PARTIEL</t>
  </si>
  <si>
    <t>PART_SURF_HS_SYSTEME_TOTAL</t>
  </si>
  <si>
    <t>PART_SURF_HS_SYSTEME_PARTIEL</t>
  </si>
  <si>
    <t>RESULTAT_SURF_HS_SYSTEME_TOTAL</t>
  </si>
  <si>
    <t>RESULTAT_SURF_HS_SYSTEME_PARTIEL</t>
  </si>
  <si>
    <t>Démarches de niveau 2</t>
  </si>
  <si>
    <t>Norme NF V01-007 dans le cadre d'Agri Confiance mise en place par l'Union des Vignerons des Côtes du Luberon (UVCL)</t>
  </si>
  <si>
    <t>Norme NF V01-007 dans le cadre d'Agri Confiance mise en place par l'Union des Producteurs de Saint-Emilion</t>
  </si>
  <si>
    <t>Norme NF V01 - 007 dans le cadre d'Agri Confiance mise en place par la SCA Vignerons de Puisseguin Lussac</t>
  </si>
  <si>
    <t>Norme NF V01-007 dans le cadre d'Agri Confiance mise en place par la cave coopérative vinicole Wolfberger</t>
  </si>
  <si>
    <t>Production et transformation de viande de veau de boucherie portée par l'association Bleu Blanc Cœur</t>
  </si>
  <si>
    <t>Norme NF V01-007 dans le cadre d'Agri Confiance mise en place par la Coopérative de la Tricherie</t>
  </si>
  <si>
    <t>Norme NF V01-007 dans le cadre d'Agri Confiance mise en place par EUREDEN (Légumes industries)</t>
  </si>
  <si>
    <t>Norme NF V01-007 dans le cadre d'Agri Confiance mise en place par les Vignerons d'Uni-Médoc</t>
  </si>
  <si>
    <t>Norme NF V01-007 dans le cadre d'Agri Confiance mise en place par la Cave Anne de Joyeuse</t>
  </si>
  <si>
    <t>Charte nationale de production intégrée des producteurs de pêches-nectarines et abricots</t>
  </si>
  <si>
    <t>Norme NF V01-007 dans le cadre d'Agri Confiance mise en place par les Vignerons de Buzet</t>
  </si>
  <si>
    <t>Norme NF V01-007 dans le cadre d'Agri Confiance mise en place par VALFRANCE</t>
  </si>
  <si>
    <t>Norme NF V01-007 dans le cadre d'Agri Confiance mise en place par la CAVAC</t>
  </si>
  <si>
    <t>Norme NF V01-007 dans le cadre d'Agri Confiance mise en place par la SCARA</t>
  </si>
  <si>
    <t>Norme NF V01-007 dans le cadre d'Agri Confiance mise en place par Terrena</t>
  </si>
  <si>
    <t>Charte nationale de production fruitière intégrée des producteurs de noix</t>
  </si>
  <si>
    <t>Cahier des charges de production de légumes Bonduelle en Hauts de France</t>
  </si>
  <si>
    <t>Charte qualité "Noisettes et Noix Naturellement Durables (N3D)"</t>
  </si>
  <si>
    <t>Charte environnement le veau responsable – Tendriade</t>
  </si>
  <si>
    <t>Filière Qualité Carrefour (EQC) et Reflets de France</t>
  </si>
  <si>
    <t>Charte Qualité des Pomiculteurs de France (QPF)</t>
  </si>
  <si>
    <t>Charte nationale de production intégrée Prune</t>
  </si>
  <si>
    <t>CRC - Culture Raisonnée Contrôlée CC/01/19</t>
  </si>
  <si>
    <t>CRC - Culture Raisonnée Contrôlée CC/02/20</t>
  </si>
  <si>
    <t>Charte EVA-Environnement (poulet de chair)</t>
  </si>
  <si>
    <t>Charte de production des produits de serre</t>
  </si>
  <si>
    <t>Charte EVA-Environnement (canard à rôtir)</t>
  </si>
  <si>
    <t>CultivUp - Expert Environnement - AXEREAL</t>
  </si>
  <si>
    <t>Norme NF V30-001 mise en place par Cavac</t>
  </si>
  <si>
    <t>Culture Durable en Auvergne-Rhône-Alpes</t>
  </si>
  <si>
    <t>Charte environnementale Kiwi Garlanpy</t>
  </si>
  <si>
    <t>Filière Responsable Moulins Soufflet</t>
  </si>
  <si>
    <t>Filière Excellence Moulins Soufflet</t>
  </si>
  <si>
    <t>Engagement qualité Carrefour Pommes</t>
  </si>
  <si>
    <t>Charte EVA-Environnement (pintade)</t>
  </si>
  <si>
    <t>La Nouvelle Agriculture de Terrena</t>
  </si>
  <si>
    <t>Bonnes pratiques agricoles SCAMARK</t>
  </si>
  <si>
    <t>CRC - Culture Raisonnée Contrôlée</t>
  </si>
  <si>
    <t>BEE FRIENDLY (Fruits et légumes)</t>
  </si>
  <si>
    <t>Viticulture Durable en Champagne</t>
  </si>
  <si>
    <t>Charte EVA-Environnement (dinde)</t>
  </si>
  <si>
    <t>Charte Cocotine - Environnement</t>
  </si>
  <si>
    <t>Charte Environnement COOPERL</t>
  </si>
  <si>
    <t>Eh Cherry Cerise de Bessenay</t>
  </si>
  <si>
    <t>Plante Bleue « Certifié »</t>
  </si>
  <si>
    <t>Zéro Résidu de Pesticides</t>
  </si>
  <si>
    <t>Référentiel Blé Terrena</t>
  </si>
  <si>
    <t>Vaches aux pâturage</t>
  </si>
  <si>
    <t>LEAF (périmètre UE)</t>
  </si>
  <si>
    <t>Plaisir &amp; Confiance</t>
  </si>
  <si>
    <t>Signature Normande</t>
  </si>
  <si>
    <t>Préférence Nestlé</t>
  </si>
  <si>
    <t>Qualenvi Lauréat</t>
  </si>
  <si>
    <t>Fruits et Nature</t>
  </si>
  <si>
    <t>Demain la Terre</t>
  </si>
  <si>
    <t>Label Equures</t>
  </si>
  <si>
    <t>Charte d'Aucy</t>
  </si>
  <si>
    <t>BEE FRIENDLY</t>
  </si>
  <si>
    <t>VEGAPLAN-FR</t>
  </si>
  <si>
    <t>Terra Vitis</t>
  </si>
  <si>
    <t>Sud Nature</t>
  </si>
  <si>
    <t>AGRIVITAE</t>
  </si>
  <si>
    <t>CRITERRES</t>
  </si>
  <si>
    <t>GBDS</t>
  </si>
  <si>
    <t>LUBERON</t>
  </si>
  <si>
    <t>GRANGENEUVE</t>
  </si>
  <si>
    <t>EMILION</t>
  </si>
  <si>
    <t>PUISSEGUIN</t>
  </si>
  <si>
    <t>WOLFBERGER</t>
  </si>
  <si>
    <t>BBC</t>
  </si>
  <si>
    <t>TRICHERIE</t>
  </si>
  <si>
    <t>EUREDEN</t>
  </si>
  <si>
    <t>UNIMEDOC</t>
  </si>
  <si>
    <t>CAJ</t>
  </si>
  <si>
    <t>PECHE</t>
  </si>
  <si>
    <t>BUZET</t>
  </si>
  <si>
    <t>OUEST</t>
  </si>
  <si>
    <t>VIVRE</t>
  </si>
  <si>
    <t>VALFRANCE</t>
  </si>
  <si>
    <t>CAVAC</t>
  </si>
  <si>
    <t>SCARA</t>
  </si>
  <si>
    <t>TERRENA</t>
  </si>
  <si>
    <t>NOIX</t>
  </si>
  <si>
    <t>BONDUELLE</t>
  </si>
  <si>
    <t>AREA</t>
  </si>
  <si>
    <t>SMEBORDEAUX</t>
  </si>
  <si>
    <t>N3D</t>
  </si>
  <si>
    <t>TENDRIADE</t>
  </si>
  <si>
    <t>EQC</t>
  </si>
  <si>
    <t>QPF</t>
  </si>
  <si>
    <t>PRUNE</t>
  </si>
  <si>
    <t>CRC CC/01/09</t>
  </si>
  <si>
    <t>CRC CC/02/20</t>
  </si>
  <si>
    <t>EVAPOULET</t>
  </si>
  <si>
    <t>SERRE</t>
  </si>
  <si>
    <t>EVACANARD</t>
  </si>
  <si>
    <t>AXEREAL</t>
  </si>
  <si>
    <t>V30CAVAC</t>
  </si>
  <si>
    <t>ARA</t>
  </si>
  <si>
    <t>GARLANPY</t>
  </si>
  <si>
    <t>RESPSOUFFLET</t>
  </si>
  <si>
    <t>EXCELSOUFFLET</t>
  </si>
  <si>
    <t>CARREFOUR</t>
  </si>
  <si>
    <t>EVAPINTADE</t>
  </si>
  <si>
    <t>NATERRENA</t>
  </si>
  <si>
    <t>SCAMARK</t>
  </si>
  <si>
    <t>CRC</t>
  </si>
  <si>
    <t>BEE FRIENDLY FL</t>
  </si>
  <si>
    <t>CHAMPAGNE</t>
  </si>
  <si>
    <t>EVADINDE</t>
  </si>
  <si>
    <t>CCOTINE</t>
  </si>
  <si>
    <t>CCOPERL</t>
  </si>
  <si>
    <t>CERISE</t>
  </si>
  <si>
    <t>PLANTBLEUE</t>
  </si>
  <si>
    <t>ZERORP</t>
  </si>
  <si>
    <t>BLETERRENA</t>
  </si>
  <si>
    <t>VACHE</t>
  </si>
  <si>
    <t>LEAF</t>
  </si>
  <si>
    <t>PC</t>
  </si>
  <si>
    <t>SIGNNORMANDE</t>
  </si>
  <si>
    <t>NESTLE</t>
  </si>
  <si>
    <t>QUALENVI</t>
  </si>
  <si>
    <t>FEN</t>
  </si>
  <si>
    <t>DEMAIN</t>
  </si>
  <si>
    <t>EQUURES</t>
  </si>
  <si>
    <t>AUCY</t>
  </si>
  <si>
    <t>TERRAVENIR</t>
  </si>
  <si>
    <t>TERRAVITIS</t>
  </si>
  <si>
    <t>SUDNAT</t>
  </si>
  <si>
    <t>Norme NF V01-007 dans le cadre d'Agri Confiance mise en place par la Terres de l'Ouest</t>
  </si>
  <si>
    <t>VIVRE (Vignerons Investis en Viticulture Respectueuse de la Vie et de l'Environnement)</t>
  </si>
  <si>
    <t>AREA (Agriculture Respectueuse de l'environnement en Nouvelle-Aquitaine)</t>
  </si>
  <si>
    <t>Système de Management de l'Environnement (SME) du vin de Bordeaux</t>
  </si>
  <si>
    <t>Terr'Avenir</t>
  </si>
  <si>
    <t>Audit externe</t>
  </si>
  <si>
    <t>Nature audit</t>
  </si>
  <si>
    <t>Type audit (cadre collectif)</t>
  </si>
  <si>
    <t>Type audit (cadre individuel)</t>
  </si>
  <si>
    <t>Sans bassin viticole</t>
  </si>
  <si>
    <t>Ardèche Partie nord</t>
  </si>
  <si>
    <t>Saône-et-Loire Hors périmètre AOC Beaujolais</t>
  </si>
  <si>
    <t>Saint-Pierre-et-Miquelon</t>
  </si>
  <si>
    <t>Saint-Barthélemy</t>
  </si>
  <si>
    <t>Saint-Martin</t>
  </si>
  <si>
    <t>Terres australes et antarctiques françaises</t>
  </si>
  <si>
    <t>Wallis-et-Futuna</t>
  </si>
  <si>
    <t>Polynésie française</t>
  </si>
  <si>
    <t>Nouvelle-Calédonie</t>
  </si>
  <si>
    <t>Ile de Clipperton</t>
  </si>
  <si>
    <t>02A</t>
  </si>
  <si>
    <t>02B</t>
  </si>
  <si>
    <t>Saône-et-Loire Périmètre AOC Beaujolais</t>
  </si>
  <si>
    <t>Ardèche Partie sud</t>
  </si>
  <si>
    <t>Drôme Partie nord</t>
  </si>
  <si>
    <t>Drôme Partie sud</t>
  </si>
  <si>
    <t>Rhône Périmètre AOC Beaujolais</t>
  </si>
  <si>
    <t>Rhône Hors périmètre AOC Beaujolais</t>
  </si>
  <si>
    <t>Bassin viticole Nord Sud</t>
  </si>
  <si>
    <t>Bassin viticole AOC Beaujolais</t>
  </si>
  <si>
    <t>Renommage du bloc "Niveaux de certification de l'exploitation" en "Autres certifications de l'exploitation" et suppression dans ce bloc des éléments relatifs aux niveaux de certification (1, 2 et 3).
Nommage des cellules nécessaires pour l'import dans Certibase.
Modification du format de la cellule "Année de création de l'exploitation" =&gt; passage de code postal portugais à nombre.
Déplacement des valeurs de la liste déroulante "Type d'audit" de la validation des données vers l'onglet Listes.
Renommage de "Organisme Auditeur" en "Organisme Certificateur"
Mise en place d'une liste déroulante pour la cellule Organisme Certificateur.
Ajout des codes TYPE_CERTIF et ORGA_AUDITEUR à côté de leur libellé.
Ajout d'une alerte lorsque le siret de l'exploitation saisi n'est pas conforme (ne respecte pas l'algorithme de Luhn).
Ajout d'une validation des données sur le SIRET : il doit être au format numérique sur 14 caractères.
Ajout d'une validation des données sur le CVI : il doit être au format numérique sur 10 caractères.
Les valeurs proposées pour le type d'audit sont conditionnées par la valeur du type de certification.
Ajout d'une alerte lorsque la combinaison type d'audit / type de certification n'est pas cohérente (2ème suivi dans un cadre individuel).
Ajout d'un champ pour la saisie du SIRET de la structure collective.
Ajout d'une alerte lorsque le siret de la structure collective saisi n'est pas conforme (ne respecte pas l'algorithme de Luhn).
Mise en forme du bloc lié au cadre collectif et ajout de messages d'informations et d'alerte.
Ajout de 3 valeurs dans la liste des activités végétales : fruits hors sol, horticulture hors sol, légumes hors sol.
Renommage de "Type de certification" en "Cadre de la certification"
Mise en place d'une liste déroulante pour la cellule Nom démarche (Equivalence Niveau 2)
Modification de la liste des départements pour être conforme aux départements INSEE
Ajout de la donnée "Cplt Bassin Viticole" pour définir le bassin viticole avec une alerte lorsque la donnée est obligatoire (uniquement pour Ardèche, Drôme, Rhône, Saône-et-Loire) + Ajout valeur "Sans bassin viticole" dans le référentiel</t>
  </si>
  <si>
    <t>Total Céréales</t>
  </si>
  <si>
    <t>Total Oléagineux</t>
  </si>
  <si>
    <t>Total Protéagineux et légumineuses à grain</t>
  </si>
  <si>
    <t>Total Cultures fibres et jachères</t>
  </si>
  <si>
    <t>Total Fourrages</t>
  </si>
  <si>
    <t>Total Surfaces en herbe</t>
  </si>
  <si>
    <t>Total Cultures industrielles</t>
  </si>
  <si>
    <t>Total Légumes, fleurs, fruits hors arbo</t>
  </si>
  <si>
    <t>Total Arboriculture</t>
  </si>
  <si>
    <r>
      <t xml:space="preserve">Nommage des cellules nécessaires pour l'import dans Certibase.
Diversité spécifique et variétale =&gt; mise à jour du libellé "Légumes, fleurs…" : ajout de "(y compris les plantes médicinales, à parfum, ornementales, aromatiques)" après "fleurs".
Ajout d'un champ "Commentaires" en-dessous de CMR2.
</t>
    </r>
    <r>
      <rPr>
        <sz val="11"/>
        <color rgb="FFFF0000"/>
        <rFont val="Calibri"/>
        <family val="2"/>
        <scheme val="minor"/>
      </rPr>
      <t xml:space="preserve">Recyclage et traitement des eaux : (i) ajout de la condition &lt; 25% et </t>
    </r>
    <r>
      <rPr>
        <sz val="11"/>
        <color rgb="FFFF0000"/>
        <rFont val="Calibri"/>
        <family val="2"/>
      </rPr>
      <t>≥ 25%</t>
    </r>
    <r>
      <rPr>
        <sz val="9.35"/>
        <color rgb="FFFF0000"/>
        <rFont val="Calibri"/>
        <family val="2"/>
      </rPr>
      <t xml:space="preserve"> </t>
    </r>
    <r>
      <rPr>
        <sz val="11"/>
        <color rgb="FFFF0000"/>
        <rFont val="Calibri"/>
        <family val="2"/>
        <scheme val="minor"/>
      </rPr>
      <t xml:space="preserve">dans les cellules de calcul N358 et N359, respectivement, </t>
    </r>
    <r>
      <rPr>
        <sz val="11"/>
        <rFont val="Calibri"/>
        <family val="2"/>
        <scheme val="minor"/>
      </rPr>
      <t>et (ii) nombre max de points théorique horticulture à 6 et pas 7 en cellule W360.</t>
    </r>
    <r>
      <rPr>
        <sz val="11"/>
        <color theme="1"/>
        <rFont val="Calibri"/>
        <family val="2"/>
        <scheme val="minor"/>
      </rPr>
      <t xml:space="preserve">
Simplification des formules des cellules liées à l'utilisation ou non de CMR1 (pas d'impact sur les calculs ni sur les alertes)
</t>
    </r>
    <r>
      <rPr>
        <sz val="11"/>
        <color rgb="FFFF0000"/>
        <rFont val="Calibri"/>
        <family val="2"/>
        <scheme val="minor"/>
      </rPr>
      <t>Prise en compte des cellules n-1 et n-2 de l'onglet surfaces pour le calcul de l'IFT si calcul sur 3 ans en grandes cultures et arboriculture.</t>
    </r>
  </si>
  <si>
    <t>Viticulture, arboriculture et autres cultures permanentes</t>
  </si>
  <si>
    <r>
      <t xml:space="preserve">Nommage des cellules nécessaires pour l'import dans Certibase.
Ajout d'une alerte lorsque la SAU de la campagne évaluée est égale à 0
Ajout d'une alerte lorsque le choix du verger est renseigné sans surface pour la campagne évaluée et vice versa
Ajout de totaux pour les cultures composant la SAU de l'exploitation (O84,O91,O98,O106,O112,O123,O130,O138,O159)
</t>
    </r>
    <r>
      <rPr>
        <sz val="11"/>
        <color rgb="FFFF0000"/>
        <rFont val="Calibri"/>
        <family val="2"/>
        <scheme val="minor"/>
      </rPr>
      <t>Retrait des sapins de Noël de la SNE</t>
    </r>
  </si>
  <si>
    <t>Total points grandes cultures</t>
  </si>
  <si>
    <t>Total points vigne, arboriculture, maraîchage</t>
  </si>
  <si>
    <t>Total surfaces légumineuses hors inter-rang</t>
  </si>
  <si>
    <t>Ajout du bloc Décision qui contient les champs "Date" et "Décision".
Ajout d'une note d'informations sur le cadre collectif.
Ajout d'une alerte si le type d'audit est Initial et la décision Refus
Le champ "Décision" est une liste déroulante conditionnée selon la valeur du type d'audit renseigné dans l'onglet Identification.
Modification de la formules de la cellule X10 pour renvoyer systématiquement la valeur de l'item CMR
Déplacement du message "AUDIT NON VALIDE" de la cellule X10 à la cellule V10 en cas d'utilisation de CMR1
Modification des formules des cellules X20, Z20, FN, FM et FU pour renvoyer systématiquement les totaux
Modification de la formule de la cellule GM pour renvoyer systématiquement le ratio
Simplification des formules des cellules liées à l'utilisation ou non de CMR1 (pas d'impact sur les calculs)</t>
  </si>
  <si>
    <r>
      <t xml:space="preserve">Nommage des cellules nécessaires pour l'import dans Certibase.
Modification de la formule des cellules lignes 23 et 25, 44 et 46 afin d'afficher vide si les cellules servant au calcul sont vides.
</t>
    </r>
    <r>
      <rPr>
        <sz val="11"/>
        <color rgb="FFFF0000"/>
        <rFont val="Calibri"/>
        <family val="2"/>
        <scheme val="minor"/>
      </rPr>
      <t>OAD =&gt; modification du calcul en cellule P171 pour prendre en compte la surface renseignée en L143 au lieu de la surface en N160 au numérateur du calcul.
Couverture des sols : les surfaces calculées en cellules O267 et O271 sont arrondies à 2 décimales et les pourcentages calculés en cellules O284 et O285 sont arrondis à 2 décimales.
Recyclage et traitement des eaux :</t>
    </r>
    <r>
      <rPr>
        <sz val="11"/>
        <color theme="1"/>
        <rFont val="Calibri"/>
        <family val="2"/>
        <scheme val="minor"/>
      </rPr>
      <t xml:space="preserve"> (i) remplacement du message d'information en C336 "Seules les cultures hors sol sont concernées par cet item."</t>
    </r>
    <r>
      <rPr>
        <sz val="11"/>
        <color rgb="FFFF0000"/>
        <rFont val="Calibri"/>
        <family val="2"/>
        <scheme val="minor"/>
      </rPr>
      <t xml:space="preserve">, (ii) agrégation de l'item horticulture hors sol pour toutes les cultures hors sol. % de recyclage total et partiel sur toutes les cultures hors sol à renseigner. Calcul sur la SAU totale hors sol au prorata de la SAU totale exploitation. Nb maximal de points théorique = 6. </t>
    </r>
    <r>
      <rPr>
        <sz val="11"/>
        <rFont val="Calibri"/>
        <family val="2"/>
        <scheme val="minor"/>
      </rPr>
      <t>et (iii) les cellules O339 et O340 renvoient le message d'erreur "Attention : surfaces saisies &gt; SAU hors sol" lorsque la surface concernée saisie est supérieure au total SAU hors sol (cellule L344). 
Ajout de totaux : TOTAL_CP_GC, TOTAL_CP_VAM, TOTAL_SURFACE_LEG</t>
    </r>
  </si>
  <si>
    <r>
      <t xml:space="preserve">Nommage des cellules nécessaires pour l'import dans Certibase.
Exploitation irrigante en cellule C10 et pas "irriguante".
</t>
    </r>
    <r>
      <rPr>
        <sz val="11"/>
        <rFont val="Calibri"/>
        <family val="2"/>
        <scheme val="minor"/>
      </rPr>
      <t>Recyclage et traitement des eaux d'irrigation =&gt; compte-tenu des modifications apportées à l'onglet Fertilisation (cf ci-dessus), les données Recyclage et traitement des eaux d'irrigation de l'onglet Irrigation (qui ne concernent que la filière horticulture et pépinière) sont désormais récupérées depuis l'onglet Phyto (et plus de l'onglet Fertilisation). Nombre max de points théorique à 6 et pas 7 en cellule W213. 
Ajout du ratio de surface irriguée : RATIO_SURFACE_IRRIGUEE</t>
    </r>
  </si>
  <si>
    <t>v1.10</t>
  </si>
  <si>
    <t>Correction du renvoi de la cellule correspondant à l'item 6.9 pour récupérer les points</t>
  </si>
  <si>
    <t>Item IFT - Correction de la formule de  calcul de la surface de référence en Grandes cultures
Item Diversité spécifique et variétale - Correction de la formule de  calcul de la Part de la surface concernée arboriculture et autres cultures pérennes</t>
  </si>
  <si>
    <t xml:space="preserve">Item Couverture des sols - Correction de la formule de  calcul du Total SAU hors viticulture, arboriculture et horticulture-pépinière </t>
  </si>
  <si>
    <t>v1.11</t>
  </si>
  <si>
    <t>SEVEPI</t>
  </si>
  <si>
    <t>Norme NF V01-007 dans le cadre d'Agri Confiance mise en place par la Société coopérative agricole Sevépi</t>
  </si>
  <si>
    <t>Onglet Listes</t>
  </si>
  <si>
    <t>Ajout d'une zone de saisie libre au bloc 4. Adhésion à une démarche collective.</t>
  </si>
  <si>
    <t>Nombre d'années utilisé pour le calcul de l'IFT</t>
  </si>
  <si>
    <t>Ancien</t>
  </si>
  <si>
    <t>GC</t>
  </si>
  <si>
    <t>H</t>
  </si>
  <si>
    <t>Arbo</t>
  </si>
  <si>
    <r>
      <rPr>
        <b/>
        <sz val="11"/>
        <color theme="1"/>
        <rFont val="Calibri"/>
        <family val="2"/>
      </rPr>
      <t>Source</t>
    </r>
    <r>
      <rPr>
        <sz val="11"/>
        <color theme="1"/>
        <rFont val="Calibri"/>
        <family val="2"/>
        <scheme val="minor"/>
      </rPr>
      <t> :  SSP – Agreste : enquêtes sur les pratiques phytosanitaires en 2014 et culturales en 2017 et 2021 en grandes cultures</t>
    </r>
  </si>
  <si>
    <r>
      <rPr>
        <b/>
        <sz val="11"/>
        <color theme="1"/>
        <rFont val="Calibri"/>
        <family val="2"/>
        <scheme val="minor"/>
      </rPr>
      <t>Note de lecture</t>
    </r>
    <r>
      <rPr>
        <sz val="11"/>
        <color theme="1"/>
        <rFont val="Calibri"/>
        <family val="2"/>
        <scheme val="minor"/>
      </rPr>
      <t> : En île-de-France, la valeur plancher de l'IFT « herbicides » est de 1,17 pour le système « Grandes cultures » et de 1,40 pour le système « Pomme de terre ».</t>
    </r>
  </si>
  <si>
    <r>
      <rPr>
        <b/>
        <sz val="11"/>
        <color theme="1"/>
        <rFont val="Calibri"/>
        <family val="2"/>
        <scheme val="minor"/>
      </rPr>
      <t xml:space="preserve">Points de méthode et d'attention </t>
    </r>
    <r>
      <rPr>
        <sz val="11"/>
        <color theme="1"/>
        <rFont val="Calibri"/>
        <family val="2"/>
        <scheme val="minor"/>
      </rPr>
      <t>: Les valeurs de référence du système « Grandes cultures » sont calculées sur un « panier » de 15 espèces en 2017 et 2021 et 11 espèces en 2014 (cf. tableau annexe des déciles par région, espèce et campagne).
Les 15 espèces prises en compte en 2017 et 2021 sont les suivantes : betterave sucrière, blé dur, blé tendre, colza, maïs fourrage, maïs grain, orge, pois protéagineux, pomme de terre, tournesol, triticale, féverole, lin fibre, lin oléagineux et soja.
Les quatre dernières espèces n'ayant pas été enquêtées en 2014, elles ne sont pas prises en compte dans le panier de 2014.</t>
    </r>
  </si>
  <si>
    <t>Nb de campagnes pour le calcul de l'IFT (1, 2 ou 3)</t>
  </si>
  <si>
    <t>Nb de campagnes pour le calcul du bilan (1, 2 ou 3)</t>
  </si>
  <si>
    <t>Calcul des IFT Plafond et Plancher</t>
  </si>
  <si>
    <t>Nombre d'années utilisé pour le calcul</t>
  </si>
  <si>
    <t>Grandes cultures (PdT inclues)</t>
  </si>
  <si>
    <t>Campagne N</t>
  </si>
  <si>
    <t>Campagne N-1</t>
  </si>
  <si>
    <t>Campagne N-2</t>
  </si>
  <si>
    <t>En cours</t>
  </si>
  <si>
    <t>Calcul de l'IFT TOTAL Grandes cultures (avec PdT)</t>
  </si>
  <si>
    <t>Pommes de terre 
(PdT)</t>
  </si>
  <si>
    <t>Onglet Scoring_GC</t>
  </si>
  <si>
    <t>FARINELR</t>
  </si>
  <si>
    <t>Label Rouge n°LA 11/04 "Farine pour pain de tradition française"</t>
  </si>
  <si>
    <t>Sillon Responsable Démarche Environnementale</t>
  </si>
  <si>
    <t>SRDE</t>
  </si>
  <si>
    <t>Ajout de la nouvelle grille de notation pour les Grandes cultures, bascule de la grille de notation en cours de la v1.10 de la grille d'audit dans la grille d'ancienne notation de la v1.11 de la grille d'audit</t>
  </si>
  <si>
    <t>IFT réalisés</t>
  </si>
  <si>
    <t>Item IFT 
- Correction des formules de calcul des IFT de référence plancher et plafond pour les Grandes cultures ; 
- Intégration de la possibilité de calculer l'IFT sur 2 ou 3 ans ; 
- Intégration de la possibilité d'utiliser les nouvelles ou anciennes références d'IFT pour les Grandes cultures ; 
- Création d'une cellule "Nb de campagnes pour le calcul de l'IFT (1, 2 ou 3)" à saisir obligatoirement pour le calcul de l'item</t>
  </si>
  <si>
    <t xml:space="preserve">Item Couverture des sols
 - Correction de la formule de calcul du Total SAU hors viticulture, arboriculture et horticulture-pépinière ; 
- ajout d'une zone de saisie pour les surfaces </t>
  </si>
  <si>
    <t>NB_CAMPAGNE_IFT</t>
  </si>
  <si>
    <t>SURFACE_COUVERTE_HORTI_PEPI</t>
  </si>
  <si>
    <t>IFT_Réalisés_GCH</t>
  </si>
  <si>
    <t>IFT_Réalisés_GCHH</t>
  </si>
  <si>
    <t>IFT_Réalisés_VH</t>
  </si>
  <si>
    <t>IFT_Réalisés_VHH</t>
  </si>
  <si>
    <t>IFT_Réalisés_AH</t>
  </si>
  <si>
    <t>IFT_Réalisés_AHH</t>
  </si>
  <si>
    <t>Nb Campagnes IFT</t>
  </si>
  <si>
    <t>Ajout des colonnes concernant les nouvelles cellules IFT de l'onglet Phyto</t>
  </si>
  <si>
    <t>Cet onglet peut être utilisé pour alimenter les versions suivantes de fichier de synthèse du collectif : v1.01</t>
  </si>
  <si>
    <t>Onglet Synthese_coll_v1.01</t>
  </si>
  <si>
    <t>GC_IFT_REALISE_N_HERBICIDES</t>
  </si>
  <si>
    <t>GC_IFT_REALISE_N1_HERBICIDES</t>
  </si>
  <si>
    <t>GC_IFT_REALISE_N2_HERBICIDES</t>
  </si>
  <si>
    <t>GC_IFT_REALISE_N_HORS_HERBICIDES</t>
  </si>
  <si>
    <t>GC_IFT_REALISE_N1_HORS_HERBICIDES</t>
  </si>
  <si>
    <t>GC_IFT_REALISE_N2_HORS_HERBICIDES</t>
  </si>
  <si>
    <t>PDT_IFT_REALISE_N_HERBICIDES</t>
  </si>
  <si>
    <t>PDT_IFT_REALISE_N1_HERBICIDES</t>
  </si>
  <si>
    <t>PDT_IFT_REALISE_N2_HERBICIDES</t>
  </si>
  <si>
    <t>PDT_IFT_REALISE_N_HORS_HERBICIDES</t>
  </si>
  <si>
    <t>PDT_IFT_REALISE_N1_HORS_HERBICIDES</t>
  </si>
  <si>
    <t>PDT_IFT_REALISE_N2_HORS_HERBICIDES</t>
  </si>
  <si>
    <t>VIGNE_IFT_REALISE_N_HERBICIDES</t>
  </si>
  <si>
    <t>VIGNE_IFT_REALISE_N1_HERBICIDES</t>
  </si>
  <si>
    <t>VIGNE_IFT_REALISE_N2_HERBICIDES</t>
  </si>
  <si>
    <t>VIGNE_IFT_REALISE_N_HORS_HERBICIDES</t>
  </si>
  <si>
    <t>VIGNE_IFT_REALISE_N1_HORS_HERBICIDES</t>
  </si>
  <si>
    <t>VIGNE_IFT_REALISE_N2_HORS_HERBICIDES</t>
  </si>
  <si>
    <t>ARBO_IFT_REALISE_N_HERBICIDES</t>
  </si>
  <si>
    <t>ARBO_IFT_REALISE_N1_HERBICIDES</t>
  </si>
  <si>
    <t>ARBO_IFT_REALISE_N2_HERBICIDES</t>
  </si>
  <si>
    <t>ARBO_IFT_REALISE_N_HORS_HERBICIDES</t>
  </si>
  <si>
    <t>ARBO_IFT_REALISE_N1_HORS_HERBICIDES</t>
  </si>
  <si>
    <t>ARBO_IFT_REALISE_N2_HORS_HERBICIDES</t>
  </si>
  <si>
    <t>Retrait du message "Ne pas renseigner les informations sur la décision si l'audit est réalisé dans un cadre collectif (audit interne ou externe)" car la date de decision doit être renseignée</t>
  </si>
  <si>
    <t>Les IFT réalisés sont calculés pour les Grandes cultures (PdT inclues), la Vigne et l'Arboriculture en fonction du nombre de campagnes sélectionné et des surfaces des cultures renseignées à l'onglet Surfaces</t>
  </si>
  <si>
    <t>Les valeurs plancher et plafond sont calculées en fonction du nombre de campagnes sélectionné pour le calcul et des surfaces des cultures renseignées à l'onglet Surfaces</t>
  </si>
  <si>
    <t>Pour le calcul de l'IFT sur 2 ans, les IFT et les surfaces des campagnes N et N-1 doivent être renseignés ; Pour le calcul de l'IFT sur 3 ans, les IFT et les surfaces des campagnes N, N-1 et N-2 doivent être renseignés</t>
  </si>
  <si>
    <t>Saisir cette case pour que les points de l'item soient calculés.</t>
  </si>
  <si>
    <t>Entrepreneur individuel</t>
  </si>
  <si>
    <t>Mise à jour de la liste des démarches reconnues équivalentes au Niveau 2 de la Certification environnementale.
Modification du libelle du statut juridique "Exploitation individuelle" en "Entrepreneur individuel".</t>
  </si>
  <si>
    <t>EI</t>
  </si>
  <si>
    <t>GRPFAIT</t>
  </si>
  <si>
    <t>SCEA</t>
  </si>
  <si>
    <t>SARL</t>
  </si>
  <si>
    <t>SEP</t>
  </si>
  <si>
    <t>Autre_PM</t>
  </si>
  <si>
    <t>Autre_PP</t>
  </si>
  <si>
    <t>A_API</t>
  </si>
  <si>
    <t>A_BOV_LAIT</t>
  </si>
  <si>
    <t>A_BOV_VIANDE</t>
  </si>
  <si>
    <t>A_CAPRINS</t>
  </si>
  <si>
    <t>A_EQUINS</t>
  </si>
  <si>
    <t>A_LAPINS</t>
  </si>
  <si>
    <t>A_ŒUFS</t>
  </si>
  <si>
    <t>A_OVINS</t>
  </si>
  <si>
    <t>A_PORC</t>
  </si>
  <si>
    <t>A_VOLAILLES</t>
  </si>
  <si>
    <t>A_AUTRES</t>
  </si>
  <si>
    <t>V_FRUITS</t>
  </si>
  <si>
    <t>V_GR_CULTURES</t>
  </si>
  <si>
    <t>V_HORTI</t>
  </si>
  <si>
    <t>V_LEG</t>
  </si>
  <si>
    <t>V_VITI</t>
  </si>
  <si>
    <t>V_AUTRES</t>
  </si>
  <si>
    <t>V_FRUITS_HS</t>
  </si>
  <si>
    <t>V_HORTI_HS</t>
  </si>
  <si>
    <t>V_LEG_HS</t>
  </si>
  <si>
    <t>CODE_STATUT_JURIDIQUE</t>
  </si>
  <si>
    <t>CODE_V_ACTIVITE_PRINCIPALE</t>
  </si>
  <si>
    <t>CODE_V_ACTIVITE_SECOND</t>
  </si>
  <si>
    <t>CODE_V_AUTRE_ACTIVITE</t>
  </si>
  <si>
    <t>CODE_A_ACTIVITE_PRINCIPALE</t>
  </si>
  <si>
    <t>CODE_A_ACTIVITE_SECOND</t>
  </si>
  <si>
    <t>CODE_A_AUTRE_ACTIVITE</t>
  </si>
  <si>
    <t>CODE_DEMARCHE_NIV2</t>
  </si>
  <si>
    <t>12 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</si>
</sst>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 ###\ #####"/>
    <numFmt numFmtId="165" formatCode="_-* #,##0.00\ _€_-;\-* #,##0.00\ _€_-;_-* &quot;-&quot;??\ _€_-;_-@_-"/>
    <numFmt numFmtId="166" formatCode="[$£-809]#,##0.00;[Red]&quot;-&quot;[$£-809]#,##0.00"/>
    <numFmt numFmtId="167" formatCode="0#&quot; &quot;##&quot; &quot;##&quot; &quot;##&quot; &quot;##"/>
    <numFmt numFmtId="168" formatCode="0000\-00"/>
    <numFmt numFmtId="169" formatCode="#,##0;\-#,##0;"/>
    <numFmt numFmtId="170" formatCode="000\ 000\ 000\ 00000"/>
    <numFmt numFmtId="171" formatCode=";;;"/>
    <numFmt numFmtId="172" formatCode="00000000000000"/>
    <numFmt numFmtId="173" formatCode="0000000000"/>
    <numFmt numFmtId="174" formatCode="0.0"/>
  </numFmts>
  <fonts count="85" x14ac:knownFonts="1">
    <font>
      <sz val="11"/>
      <color theme="1"/>
      <name val="Calibri"/>
      <family val="2"/>
      <scheme val="minor"/>
    </font>
    <font>
      <b/>
      <sz val="11"/>
      <color theme="0"/>
      <name val="Calibri"/>
      <family val="2"/>
      <scheme val="minor"/>
    </font>
    <font>
      <b/>
      <i/>
      <u/>
      <sz val="11"/>
      <color theme="1"/>
      <name val="Calibri"/>
      <family val="2"/>
      <scheme val="minor"/>
    </font>
    <font>
      <b/>
      <sz val="11"/>
      <color theme="1"/>
      <name val="Calibri"/>
      <family val="2"/>
      <scheme val="minor"/>
    </font>
    <font>
      <i/>
      <sz val="11"/>
      <color rgb="FFFF0000"/>
      <name val="Calibri"/>
      <family val="2"/>
      <scheme val="minor"/>
    </font>
    <font>
      <b/>
      <i/>
      <sz val="22"/>
      <color theme="9" tint="-0.499984740745262"/>
      <name val="Calibri"/>
      <family val="2"/>
      <scheme val="minor"/>
    </font>
    <font>
      <i/>
      <sz val="11"/>
      <color theme="1"/>
      <name val="Calibri"/>
      <family val="2"/>
      <scheme val="minor"/>
    </font>
    <font>
      <i/>
      <sz val="8"/>
      <color rgb="FFFF0000"/>
      <name val="Calibri"/>
      <family val="2"/>
      <scheme val="minor"/>
    </font>
    <font>
      <sz val="9"/>
      <color theme="1"/>
      <name val="Calibri"/>
      <family val="2"/>
      <scheme val="minor"/>
    </font>
    <font>
      <b/>
      <sz val="11"/>
      <color rgb="FFFF0000"/>
      <name val="Calibri"/>
      <family val="2"/>
      <scheme val="minor"/>
    </font>
    <font>
      <b/>
      <sz val="11"/>
      <color rgb="FFFF0000"/>
      <name val="Calibri"/>
      <family val="2"/>
    </font>
    <font>
      <sz val="11"/>
      <color theme="0"/>
      <name val="Calibri"/>
      <family val="2"/>
      <scheme val="minor"/>
    </font>
    <font>
      <b/>
      <i/>
      <sz val="11"/>
      <color theme="1"/>
      <name val="Calibri"/>
      <family val="2"/>
      <scheme val="minor"/>
    </font>
    <font>
      <b/>
      <i/>
      <sz val="12"/>
      <color theme="1"/>
      <name val="Calibri"/>
      <family val="2"/>
      <scheme val="minor"/>
    </font>
    <font>
      <i/>
      <sz val="9"/>
      <color rgb="FFFF0000"/>
      <name val="Calibri"/>
      <family val="2"/>
      <scheme val="minor"/>
    </font>
    <font>
      <sz val="8"/>
      <name val="Calibri"/>
      <family val="2"/>
      <scheme val="minor"/>
    </font>
    <font>
      <i/>
      <sz val="11"/>
      <color theme="0"/>
      <name val="Calibri"/>
      <family val="2"/>
      <scheme val="minor"/>
    </font>
    <font>
      <sz val="11"/>
      <color theme="1"/>
      <name val="Liberation Sans"/>
      <family val="2"/>
    </font>
    <font>
      <sz val="10"/>
      <name val="Arial"/>
      <family val="2"/>
    </font>
    <font>
      <b/>
      <sz val="11"/>
      <color theme="1"/>
      <name val="Calibri"/>
      <family val="2"/>
    </font>
    <font>
      <b/>
      <i/>
      <sz val="11"/>
      <color theme="1"/>
      <name val="Calibri"/>
      <family val="2"/>
    </font>
    <font>
      <b/>
      <i/>
      <sz val="10"/>
      <name val="Arial"/>
      <family val="2"/>
    </font>
    <font>
      <i/>
      <sz val="10"/>
      <name val="Arial"/>
      <family val="2"/>
    </font>
    <font>
      <sz val="11"/>
      <color theme="1"/>
      <name val="Calibri"/>
      <family val="2"/>
      <scheme val="minor"/>
    </font>
    <font>
      <sz val="11"/>
      <name val="Calibri"/>
      <family val="2"/>
      <scheme val="minor"/>
    </font>
    <font>
      <sz val="26"/>
      <name val="Calibri"/>
      <family val="2"/>
      <scheme val="minor"/>
    </font>
    <font>
      <sz val="11"/>
      <color rgb="FFFF0000"/>
      <name val="Calibri"/>
      <family val="2"/>
      <scheme val="minor"/>
    </font>
    <font>
      <u/>
      <sz val="11"/>
      <color theme="10"/>
      <name val="Calibri"/>
      <family val="2"/>
      <scheme val="minor"/>
    </font>
    <font>
      <i/>
      <sz val="11"/>
      <color theme="1"/>
      <name val="Calibri"/>
      <family val="2"/>
    </font>
    <font>
      <i/>
      <sz val="8"/>
      <color theme="1"/>
      <name val="Calibri"/>
      <family val="2"/>
      <scheme val="minor"/>
    </font>
    <font>
      <b/>
      <i/>
      <sz val="11"/>
      <name val="Calibri"/>
      <family val="2"/>
      <scheme val="minor"/>
    </font>
    <font>
      <i/>
      <sz val="9"/>
      <color theme="0"/>
      <name val="Calibri"/>
      <family val="2"/>
      <scheme val="minor"/>
    </font>
    <font>
      <b/>
      <sz val="11"/>
      <color rgb="FF000000"/>
      <name val="Calibri"/>
      <family val="2"/>
    </font>
    <font>
      <b/>
      <sz val="14"/>
      <color theme="1"/>
      <name val="Calibri"/>
      <family val="2"/>
      <scheme val="minor"/>
    </font>
    <font>
      <b/>
      <i/>
      <sz val="14"/>
      <color theme="1"/>
      <name val="Calibri"/>
      <family val="2"/>
      <scheme val="minor"/>
    </font>
    <font>
      <b/>
      <i/>
      <sz val="11"/>
      <color theme="0"/>
      <name val="Calibri"/>
      <family val="2"/>
      <scheme val="minor"/>
    </font>
    <font>
      <b/>
      <i/>
      <sz val="11"/>
      <color theme="0"/>
      <name val="Calibri"/>
      <family val="2"/>
    </font>
    <font>
      <b/>
      <sz val="11"/>
      <name val="Calibri"/>
      <family val="2"/>
      <scheme val="minor"/>
    </font>
    <font>
      <b/>
      <sz val="10"/>
      <name val="Arial"/>
      <family val="2"/>
    </font>
    <font>
      <sz val="14"/>
      <name val="Arial"/>
      <family val="2"/>
    </font>
    <font>
      <b/>
      <i/>
      <sz val="16"/>
      <color theme="1"/>
      <name val="Liberation Sans"/>
      <family val="2"/>
    </font>
    <font>
      <b/>
      <i/>
      <u/>
      <sz val="11"/>
      <color theme="1"/>
      <name val="Liberation Sans"/>
      <family val="2"/>
    </font>
    <font>
      <b/>
      <i/>
      <sz val="11"/>
      <color rgb="FFFF0000"/>
      <name val="Calibri"/>
      <family val="2"/>
      <scheme val="minor"/>
    </font>
    <font>
      <sz val="8"/>
      <color theme="1"/>
      <name val="Calibri"/>
      <family val="2"/>
      <scheme val="minor"/>
    </font>
    <font>
      <sz val="10"/>
      <color theme="1"/>
      <name val="Calibri"/>
      <family val="2"/>
      <scheme val="minor"/>
    </font>
    <font>
      <b/>
      <sz val="8.5"/>
      <color theme="1"/>
      <name val="Calibri"/>
      <family val="2"/>
    </font>
    <font>
      <sz val="10"/>
      <color rgb="FFFF0000"/>
      <name val="Calibri"/>
      <family val="2"/>
      <scheme val="minor"/>
    </font>
    <font>
      <b/>
      <sz val="10"/>
      <color theme="1"/>
      <name val="Liberation Sans"/>
      <family val="2"/>
    </font>
    <font>
      <b/>
      <sz val="11"/>
      <color theme="1"/>
      <name val="Liberation Sans"/>
      <family val="2"/>
    </font>
    <font>
      <sz val="10"/>
      <color theme="1"/>
      <name val="Arial"/>
      <family val="2"/>
    </font>
    <font>
      <b/>
      <i/>
      <sz val="22"/>
      <name val="Calibri"/>
      <family val="2"/>
      <scheme val="minor"/>
    </font>
    <font>
      <b/>
      <i/>
      <sz val="10"/>
      <color theme="1"/>
      <name val="Arial"/>
      <family val="2"/>
    </font>
    <font>
      <i/>
      <sz val="11"/>
      <color rgb="FFFF0000"/>
      <name val="Calibri"/>
      <family val="2"/>
    </font>
    <font>
      <b/>
      <i/>
      <sz val="11"/>
      <name val="Calibri"/>
      <family val="2"/>
    </font>
    <font>
      <i/>
      <sz val="11"/>
      <name val="Calibri"/>
      <family val="2"/>
      <scheme val="minor"/>
    </font>
    <font>
      <b/>
      <sz val="8.8000000000000007"/>
      <color theme="1"/>
      <name val="Calibri"/>
      <family val="2"/>
    </font>
    <font>
      <b/>
      <i/>
      <sz val="11"/>
      <color rgb="FFFF0000"/>
      <name val="Calibri"/>
      <family val="2"/>
    </font>
    <font>
      <u/>
      <sz val="11"/>
      <color theme="1"/>
      <name val="Calibri"/>
      <family val="2"/>
      <scheme val="minor"/>
    </font>
    <font>
      <sz val="14"/>
      <color theme="1"/>
      <name val="Calibri"/>
      <family val="2"/>
      <scheme val="minor"/>
    </font>
    <font>
      <sz val="8"/>
      <color theme="1"/>
      <name val="Arial"/>
      <family val="2"/>
    </font>
    <font>
      <b/>
      <sz val="8"/>
      <color theme="1"/>
      <name val="Arial"/>
      <family val="2"/>
    </font>
    <font>
      <b/>
      <sz val="8"/>
      <color theme="0"/>
      <name val="Arial"/>
      <family val="2"/>
    </font>
    <font>
      <sz val="11"/>
      <color theme="1"/>
      <name val="Arial"/>
      <family val="2"/>
    </font>
    <font>
      <b/>
      <sz val="8"/>
      <name val="Arial"/>
      <family val="2"/>
    </font>
    <font>
      <b/>
      <i/>
      <sz val="8"/>
      <name val="Arial"/>
      <family val="2"/>
    </font>
    <font>
      <b/>
      <sz val="11"/>
      <color rgb="FFFF0000"/>
      <name val="Arial"/>
      <family val="2"/>
    </font>
    <font>
      <i/>
      <sz val="11"/>
      <color rgb="FFFF0000"/>
      <name val="Arial"/>
      <family val="2"/>
    </font>
    <font>
      <b/>
      <sz val="8"/>
      <color rgb="FFFF0000"/>
      <name val="Arial"/>
      <family val="2"/>
    </font>
    <font>
      <i/>
      <u/>
      <sz val="11"/>
      <color theme="1"/>
      <name val="Calibri"/>
      <family val="2"/>
      <scheme val="minor"/>
    </font>
    <font>
      <i/>
      <sz val="8"/>
      <color rgb="FFFF0000"/>
      <name val="Arial"/>
      <family val="2"/>
    </font>
    <font>
      <sz val="11"/>
      <color rgb="FF172B4D"/>
      <name val="Calibri"/>
      <family val="2"/>
      <scheme val="minor"/>
    </font>
    <font>
      <sz val="8"/>
      <name val="Arial"/>
      <family val="2"/>
    </font>
    <font>
      <sz val="8"/>
      <color rgb="FFFF0000"/>
      <name val="Arial"/>
      <family val="2"/>
    </font>
    <font>
      <b/>
      <sz val="10"/>
      <color indexed="81"/>
      <name val="Tahoma"/>
      <family val="2"/>
    </font>
    <font>
      <sz val="10"/>
      <color indexed="81"/>
      <name val="Tahoma"/>
      <family val="2"/>
    </font>
    <font>
      <i/>
      <sz val="11"/>
      <color theme="5"/>
      <name val="Calibri"/>
      <family val="2"/>
      <scheme val="minor"/>
    </font>
    <font>
      <i/>
      <sz val="10"/>
      <color theme="5"/>
      <name val="Calibri"/>
      <family val="2"/>
      <scheme val="minor"/>
    </font>
    <font>
      <b/>
      <sz val="11"/>
      <color theme="5"/>
      <name val="Calibri"/>
      <family val="2"/>
      <scheme val="minor"/>
    </font>
    <font>
      <sz val="11"/>
      <color rgb="FFFF0000"/>
      <name val="Arial"/>
      <family val="2"/>
    </font>
    <font>
      <b/>
      <i/>
      <sz val="11"/>
      <name val="Arial"/>
      <family val="2"/>
    </font>
    <font>
      <sz val="11"/>
      <color rgb="FFFF0000"/>
      <name val="Calibri"/>
      <family val="2"/>
    </font>
    <font>
      <sz val="9.35"/>
      <color rgb="FFFF0000"/>
      <name val="Calibri"/>
      <family val="2"/>
    </font>
    <font>
      <sz val="9"/>
      <color theme="0"/>
      <name val="Calibri"/>
      <family val="2"/>
      <scheme val="minor"/>
    </font>
    <font>
      <sz val="11"/>
      <color rgb="FF000000"/>
      <name val="Calibri"/>
      <family val="2"/>
    </font>
    <font>
      <sz val="10"/>
      <color rgb="FF000000"/>
      <name val="Arial"/>
      <family val="2"/>
    </font>
  </fonts>
  <fills count="44">
    <fill>
      <patternFill patternType="none"/>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5050"/>
        <bgColor indexed="64"/>
      </patternFill>
    </fill>
    <fill>
      <patternFill patternType="solid">
        <fgColor rgb="FFFFCCCC"/>
        <bgColor indexed="64"/>
      </patternFill>
    </fill>
    <fill>
      <patternFill patternType="solid">
        <fgColor rgb="FFFF9999"/>
        <bgColor indexed="64"/>
      </patternFill>
    </fill>
    <fill>
      <patternFill patternType="solid">
        <fgColor rgb="FF800000"/>
        <bgColor indexed="64"/>
      </patternFill>
    </fill>
    <fill>
      <patternFill patternType="solid">
        <fgColor rgb="FFCC0000"/>
        <bgColor indexed="64"/>
      </patternFill>
    </fill>
    <fill>
      <patternFill patternType="solid">
        <fgColor theme="0" tint="-0.14999847407452621"/>
        <bgColor indexed="64"/>
      </patternFill>
    </fill>
    <fill>
      <patternFill patternType="lightUp">
        <bgColor theme="0" tint="-0.14996795556505021"/>
      </patternFill>
    </fill>
    <fill>
      <patternFill patternType="solid">
        <fgColor rgb="FFFFC000"/>
        <bgColor indexed="64"/>
      </patternFill>
    </fill>
    <fill>
      <patternFill patternType="solid">
        <fgColor theme="5" tint="0.79998168889431442"/>
        <bgColor indexed="64"/>
      </patternFill>
    </fill>
    <fill>
      <patternFill patternType="solid">
        <fgColor theme="0"/>
        <bgColor indexed="64"/>
      </patternFill>
    </fill>
    <fill>
      <patternFill patternType="lightUp">
        <bgColor theme="9" tint="-0.249977111117893"/>
      </patternFill>
    </fill>
    <fill>
      <patternFill patternType="solid">
        <fgColor theme="5" tint="-0.499984740745262"/>
        <bgColor indexed="64"/>
      </patternFill>
    </fill>
    <fill>
      <patternFill patternType="solid">
        <fgColor theme="5" tint="0.59999389629810485"/>
        <bgColor indexed="64"/>
      </patternFill>
    </fill>
    <fill>
      <patternFill patternType="solid">
        <fgColor theme="2"/>
        <bgColor indexed="64"/>
      </patternFill>
    </fill>
    <fill>
      <patternFill patternType="solid">
        <fgColor theme="2" tint="-0.89999084444715716"/>
        <bgColor indexed="64"/>
      </patternFill>
    </fill>
    <fill>
      <patternFill patternType="solid">
        <fgColor theme="0" tint="-0.249977111117893"/>
        <bgColor indexed="64"/>
      </patternFill>
    </fill>
    <fill>
      <patternFill patternType="solid">
        <fgColor indexed="51"/>
        <bgColor indexed="64"/>
      </patternFill>
    </fill>
    <fill>
      <patternFill patternType="solid">
        <fgColor indexed="41"/>
        <bgColor indexed="64"/>
      </patternFill>
    </fill>
    <fill>
      <patternFill patternType="solid">
        <fgColor rgb="FF7030A0"/>
        <bgColor indexed="64"/>
      </patternFill>
    </fill>
    <fill>
      <patternFill patternType="solid">
        <fgColor rgb="FFD8A2F6"/>
        <bgColor indexed="64"/>
      </patternFill>
    </fill>
    <fill>
      <patternFill patternType="solid">
        <fgColor theme="9" tint="0.39994506668294322"/>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right/>
      <top style="thin">
        <color auto="1"/>
      </top>
      <bottom style="thin">
        <color auto="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bottom style="dashed">
        <color auto="1"/>
      </bottom>
      <diagonal/>
    </border>
    <border>
      <left/>
      <right/>
      <top/>
      <bottom style="hair">
        <color auto="1"/>
      </bottom>
      <diagonal/>
    </border>
    <border>
      <left/>
      <right/>
      <top style="hair">
        <color auto="1"/>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hair">
        <color auto="1"/>
      </bottom>
      <diagonal/>
    </border>
    <border>
      <left/>
      <right style="dashed">
        <color auto="1"/>
      </right>
      <top/>
      <bottom/>
      <diagonal/>
    </border>
    <border>
      <left style="dashed">
        <color auto="1"/>
      </left>
      <right/>
      <top style="hair">
        <color auto="1"/>
      </top>
      <bottom style="hair">
        <color auto="1"/>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top/>
      <bottom style="hair">
        <color auto="1"/>
      </bottom>
      <diagonal/>
    </border>
    <border>
      <left/>
      <right/>
      <top style="hair">
        <color auto="1"/>
      </top>
      <bottom style="dashed">
        <color auto="1"/>
      </bottom>
      <diagonal/>
    </border>
    <border>
      <left style="dashed">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medium">
        <color auto="1"/>
      </top>
      <bottom/>
      <diagonal/>
    </border>
    <border>
      <left/>
      <right/>
      <top/>
      <bottom style="dotted">
        <color auto="1"/>
      </bottom>
      <diagonal/>
    </border>
    <border>
      <left/>
      <right/>
      <top style="dotted">
        <color auto="1"/>
      </top>
      <bottom style="dotted">
        <color auto="1"/>
      </bottom>
      <diagonal/>
    </border>
    <border>
      <left/>
      <right/>
      <top style="medium">
        <color theme="4" tint="-0.499984740745262"/>
      </top>
      <bottom style="thin">
        <color auto="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auto="1"/>
      </top>
      <bottom style="thin">
        <color indexed="64"/>
      </bottom>
      <diagonal/>
    </border>
    <border>
      <left style="thin">
        <color auto="1"/>
      </left>
      <right style="thin">
        <color auto="1"/>
      </right>
      <top style="medium">
        <color auto="1"/>
      </top>
      <bottom style="thin">
        <color indexed="64"/>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bottom style="medium">
        <color auto="1"/>
      </bottom>
      <diagonal/>
    </border>
    <border>
      <left/>
      <right/>
      <top style="hair">
        <color auto="1"/>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top style="thin">
        <color auto="1"/>
      </top>
      <bottom style="dashed">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rgb="FF000000"/>
      </right>
      <top/>
      <bottom style="thin">
        <color rgb="FF000000"/>
      </bottom>
      <diagonal/>
    </border>
    <border>
      <left style="thin">
        <color rgb="FF000000"/>
      </left>
      <right style="thick">
        <color auto="1"/>
      </right>
      <top/>
      <bottom style="thin">
        <color rgb="FF000000"/>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right style="medium">
        <color indexed="64"/>
      </right>
      <top/>
      <bottom style="thick">
        <color auto="1"/>
      </bottom>
      <diagonal/>
    </border>
    <border>
      <left style="medium">
        <color indexed="64"/>
      </left>
      <right/>
      <top/>
      <bottom style="thick">
        <color auto="1"/>
      </bottom>
      <diagonal/>
    </border>
    <border>
      <left style="thin">
        <color indexed="64"/>
      </left>
      <right style="medium">
        <color auto="1"/>
      </right>
      <top style="thin">
        <color indexed="64"/>
      </top>
      <bottom style="double">
        <color indexed="64"/>
      </bottom>
      <diagonal/>
    </border>
    <border>
      <left style="thin">
        <color indexed="64"/>
      </left>
      <right style="medium">
        <color auto="1"/>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auto="1"/>
      </right>
      <top style="thin">
        <color auto="1"/>
      </top>
      <bottom/>
      <diagonal/>
    </border>
    <border>
      <left style="thin">
        <color auto="1"/>
      </left>
      <right/>
      <top style="medium">
        <color indexed="64"/>
      </top>
      <bottom style="thin">
        <color auto="1"/>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style="dashed">
        <color auto="1"/>
      </left>
      <right/>
      <top style="hair">
        <color auto="1"/>
      </top>
      <bottom/>
      <diagonal/>
    </border>
    <border>
      <left style="medium">
        <color indexed="64"/>
      </left>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rgb="FFFF0000"/>
      </left>
      <right/>
      <top/>
      <bottom/>
      <diagonal/>
    </border>
    <border>
      <left style="medium">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bottom/>
      <diagonal/>
    </border>
    <border>
      <left/>
      <right style="thin">
        <color indexed="64"/>
      </right>
      <top style="hair">
        <color auto="1"/>
      </top>
      <bottom/>
      <diagonal/>
    </border>
    <border>
      <left/>
      <right style="thick">
        <color indexed="64"/>
      </right>
      <top style="thin">
        <color auto="1"/>
      </top>
      <bottom/>
      <diagonal/>
    </border>
    <border>
      <left/>
      <right style="thin">
        <color auto="1"/>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indexed="64"/>
      </left>
      <right style="thick">
        <color indexed="64"/>
      </right>
      <top style="thick">
        <color indexed="64"/>
      </top>
      <bottom style="thin">
        <color auto="1"/>
      </bottom>
      <diagonal/>
    </border>
    <border>
      <left/>
      <right style="thin">
        <color indexed="64"/>
      </right>
      <top style="thin">
        <color indexed="64"/>
      </top>
      <bottom style="thick">
        <color indexed="64"/>
      </bottom>
      <diagonal/>
    </border>
    <border>
      <left/>
      <right style="thin">
        <color indexed="64"/>
      </right>
      <top style="thick">
        <color auto="1"/>
      </top>
      <bottom/>
      <diagonal/>
    </border>
  </borders>
  <cellStyleXfs count="12">
    <xf numFmtId="0" fontId="0" fillId="0" borderId="0"/>
    <xf numFmtId="0" fontId="17" fillId="0" borderId="0"/>
    <xf numFmtId="9" fontId="23" fillId="0" borderId="0" applyFont="0" applyFill="0" applyBorder="0" applyAlignment="0" applyProtection="0"/>
    <xf numFmtId="0" fontId="27" fillId="0" borderId="0" applyNumberFormat="0" applyFill="0" applyBorder="0" applyAlignment="0" applyProtection="0"/>
    <xf numFmtId="0" fontId="18" fillId="0" borderId="0"/>
    <xf numFmtId="0" fontId="40" fillId="0" borderId="0">
      <alignment horizontal="center"/>
    </xf>
    <xf numFmtId="0" fontId="40" fillId="0" borderId="0">
      <alignment horizontal="center" textRotation="90"/>
    </xf>
    <xf numFmtId="165" fontId="18" fillId="0" borderId="0" applyFont="0" applyFill="0" applyBorder="0" applyAlignment="0" applyProtection="0"/>
    <xf numFmtId="9" fontId="18" fillId="0" borderId="0" applyFont="0" applyFill="0" applyBorder="0" applyAlignment="0" applyProtection="0"/>
    <xf numFmtId="0" fontId="41" fillId="0" borderId="0"/>
    <xf numFmtId="166" fontId="41" fillId="0" borderId="0"/>
    <xf numFmtId="0" fontId="83" fillId="0" borderId="0"/>
  </cellStyleXfs>
  <cellXfs count="1148">
    <xf numFmtId="0" fontId="0" fillId="0" borderId="0" xfId="0"/>
    <xf numFmtId="0" fontId="1" fillId="2" borderId="0" xfId="0" applyFont="1" applyFill="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4" fillId="0" borderId="0" xfId="0" quotePrefix="1" applyFont="1"/>
    <xf numFmtId="0" fontId="0" fillId="0" borderId="24" xfId="0" applyBorder="1"/>
    <xf numFmtId="0" fontId="0" fillId="0" borderId="25" xfId="0" applyBorder="1"/>
    <xf numFmtId="0" fontId="0" fillId="0" borderId="26" xfId="0" applyBorder="1"/>
    <xf numFmtId="0" fontId="0" fillId="0" borderId="23" xfId="0" applyBorder="1" applyAlignment="1">
      <alignment vertical="top"/>
    </xf>
    <xf numFmtId="0" fontId="0" fillId="3" borderId="0" xfId="0" applyFill="1"/>
    <xf numFmtId="0" fontId="5" fillId="0" borderId="0" xfId="0" applyFont="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left"/>
    </xf>
    <xf numFmtId="0" fontId="3" fillId="0" borderId="42" xfId="0" applyFont="1" applyBorder="1"/>
    <xf numFmtId="0" fontId="0" fillId="0" borderId="42" xfId="0" applyBorder="1"/>
    <xf numFmtId="0" fontId="3" fillId="0" borderId="0" xfId="0" applyFont="1" applyAlignment="1">
      <alignment horizontal="center"/>
    </xf>
    <xf numFmtId="0" fontId="3" fillId="0" borderId="0" xfId="0" applyFont="1"/>
    <xf numFmtId="0" fontId="0" fillId="0" borderId="45" xfId="0" applyBorder="1"/>
    <xf numFmtId="0" fontId="0" fillId="0" borderId="46" xfId="0" applyBorder="1"/>
    <xf numFmtId="0" fontId="0" fillId="0" borderId="47" xfId="0" applyBorder="1"/>
    <xf numFmtId="0" fontId="7" fillId="0" borderId="20" xfId="0" applyFont="1" applyBorder="1"/>
    <xf numFmtId="0" fontId="0" fillId="0" borderId="43" xfId="0" applyBorder="1"/>
    <xf numFmtId="0" fontId="0" fillId="0" borderId="44" xfId="0" applyBorder="1"/>
    <xf numFmtId="0" fontId="8" fillId="0" borderId="0" xfId="0" applyFont="1"/>
    <xf numFmtId="0" fontId="0" fillId="0" borderId="50" xfId="0" applyBorder="1"/>
    <xf numFmtId="0" fontId="0" fillId="0" borderId="52"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1" fillId="2" borderId="0" xfId="0" applyFont="1" applyFill="1" applyAlignment="1">
      <alignment horizontal="center"/>
    </xf>
    <xf numFmtId="0" fontId="0" fillId="0" borderId="63" xfId="0" applyBorder="1"/>
    <xf numFmtId="0" fontId="0" fillId="0" borderId="64" xfId="0" applyBorder="1"/>
    <xf numFmtId="0" fontId="0" fillId="0" borderId="65" xfId="0" applyBorder="1"/>
    <xf numFmtId="0" fontId="3" fillId="0" borderId="61" xfId="0" applyFont="1" applyBorder="1"/>
    <xf numFmtId="0" fontId="3" fillId="0" borderId="65" xfId="0" applyFont="1" applyBorder="1"/>
    <xf numFmtId="0" fontId="6" fillId="0" borderId="0" xfId="0" applyFont="1"/>
    <xf numFmtId="0" fontId="0" fillId="0" borderId="25" xfId="0" quotePrefix="1" applyBorder="1"/>
    <xf numFmtId="0" fontId="0" fillId="0" borderId="1" xfId="0" applyBorder="1"/>
    <xf numFmtId="0" fontId="1" fillId="2" borderId="1" xfId="0" applyFont="1" applyFill="1" applyBorder="1"/>
    <xf numFmtId="0" fontId="1" fillId="2" borderId="1" xfId="0" applyFont="1" applyFill="1" applyBorder="1" applyAlignment="1">
      <alignment horizontal="center"/>
    </xf>
    <xf numFmtId="0" fontId="12" fillId="0" borderId="0" xfId="0" applyFont="1"/>
    <xf numFmtId="0" fontId="7" fillId="0" borderId="0" xfId="0" applyFont="1"/>
    <xf numFmtId="4" fontId="12" fillId="4" borderId="1" xfId="0" applyNumberFormat="1" applyFont="1" applyFill="1" applyBorder="1"/>
    <xf numFmtId="4" fontId="0" fillId="4" borderId="1" xfId="0" applyNumberFormat="1" applyFill="1" applyBorder="1"/>
    <xf numFmtId="0" fontId="11" fillId="3" borderId="0" xfId="0" applyFont="1" applyFill="1"/>
    <xf numFmtId="0" fontId="1" fillId="3" borderId="0" xfId="0" applyFont="1" applyFill="1"/>
    <xf numFmtId="0" fontId="16" fillId="3" borderId="0" xfId="0" applyFont="1" applyFill="1"/>
    <xf numFmtId="0" fontId="6" fillId="0" borderId="42" xfId="0" applyFont="1" applyBorder="1"/>
    <xf numFmtId="0" fontId="6" fillId="0" borderId="68" xfId="0" applyFont="1" applyBorder="1"/>
    <xf numFmtId="0" fontId="0" fillId="0" borderId="68" xfId="0" applyBorder="1"/>
    <xf numFmtId="0" fontId="0" fillId="0" borderId="69" xfId="0" applyBorder="1"/>
    <xf numFmtId="0" fontId="0" fillId="0" borderId="53" xfId="0" applyBorder="1"/>
    <xf numFmtId="0" fontId="0" fillId="0" borderId="70" xfId="0" applyBorder="1"/>
    <xf numFmtId="0" fontId="0" fillId="0" borderId="54" xfId="0" applyBorder="1"/>
    <xf numFmtId="0" fontId="0" fillId="0" borderId="51" xfId="0" applyBorder="1"/>
    <xf numFmtId="0" fontId="0" fillId="0" borderId="49" xfId="0" applyBorder="1"/>
    <xf numFmtId="0" fontId="0" fillId="0" borderId="48" xfId="0" applyBorder="1"/>
    <xf numFmtId="0" fontId="4" fillId="0" borderId="0" xfId="0" quotePrefix="1" applyFont="1" applyAlignment="1">
      <alignment vertical="top" wrapText="1"/>
    </xf>
    <xf numFmtId="0" fontId="3" fillId="0" borderId="68" xfId="0" applyFont="1" applyBorder="1"/>
    <xf numFmtId="0" fontId="3" fillId="0" borderId="69" xfId="0" applyFont="1" applyBorder="1"/>
    <xf numFmtId="0" fontId="4" fillId="0" borderId="23" xfId="0" quotePrefix="1" applyFont="1" applyBorder="1" applyAlignment="1">
      <alignment vertical="top" wrapText="1"/>
    </xf>
    <xf numFmtId="0" fontId="0" fillId="0" borderId="0" xfId="0" applyAlignment="1">
      <alignment vertical="center"/>
    </xf>
    <xf numFmtId="0" fontId="12" fillId="0" borderId="43" xfId="0" applyFont="1" applyBorder="1"/>
    <xf numFmtId="0" fontId="6" fillId="0" borderId="71" xfId="0" applyFont="1" applyBorder="1"/>
    <xf numFmtId="0" fontId="6" fillId="0" borderId="72" xfId="0" applyFont="1" applyBorder="1"/>
    <xf numFmtId="0" fontId="3" fillId="0" borderId="20" xfId="0" applyFont="1" applyBorder="1"/>
    <xf numFmtId="0" fontId="12" fillId="0" borderId="0" xfId="0" applyFont="1" applyAlignment="1">
      <alignment horizontal="center"/>
    </xf>
    <xf numFmtId="0" fontId="0" fillId="0" borderId="0" xfId="0" applyAlignment="1">
      <alignment horizontal="left" vertical="top"/>
    </xf>
    <xf numFmtId="10" fontId="0" fillId="0" borderId="0" xfId="0" applyNumberFormat="1"/>
    <xf numFmtId="9" fontId="0" fillId="0" borderId="0" xfId="0" applyNumberFormat="1"/>
    <xf numFmtId="9" fontId="0" fillId="0" borderId="23" xfId="0" applyNumberFormat="1" applyBorder="1"/>
    <xf numFmtId="0" fontId="4" fillId="0" borderId="0" xfId="0" applyFont="1" applyAlignment="1">
      <alignment horizontal="left" vertical="top" wrapText="1"/>
    </xf>
    <xf numFmtId="0" fontId="6" fillId="0" borderId="47" xfId="0" applyFont="1" applyBorder="1"/>
    <xf numFmtId="0" fontId="6" fillId="0" borderId="69" xfId="0" applyFont="1" applyBorder="1"/>
    <xf numFmtId="0" fontId="0" fillId="0" borderId="0" xfId="0" applyAlignment="1">
      <alignment horizontal="center" vertical="center"/>
    </xf>
    <xf numFmtId="0" fontId="0" fillId="0" borderId="18" xfId="0" applyBorder="1" applyAlignment="1">
      <alignment vertical="center"/>
    </xf>
    <xf numFmtId="0" fontId="6" fillId="0" borderId="43" xfId="0" applyFont="1" applyBorder="1"/>
    <xf numFmtId="0" fontId="6" fillId="0" borderId="45" xfId="0" applyFont="1" applyBorder="1"/>
    <xf numFmtId="0" fontId="6" fillId="0" borderId="44" xfId="0" applyFont="1" applyBorder="1"/>
    <xf numFmtId="0" fontId="6" fillId="0" borderId="46" xfId="0" applyFont="1" applyBorder="1"/>
    <xf numFmtId="0" fontId="3" fillId="0" borderId="43" xfId="0" applyFont="1" applyBorder="1"/>
    <xf numFmtId="0" fontId="6" fillId="0" borderId="88" xfId="0" applyFont="1" applyBorder="1"/>
    <xf numFmtId="0" fontId="3" fillId="0" borderId="44" xfId="0" applyFont="1" applyBorder="1"/>
    <xf numFmtId="0" fontId="3" fillId="0" borderId="45" xfId="0" applyFont="1" applyBorder="1"/>
    <xf numFmtId="0" fontId="3" fillId="0" borderId="47" xfId="0" applyFont="1" applyBorder="1"/>
    <xf numFmtId="0" fontId="0" fillId="0" borderId="30" xfId="0" applyBorder="1"/>
    <xf numFmtId="0" fontId="0" fillId="0" borderId="32" xfId="0" applyBorder="1" applyAlignment="1">
      <alignment horizontal="center"/>
    </xf>
    <xf numFmtId="1" fontId="0" fillId="0" borderId="0" xfId="0" applyNumberFormat="1"/>
    <xf numFmtId="0" fontId="4" fillId="0" borderId="0" xfId="0" applyFont="1" applyAlignment="1">
      <alignment horizontal="left" vertical="top"/>
    </xf>
    <xf numFmtId="0" fontId="9" fillId="0" borderId="0" xfId="0" applyFont="1" applyAlignment="1">
      <alignment horizontal="left" vertical="top"/>
    </xf>
    <xf numFmtId="0" fontId="9" fillId="0" borderId="0" xfId="0" applyFont="1"/>
    <xf numFmtId="1" fontId="3" fillId="0" borderId="0" xfId="0" applyNumberFormat="1" applyFont="1" applyAlignment="1">
      <alignment horizontal="center"/>
    </xf>
    <xf numFmtId="1" fontId="0" fillId="0" borderId="0" xfId="0" applyNumberFormat="1" applyAlignment="1">
      <alignment horizontal="center"/>
    </xf>
    <xf numFmtId="0" fontId="9" fillId="0" borderId="89" xfId="0" quotePrefix="1" applyFont="1" applyBorder="1"/>
    <xf numFmtId="0" fontId="8" fillId="0" borderId="88" xfId="0" applyFont="1" applyBorder="1"/>
    <xf numFmtId="0" fontId="0" fillId="0" borderId="88" xfId="0" applyBorder="1"/>
    <xf numFmtId="0" fontId="8" fillId="0" borderId="91" xfId="0" applyFont="1" applyBorder="1"/>
    <xf numFmtId="0" fontId="8" fillId="0" borderId="93" xfId="0" applyFont="1" applyBorder="1"/>
    <xf numFmtId="0" fontId="0" fillId="0" borderId="71" xfId="0" applyBorder="1"/>
    <xf numFmtId="4" fontId="0" fillId="0" borderId="0" xfId="0" applyNumberFormat="1"/>
    <xf numFmtId="0" fontId="4" fillId="0" borderId="0" xfId="0" quotePrefix="1" applyFont="1" applyAlignment="1">
      <alignment vertical="top"/>
    </xf>
    <xf numFmtId="0" fontId="1" fillId="0" borderId="0" xfId="0" applyFont="1" applyAlignment="1">
      <alignment horizontal="center"/>
    </xf>
    <xf numFmtId="0" fontId="1" fillId="0" borderId="0" xfId="0" applyFont="1" applyAlignment="1">
      <alignment vertical="center" textRotation="180"/>
    </xf>
    <xf numFmtId="0" fontId="0" fillId="0" borderId="52"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78" xfId="0" applyBorder="1"/>
    <xf numFmtId="0" fontId="0" fillId="0" borderId="78" xfId="0" applyBorder="1" applyAlignment="1">
      <alignment horizontal="center"/>
    </xf>
    <xf numFmtId="0" fontId="0" fillId="0" borderId="96" xfId="0" applyBorder="1"/>
    <xf numFmtId="10" fontId="0" fillId="0" borderId="0" xfId="0" applyNumberFormat="1" applyAlignment="1">
      <alignment horizontal="center"/>
    </xf>
    <xf numFmtId="10" fontId="0" fillId="0" borderId="42" xfId="0" applyNumberFormat="1" applyBorder="1" applyAlignment="1">
      <alignment horizontal="center"/>
    </xf>
    <xf numFmtId="10" fontId="0" fillId="0" borderId="47" xfId="0" applyNumberFormat="1" applyBorder="1" applyAlignment="1">
      <alignment horizontal="center"/>
    </xf>
    <xf numFmtId="4" fontId="0" fillId="0" borderId="84" xfId="0" applyNumberFormat="1" applyBorder="1" applyAlignment="1">
      <alignment horizontal="center"/>
    </xf>
    <xf numFmtId="0" fontId="4" fillId="0" borderId="0" xfId="0" applyFont="1"/>
    <xf numFmtId="0" fontId="1" fillId="2" borderId="78" xfId="0" applyFont="1" applyFill="1" applyBorder="1" applyAlignment="1">
      <alignment horizontal="center"/>
    </xf>
    <xf numFmtId="0" fontId="3" fillId="0" borderId="89" xfId="0" applyFont="1" applyBorder="1"/>
    <xf numFmtId="0" fontId="0" fillId="0" borderId="91" xfId="0" applyBorder="1"/>
    <xf numFmtId="0" fontId="0" fillId="0" borderId="92" xfId="0" applyBorder="1"/>
    <xf numFmtId="0" fontId="0" fillId="0" borderId="93" xfId="0" applyBorder="1"/>
    <xf numFmtId="0" fontId="0" fillId="0" borderId="90" xfId="0" applyBorder="1"/>
    <xf numFmtId="0" fontId="0" fillId="0" borderId="94" xfId="0" applyBorder="1"/>
    <xf numFmtId="0" fontId="12" fillId="0" borderId="42" xfId="0" applyFont="1" applyBorder="1"/>
    <xf numFmtId="0" fontId="0" fillId="0" borderId="0" xfId="0" quotePrefix="1"/>
    <xf numFmtId="4" fontId="0" fillId="0" borderId="0" xfId="0" applyNumberFormat="1" applyAlignment="1">
      <alignment horizontal="center"/>
    </xf>
    <xf numFmtId="0" fontId="26" fillId="0" borderId="57" xfId="0" applyFont="1" applyBorder="1"/>
    <xf numFmtId="0" fontId="4" fillId="0" borderId="0" xfId="0" applyFont="1" applyAlignment="1">
      <alignment horizontal="center" vertical="center"/>
    </xf>
    <xf numFmtId="0" fontId="0" fillId="0" borderId="0" xfId="0" applyAlignment="1" applyProtection="1">
      <alignment horizontal="left"/>
      <protection locked="0"/>
    </xf>
    <xf numFmtId="0" fontId="0" fillId="0" borderId="0" xfId="0" applyAlignment="1" applyProtection="1">
      <alignment vertical="top"/>
      <protection locked="0"/>
    </xf>
    <xf numFmtId="0" fontId="0" fillId="0" borderId="25" xfId="0" applyBorder="1" applyAlignment="1" applyProtection="1">
      <alignment vertical="top"/>
      <protection locked="0"/>
    </xf>
    <xf numFmtId="0" fontId="0" fillId="0" borderId="28" xfId="0" applyBorder="1"/>
    <xf numFmtId="0" fontId="0" fillId="0" borderId="0" xfId="0" applyAlignment="1" applyProtection="1">
      <alignment horizontal="center"/>
      <protection locked="0"/>
    </xf>
    <xf numFmtId="0" fontId="4" fillId="0" borderId="20" xfId="0" applyFont="1" applyBorder="1"/>
    <xf numFmtId="0" fontId="12" fillId="0" borderId="47" xfId="0" applyFont="1" applyBorder="1"/>
    <xf numFmtId="0" fontId="12" fillId="0" borderId="68" xfId="0" applyFont="1" applyBorder="1"/>
    <xf numFmtId="0" fontId="12" fillId="0" borderId="69" xfId="0" applyFont="1" applyBorder="1"/>
    <xf numFmtId="0" fontId="4" fillId="0" borderId="44" xfId="0" applyFont="1" applyBorder="1"/>
    <xf numFmtId="4" fontId="0" fillId="0" borderId="42" xfId="0" applyNumberFormat="1" applyBorder="1" applyAlignment="1">
      <alignment horizontal="center"/>
    </xf>
    <xf numFmtId="0" fontId="0" fillId="0" borderId="98" xfId="0" applyBorder="1"/>
    <xf numFmtId="0" fontId="0" fillId="0" borderId="98" xfId="0" applyBorder="1" applyAlignment="1">
      <alignment horizontal="center" vertical="center"/>
    </xf>
    <xf numFmtId="0" fontId="0" fillId="0" borderId="97" xfId="0" applyBorder="1" applyAlignment="1">
      <alignment horizontal="center" vertical="center"/>
    </xf>
    <xf numFmtId="0" fontId="0" fillId="0" borderId="0" xfId="0" applyAlignment="1">
      <alignment horizontal="left" vertical="top" wrapText="1"/>
    </xf>
    <xf numFmtId="0" fontId="6" fillId="0" borderId="0" xfId="0" applyFont="1" applyAlignment="1">
      <alignment horizontal="center"/>
    </xf>
    <xf numFmtId="0" fontId="0" fillId="0" borderId="42" xfId="0" applyBorder="1" applyAlignment="1">
      <alignment horizontal="center"/>
    </xf>
    <xf numFmtId="0" fontId="4" fillId="0" borderId="42" xfId="0" applyFont="1"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horizontal="center"/>
    </xf>
    <xf numFmtId="0" fontId="0" fillId="0" borderId="44" xfId="0" applyBorder="1" applyAlignment="1">
      <alignment vertical="top"/>
    </xf>
    <xf numFmtId="0" fontId="26" fillId="0" borderId="0" xfId="0" applyFont="1"/>
    <xf numFmtId="0" fontId="4" fillId="0" borderId="42" xfId="0" applyFont="1" applyBorder="1"/>
    <xf numFmtId="0" fontId="0" fillId="0" borderId="0" xfId="0" applyAlignment="1">
      <alignment horizontal="left" wrapText="1"/>
    </xf>
    <xf numFmtId="0" fontId="0" fillId="0" borderId="108" xfId="0" applyBorder="1"/>
    <xf numFmtId="0" fontId="29" fillId="0" borderId="0" xfId="0" applyFont="1"/>
    <xf numFmtId="1" fontId="31" fillId="0" borderId="0" xfId="0" applyNumberFormat="1" applyFont="1" applyAlignment="1">
      <alignment horizontal="center"/>
    </xf>
    <xf numFmtId="2" fontId="0" fillId="9" borderId="100" xfId="0" applyNumberFormat="1" applyFill="1" applyBorder="1" applyAlignment="1">
      <alignment horizontal="center" vertical="center"/>
    </xf>
    <xf numFmtId="2" fontId="0" fillId="9" borderId="67"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01" xfId="0" applyNumberFormat="1" applyFill="1" applyBorder="1" applyAlignment="1">
      <alignment horizontal="center" vertical="center"/>
    </xf>
    <xf numFmtId="2" fontId="0" fillId="9" borderId="78" xfId="0" applyNumberFormat="1" applyFill="1" applyBorder="1" applyAlignment="1">
      <alignment horizontal="center" vertical="center"/>
    </xf>
    <xf numFmtId="2" fontId="0" fillId="9" borderId="84" xfId="0" applyNumberFormat="1" applyFill="1" applyBorder="1" applyAlignment="1">
      <alignment horizontal="center" vertical="center"/>
    </xf>
    <xf numFmtId="2" fontId="0" fillId="9" borderId="102" xfId="0" applyNumberFormat="1" applyFill="1" applyBorder="1" applyAlignment="1">
      <alignment horizontal="center" vertical="center"/>
    </xf>
    <xf numFmtId="2" fontId="0" fillId="9" borderId="75" xfId="0" applyNumberFormat="1" applyFill="1" applyBorder="1" applyAlignment="1">
      <alignment horizontal="center" vertical="center"/>
    </xf>
    <xf numFmtId="2" fontId="0" fillId="9" borderId="104" xfId="0" applyNumberFormat="1" applyFill="1"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99" xfId="0" applyBorder="1" applyAlignment="1">
      <alignment horizontal="center" vertical="center"/>
    </xf>
    <xf numFmtId="0" fontId="16" fillId="3" borderId="0" xfId="0" applyFont="1" applyFill="1" applyAlignment="1">
      <alignment horizontal="right"/>
    </xf>
    <xf numFmtId="0" fontId="0" fillId="0" borderId="0" xfId="0" applyAlignment="1">
      <alignment horizontal="right"/>
    </xf>
    <xf numFmtId="0" fontId="0" fillId="0" borderId="114" xfId="0" applyBorder="1"/>
    <xf numFmtId="2" fontId="0" fillId="0" borderId="0" xfId="0" applyNumberFormat="1" applyAlignment="1">
      <alignment horizontal="center"/>
    </xf>
    <xf numFmtId="2" fontId="0" fillId="0" borderId="115" xfId="0" applyNumberFormat="1" applyBorder="1" applyAlignment="1">
      <alignment horizontal="center"/>
    </xf>
    <xf numFmtId="0" fontId="0" fillId="0" borderId="116" xfId="0" applyBorder="1"/>
    <xf numFmtId="2" fontId="0" fillId="0" borderId="117" xfId="0" applyNumberFormat="1" applyBorder="1" applyAlignment="1">
      <alignment horizontal="center"/>
    </xf>
    <xf numFmtId="2" fontId="0" fillId="0" borderId="118" xfId="0" applyNumberFormat="1" applyBorder="1" applyAlignment="1">
      <alignment horizontal="center"/>
    </xf>
    <xf numFmtId="2" fontId="0" fillId="0" borderId="52" xfId="0" applyNumberFormat="1" applyBorder="1" applyAlignment="1">
      <alignment horizontal="center"/>
    </xf>
    <xf numFmtId="2" fontId="0" fillId="0" borderId="125" xfId="0" applyNumberFormat="1" applyBorder="1" applyAlignment="1">
      <alignment horizontal="center"/>
    </xf>
    <xf numFmtId="0" fontId="0" fillId="0" borderId="117" xfId="0" applyBorder="1"/>
    <xf numFmtId="0" fontId="0" fillId="0" borderId="126" xfId="0" applyBorder="1"/>
    <xf numFmtId="0" fontId="32" fillId="13" borderId="112" xfId="0" applyFont="1" applyFill="1" applyBorder="1" applyAlignment="1">
      <alignment horizontal="center" vertical="center"/>
    </xf>
    <xf numFmtId="0" fontId="32" fillId="13" borderId="74" xfId="0" applyFont="1" applyFill="1" applyBorder="1" applyAlignment="1">
      <alignment horizontal="center" vertical="center" wrapText="1"/>
    </xf>
    <xf numFmtId="0" fontId="32" fillId="13" borderId="122" xfId="0" applyFont="1" applyFill="1" applyBorder="1" applyAlignment="1">
      <alignment horizontal="center" vertical="center" wrapText="1"/>
    </xf>
    <xf numFmtId="0" fontId="32" fillId="14" borderId="121" xfId="0" applyFont="1" applyFill="1" applyBorder="1" applyAlignment="1">
      <alignment horizontal="center" vertical="center"/>
    </xf>
    <xf numFmtId="0" fontId="32" fillId="14" borderId="74" xfId="0" applyFont="1" applyFill="1" applyBorder="1" applyAlignment="1">
      <alignment horizontal="center" vertical="center" wrapText="1"/>
    </xf>
    <xf numFmtId="0" fontId="32" fillId="14" borderId="113" xfId="0" applyFont="1" applyFill="1" applyBorder="1" applyAlignment="1">
      <alignment horizontal="center" vertical="center" wrapText="1"/>
    </xf>
    <xf numFmtId="0" fontId="6" fillId="0" borderId="114" xfId="0" applyFont="1" applyBorder="1"/>
    <xf numFmtId="0" fontId="6" fillId="0" borderId="51" xfId="0" applyFont="1" applyBorder="1"/>
    <xf numFmtId="0" fontId="6" fillId="0" borderId="116" xfId="0" applyFont="1" applyBorder="1"/>
    <xf numFmtId="0" fontId="6" fillId="0" borderId="117" xfId="0" applyFont="1" applyBorder="1"/>
    <xf numFmtId="0" fontId="6" fillId="0" borderId="126" xfId="0" applyFont="1" applyBorder="1"/>
    <xf numFmtId="0" fontId="36" fillId="16" borderId="112" xfId="0" applyFont="1" applyFill="1" applyBorder="1" applyAlignment="1">
      <alignment horizontal="center" vertical="center"/>
    </xf>
    <xf numFmtId="0" fontId="36" fillId="16" borderId="74" xfId="0" applyFont="1" applyFill="1" applyBorder="1" applyAlignment="1">
      <alignment horizontal="center" vertical="center" wrapText="1"/>
    </xf>
    <xf numFmtId="0" fontId="36" fillId="16" borderId="122" xfId="0" applyFont="1" applyFill="1" applyBorder="1" applyAlignment="1">
      <alignment horizontal="center" vertical="center" wrapText="1"/>
    </xf>
    <xf numFmtId="0" fontId="36" fillId="12" borderId="121" xfId="0" applyFont="1" applyFill="1" applyBorder="1" applyAlignment="1">
      <alignment horizontal="center" vertical="center"/>
    </xf>
    <xf numFmtId="0" fontId="36" fillId="12" borderId="74" xfId="0" applyFont="1" applyFill="1" applyBorder="1" applyAlignment="1">
      <alignment horizontal="center" vertical="center" wrapText="1"/>
    </xf>
    <xf numFmtId="0" fontId="36" fillId="12" borderId="113" xfId="0" applyFont="1" applyFill="1" applyBorder="1" applyAlignment="1">
      <alignment horizontal="center" vertical="center" wrapText="1"/>
    </xf>
    <xf numFmtId="2" fontId="0" fillId="0" borderId="78" xfId="0" applyNumberFormat="1" applyBorder="1" applyAlignment="1">
      <alignment horizontal="center"/>
    </xf>
    <xf numFmtId="2" fontId="0" fillId="0" borderId="67" xfId="0" applyNumberFormat="1" applyBorder="1" applyAlignment="1">
      <alignment horizontal="center"/>
    </xf>
    <xf numFmtId="2" fontId="0" fillId="0" borderId="106" xfId="0" applyNumberFormat="1" applyBorder="1" applyAlignment="1">
      <alignment horizontal="center"/>
    </xf>
    <xf numFmtId="2" fontId="0" fillId="0" borderId="85" xfId="0" applyNumberFormat="1" applyBorder="1" applyAlignment="1">
      <alignment horizontal="center"/>
    </xf>
    <xf numFmtId="2" fontId="0" fillId="0" borderId="127" xfId="0" applyNumberFormat="1" applyBorder="1" applyAlignment="1">
      <alignment horizontal="center"/>
    </xf>
    <xf numFmtId="2" fontId="0" fillId="0" borderId="128" xfId="0" applyNumberFormat="1" applyBorder="1" applyAlignment="1">
      <alignment horizontal="center"/>
    </xf>
    <xf numFmtId="2" fontId="0" fillId="0" borderId="75" xfId="0" applyNumberFormat="1" applyBorder="1" applyAlignment="1">
      <alignment horizontal="center"/>
    </xf>
    <xf numFmtId="2" fontId="0" fillId="0" borderId="76" xfId="0" applyNumberFormat="1" applyBorder="1" applyAlignment="1">
      <alignment horizontal="center"/>
    </xf>
    <xf numFmtId="0" fontId="0" fillId="0" borderId="100" xfId="0" applyBorder="1" applyAlignment="1">
      <alignment horizontal="center"/>
    </xf>
    <xf numFmtId="0" fontId="0" fillId="0" borderId="67" xfId="0" applyBorder="1" applyAlignment="1">
      <alignment horizontal="center"/>
    </xf>
    <xf numFmtId="0" fontId="0" fillId="0" borderId="101" xfId="0" applyBorder="1" applyAlignment="1">
      <alignment horizontal="center"/>
    </xf>
    <xf numFmtId="0" fontId="0" fillId="0" borderId="103" xfId="0" applyBorder="1" applyAlignment="1">
      <alignment horizontal="center"/>
    </xf>
    <xf numFmtId="0" fontId="0" fillId="0" borderId="106" xfId="0" applyBorder="1" applyAlignment="1">
      <alignment horizontal="center"/>
    </xf>
    <xf numFmtId="0" fontId="0" fillId="0" borderId="102" xfId="0" applyBorder="1" applyAlignment="1">
      <alignment horizontal="center"/>
    </xf>
    <xf numFmtId="0" fontId="0" fillId="0" borderId="75" xfId="0" applyBorder="1" applyAlignment="1">
      <alignment horizontal="center"/>
    </xf>
    <xf numFmtId="0" fontId="35" fillId="19" borderId="48" xfId="0" applyFont="1" applyFill="1" applyBorder="1" applyAlignment="1">
      <alignment horizontal="center"/>
    </xf>
    <xf numFmtId="0" fontId="35" fillId="20" borderId="48" xfId="0" applyFont="1" applyFill="1" applyBorder="1" applyAlignment="1">
      <alignment horizontal="center"/>
    </xf>
    <xf numFmtId="0" fontId="35" fillId="20" borderId="50" xfId="0" applyFont="1" applyFill="1" applyBorder="1" applyAlignment="1">
      <alignment horizontal="center"/>
    </xf>
    <xf numFmtId="0" fontId="6" fillId="0" borderId="100" xfId="0" applyFont="1" applyBorder="1" applyAlignment="1">
      <alignment horizontal="center"/>
    </xf>
    <xf numFmtId="0" fontId="6" fillId="0" borderId="67" xfId="0" applyFont="1" applyBorder="1" applyAlignment="1">
      <alignment horizontal="center"/>
    </xf>
    <xf numFmtId="0" fontId="6" fillId="0" borderId="101" xfId="0" applyFont="1" applyBorder="1" applyAlignment="1">
      <alignment horizontal="center"/>
    </xf>
    <xf numFmtId="0" fontId="6" fillId="0" borderId="78" xfId="0" applyFont="1" applyBorder="1" applyAlignment="1">
      <alignment horizontal="center"/>
    </xf>
    <xf numFmtId="0" fontId="6" fillId="0" borderId="103" xfId="0" applyFont="1" applyBorder="1" applyAlignment="1">
      <alignment horizontal="center"/>
    </xf>
    <xf numFmtId="0" fontId="6" fillId="0" borderId="106" xfId="0" applyFont="1" applyBorder="1" applyAlignment="1">
      <alignment horizontal="center"/>
    </xf>
    <xf numFmtId="0" fontId="6" fillId="0" borderId="102" xfId="0" applyFont="1" applyBorder="1" applyAlignment="1">
      <alignment horizontal="center"/>
    </xf>
    <xf numFmtId="0" fontId="6" fillId="0" borderId="75" xfId="0" applyFont="1" applyBorder="1" applyAlignment="1">
      <alignment horizontal="center"/>
    </xf>
    <xf numFmtId="0" fontId="37" fillId="7" borderId="48" xfId="0" applyFont="1" applyFill="1" applyBorder="1" applyAlignment="1">
      <alignment horizontal="center"/>
    </xf>
    <xf numFmtId="0" fontId="37" fillId="22" borderId="48" xfId="0" applyFont="1" applyFill="1" applyBorder="1" applyAlignment="1">
      <alignment horizontal="center"/>
    </xf>
    <xf numFmtId="0" fontId="37" fillId="22" borderId="50" xfId="0" applyFont="1" applyFill="1" applyBorder="1" applyAlignment="1">
      <alignment horizontal="center"/>
    </xf>
    <xf numFmtId="0" fontId="6" fillId="0" borderId="78" xfId="0" applyFont="1" applyBorder="1"/>
    <xf numFmtId="0" fontId="0" fillId="0" borderId="67" xfId="0" applyBorder="1"/>
    <xf numFmtId="0" fontId="0" fillId="0" borderId="106" xfId="0" applyBorder="1"/>
    <xf numFmtId="0" fontId="0" fillId="24" borderId="0" xfId="0" applyFill="1" applyAlignment="1">
      <alignment horizontal="center"/>
    </xf>
    <xf numFmtId="0" fontId="0" fillId="25" borderId="0" xfId="0" applyFill="1" applyAlignment="1">
      <alignment horizontal="center"/>
    </xf>
    <xf numFmtId="0" fontId="16" fillId="27" borderId="0" xfId="0" applyFont="1" applyFill="1" applyAlignment="1">
      <alignment horizontal="center"/>
    </xf>
    <xf numFmtId="0" fontId="16" fillId="23" borderId="0" xfId="0" applyFont="1" applyFill="1" applyAlignment="1">
      <alignment horizontal="center"/>
    </xf>
    <xf numFmtId="0" fontId="0" fillId="25" borderId="115" xfId="0" applyFill="1" applyBorder="1" applyAlignment="1">
      <alignment horizontal="center"/>
    </xf>
    <xf numFmtId="0" fontId="0" fillId="0" borderId="134" xfId="0" applyBorder="1"/>
    <xf numFmtId="2" fontId="0" fillId="0" borderId="135" xfId="0" applyNumberFormat="1" applyBorder="1" applyAlignment="1">
      <alignment horizontal="center"/>
    </xf>
    <xf numFmtId="0" fontId="0" fillId="0" borderId="136" xfId="0" applyBorder="1"/>
    <xf numFmtId="2" fontId="0" fillId="0" borderId="137" xfId="0" applyNumberFormat="1" applyBorder="1" applyAlignment="1">
      <alignment horizontal="center"/>
    </xf>
    <xf numFmtId="0" fontId="0" fillId="0" borderId="138" xfId="0" applyBorder="1"/>
    <xf numFmtId="2" fontId="0" fillId="0" borderId="139" xfId="0" applyNumberFormat="1" applyBorder="1" applyAlignment="1">
      <alignment horizontal="center"/>
    </xf>
    <xf numFmtId="0" fontId="0" fillId="0" borderId="140" xfId="0" applyBorder="1"/>
    <xf numFmtId="0" fontId="0" fillId="0" borderId="141" xfId="0" applyBorder="1"/>
    <xf numFmtId="2" fontId="0" fillId="0" borderId="141" xfId="0" applyNumberFormat="1" applyBorder="1" applyAlignment="1">
      <alignment horizontal="center"/>
    </xf>
    <xf numFmtId="2" fontId="0" fillId="0" borderId="142" xfId="0" applyNumberFormat="1" applyBorder="1" applyAlignment="1">
      <alignment horizontal="center"/>
    </xf>
    <xf numFmtId="0" fontId="16" fillId="23" borderId="115" xfId="0" applyFont="1" applyFill="1" applyBorder="1" applyAlignment="1">
      <alignment horizontal="center"/>
    </xf>
    <xf numFmtId="0" fontId="6" fillId="0" borderId="134" xfId="0" applyFont="1" applyBorder="1"/>
    <xf numFmtId="0" fontId="6" fillId="0" borderId="136" xfId="0" applyFont="1" applyBorder="1"/>
    <xf numFmtId="0" fontId="6" fillId="0" borderId="106" xfId="0" applyFont="1" applyBorder="1"/>
    <xf numFmtId="0" fontId="6" fillId="0" borderId="138" xfId="0" applyFont="1" applyBorder="1"/>
    <xf numFmtId="0" fontId="6" fillId="0" borderId="67" xfId="0" applyFont="1" applyBorder="1"/>
    <xf numFmtId="0" fontId="6" fillId="0" borderId="140" xfId="0" applyFont="1" applyBorder="1"/>
    <xf numFmtId="0" fontId="6" fillId="0" borderId="141" xfId="0" applyFont="1" applyBorder="1"/>
    <xf numFmtId="0" fontId="42" fillId="0" borderId="0" xfId="0" applyFont="1"/>
    <xf numFmtId="0" fontId="18" fillId="28" borderId="143" xfId="4" applyFill="1" applyBorder="1"/>
    <xf numFmtId="0" fontId="18" fillId="28" borderId="143" xfId="4" applyFill="1" applyBorder="1" applyAlignment="1">
      <alignment horizontal="center"/>
    </xf>
    <xf numFmtId="0" fontId="39" fillId="0" borderId="143" xfId="4" applyFont="1" applyBorder="1" applyAlignment="1">
      <alignment horizontal="center"/>
    </xf>
    <xf numFmtId="0" fontId="38" fillId="0" borderId="143" xfId="4" applyFont="1" applyBorder="1" applyAlignment="1">
      <alignment horizontal="center"/>
    </xf>
    <xf numFmtId="0" fontId="18" fillId="29" borderId="143" xfId="4" applyFill="1" applyBorder="1"/>
    <xf numFmtId="0" fontId="0" fillId="0" borderId="0" xfId="0" applyProtection="1">
      <protection locked="0"/>
    </xf>
    <xf numFmtId="0" fontId="37" fillId="0" borderId="0" xfId="0" applyFont="1" applyAlignment="1">
      <alignment horizontal="center" wrapText="1"/>
    </xf>
    <xf numFmtId="0" fontId="33" fillId="0" borderId="0" xfId="0" applyFont="1" applyAlignment="1">
      <alignment horizontal="center"/>
    </xf>
    <xf numFmtId="0" fontId="37" fillId="0" borderId="0" xfId="0" applyFont="1" applyAlignment="1">
      <alignment horizontal="center"/>
    </xf>
    <xf numFmtId="0" fontId="0" fillId="0" borderId="0" xfId="0" applyAlignment="1">
      <alignment horizontal="left"/>
    </xf>
    <xf numFmtId="0" fontId="33" fillId="0" borderId="0" xfId="0" applyFont="1" applyAlignment="1">
      <alignment horizontal="left"/>
    </xf>
    <xf numFmtId="0" fontId="1" fillId="2" borderId="0" xfId="0" applyFont="1" applyFill="1" applyAlignment="1">
      <alignment horizontal="left"/>
    </xf>
    <xf numFmtId="0" fontId="37" fillId="0" borderId="0" xfId="0" applyFont="1" applyAlignment="1">
      <alignment horizontal="left"/>
    </xf>
    <xf numFmtId="2" fontId="0" fillId="0" borderId="0" xfId="0" applyNumberFormat="1" applyAlignment="1">
      <alignment horizontal="left"/>
    </xf>
    <xf numFmtId="0" fontId="0" fillId="0" borderId="144" xfId="0" applyBorder="1"/>
    <xf numFmtId="0" fontId="0" fillId="0" borderId="145" xfId="0" applyBorder="1"/>
    <xf numFmtId="0" fontId="0" fillId="0" borderId="146" xfId="0" applyBorder="1"/>
    <xf numFmtId="0" fontId="0" fillId="0" borderId="147" xfId="0" applyBorder="1"/>
    <xf numFmtId="0" fontId="0" fillId="0" borderId="148" xfId="0" applyBorder="1"/>
    <xf numFmtId="4" fontId="0" fillId="5" borderId="143" xfId="0" applyNumberFormat="1" applyFill="1" applyBorder="1"/>
    <xf numFmtId="0" fontId="0" fillId="0" borderId="149" xfId="0" applyBorder="1"/>
    <xf numFmtId="0" fontId="0" fillId="0" borderId="150" xfId="0" applyBorder="1"/>
    <xf numFmtId="0" fontId="0" fillId="0" borderId="151" xfId="0" applyBorder="1"/>
    <xf numFmtId="0" fontId="0" fillId="0" borderId="143" xfId="0" applyBorder="1"/>
    <xf numFmtId="0" fontId="3" fillId="0" borderId="23" xfId="0" applyFont="1" applyBorder="1" applyAlignment="1">
      <alignment horizontal="center"/>
    </xf>
    <xf numFmtId="0" fontId="30" fillId="0" borderId="0" xfId="0" applyFont="1" applyAlignment="1">
      <alignment horizontal="center"/>
    </xf>
    <xf numFmtId="10" fontId="6" fillId="0" borderId="42" xfId="0" applyNumberFormat="1" applyFont="1" applyBorder="1" applyAlignment="1">
      <alignment horizontal="center"/>
    </xf>
    <xf numFmtId="0" fontId="0" fillId="0" borderId="143" xfId="0" applyBorder="1" applyAlignment="1">
      <alignment horizontal="right"/>
    </xf>
    <xf numFmtId="0" fontId="0" fillId="30" borderId="143" xfId="0" applyFill="1" applyBorder="1"/>
    <xf numFmtId="0" fontId="0" fillId="0" borderId="143" xfId="0" applyBorder="1" applyAlignment="1">
      <alignment horizontal="center"/>
    </xf>
    <xf numFmtId="4" fontId="6" fillId="5" borderId="143" xfId="0" applyNumberFormat="1" applyFont="1" applyFill="1" applyBorder="1"/>
    <xf numFmtId="0" fontId="48" fillId="5" borderId="143" xfId="0" applyFont="1" applyFill="1" applyBorder="1" applyAlignment="1">
      <alignment horizontal="center" vertical="center" wrapText="1"/>
    </xf>
    <xf numFmtId="0" fontId="49" fillId="0" borderId="0" xfId="0" applyFont="1"/>
    <xf numFmtId="49" fontId="38" fillId="32" borderId="143" xfId="0" applyNumberFormat="1" applyFont="1" applyFill="1" applyBorder="1" applyAlignment="1">
      <alignment horizontal="center" vertical="center" wrapText="1"/>
    </xf>
    <xf numFmtId="49" fontId="38" fillId="5" borderId="143" xfId="0" applyNumberFormat="1" applyFont="1" applyFill="1" applyBorder="1" applyAlignment="1">
      <alignment horizontal="center" vertical="center" wrapText="1"/>
    </xf>
    <xf numFmtId="1" fontId="38" fillId="5" borderId="143" xfId="0" applyNumberFormat="1" applyFont="1" applyFill="1" applyBorder="1" applyAlignment="1">
      <alignment horizontal="center" vertical="center" wrapText="1"/>
    </xf>
    <xf numFmtId="167" fontId="38" fillId="5" borderId="143" xfId="0" applyNumberFormat="1" applyFont="1" applyFill="1" applyBorder="1" applyAlignment="1">
      <alignment horizontal="center" vertical="center" wrapText="1"/>
    </xf>
    <xf numFmtId="49" fontId="38" fillId="15" borderId="143" xfId="0" applyNumberFormat="1" applyFont="1" applyFill="1" applyBorder="1" applyAlignment="1">
      <alignment horizontal="center" vertical="center" wrapText="1"/>
    </xf>
    <xf numFmtId="49" fontId="38" fillId="31" borderId="143" xfId="0" applyNumberFormat="1" applyFont="1" applyFill="1" applyBorder="1" applyAlignment="1">
      <alignment horizontal="center" vertical="center" wrapText="1"/>
    </xf>
    <xf numFmtId="1" fontId="38" fillId="31" borderId="143" xfId="0" applyNumberFormat="1" applyFont="1" applyFill="1" applyBorder="1" applyAlignment="1">
      <alignment horizontal="center" vertical="center" wrapText="1"/>
    </xf>
    <xf numFmtId="2" fontId="38" fillId="31" borderId="143" xfId="0" applyNumberFormat="1" applyFont="1" applyFill="1" applyBorder="1" applyAlignment="1">
      <alignment horizontal="center" vertical="center" wrapText="1"/>
    </xf>
    <xf numFmtId="1" fontId="38" fillId="32" borderId="143" xfId="0" applyNumberFormat="1" applyFont="1" applyFill="1" applyBorder="1" applyAlignment="1">
      <alignment horizontal="center" vertical="center" wrapText="1"/>
    </xf>
    <xf numFmtId="1" fontId="18" fillId="32" borderId="143" xfId="0" applyNumberFormat="1" applyFont="1" applyFill="1" applyBorder="1" applyAlignment="1">
      <alignment horizontal="center" vertical="center" wrapText="1"/>
    </xf>
    <xf numFmtId="1" fontId="21" fillId="32" borderId="143" xfId="0" applyNumberFormat="1" applyFont="1" applyFill="1" applyBorder="1" applyAlignment="1">
      <alignment horizontal="center" vertical="center" wrapText="1"/>
    </xf>
    <xf numFmtId="10" fontId="0" fillId="0" borderId="68" xfId="0" applyNumberFormat="1" applyBorder="1" applyAlignment="1">
      <alignment horizontal="center"/>
    </xf>
    <xf numFmtId="10" fontId="0" fillId="0" borderId="69" xfId="0" applyNumberFormat="1" applyBorder="1" applyAlignment="1">
      <alignment horizontal="center"/>
    </xf>
    <xf numFmtId="0" fontId="6" fillId="0" borderId="42" xfId="0" applyFont="1" applyBorder="1" applyAlignment="1" applyProtection="1">
      <alignment horizontal="center"/>
      <protection locked="0"/>
    </xf>
    <xf numFmtId="0" fontId="6" fillId="0" borderId="47" xfId="0" applyFont="1" applyBorder="1" applyAlignment="1" applyProtection="1">
      <alignment horizontal="center"/>
      <protection locked="0"/>
    </xf>
    <xf numFmtId="0" fontId="50" fillId="0" borderId="0" xfId="0" applyFont="1"/>
    <xf numFmtId="0" fontId="0" fillId="5" borderId="143" xfId="0" applyFill="1" applyBorder="1"/>
    <xf numFmtId="0" fontId="0" fillId="7" borderId="143" xfId="0" applyFill="1" applyBorder="1"/>
    <xf numFmtId="0" fontId="0" fillId="8" borderId="143" xfId="0" applyFill="1" applyBorder="1"/>
    <xf numFmtId="0" fontId="0" fillId="12" borderId="143" xfId="0" applyFill="1" applyBorder="1"/>
    <xf numFmtId="0" fontId="0" fillId="0" borderId="156" xfId="0" applyBorder="1"/>
    <xf numFmtId="0" fontId="0" fillId="0" borderId="157" xfId="0" applyBorder="1"/>
    <xf numFmtId="0" fontId="0" fillId="0" borderId="158" xfId="0" applyBorder="1"/>
    <xf numFmtId="0" fontId="0" fillId="0" borderId="159" xfId="0" applyBorder="1"/>
    <xf numFmtId="0" fontId="0" fillId="0" borderId="160" xfId="0" applyBorder="1"/>
    <xf numFmtId="0" fontId="0" fillId="0" borderId="161" xfId="0" applyBorder="1"/>
    <xf numFmtId="0" fontId="0" fillId="0" borderId="162" xfId="0" applyBorder="1"/>
    <xf numFmtId="0" fontId="0" fillId="0" borderId="163" xfId="0" applyBorder="1"/>
    <xf numFmtId="168" fontId="0" fillId="0" borderId="0" xfId="0" applyNumberFormat="1"/>
    <xf numFmtId="0" fontId="13" fillId="0" borderId="65" xfId="0" applyFont="1" applyBorder="1" applyAlignment="1">
      <alignment horizontal="center"/>
    </xf>
    <xf numFmtId="0" fontId="13" fillId="0" borderId="0" xfId="0" applyFont="1" applyAlignment="1">
      <alignment horizontal="center"/>
    </xf>
    <xf numFmtId="4" fontId="0" fillId="0" borderId="28" xfId="0" applyNumberFormat="1" applyBorder="1"/>
    <xf numFmtId="0" fontId="3" fillId="0" borderId="164" xfId="0" applyFont="1" applyBorder="1"/>
    <xf numFmtId="0" fontId="3" fillId="0" borderId="96" xfId="0" applyFont="1" applyBorder="1"/>
    <xf numFmtId="0" fontId="6" fillId="0" borderId="0" xfId="0" quotePrefix="1" applyFont="1" applyAlignment="1">
      <alignment horizontal="left"/>
    </xf>
    <xf numFmtId="4" fontId="0" fillId="0" borderId="0" xfId="0" applyNumberFormat="1" applyAlignment="1" applyProtection="1">
      <alignment horizontal="center" vertical="center"/>
      <protection locked="0"/>
    </xf>
    <xf numFmtId="4" fontId="0" fillId="0" borderId="0" xfId="0" applyNumberFormat="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143" xfId="0" applyBorder="1" applyAlignment="1">
      <alignment vertical="center"/>
    </xf>
    <xf numFmtId="4" fontId="3" fillId="0" borderId="0" xfId="0" applyNumberFormat="1" applyFont="1" applyAlignment="1">
      <alignment horizontal="center"/>
    </xf>
    <xf numFmtId="0" fontId="4" fillId="0" borderId="0" xfId="0" applyFont="1" applyAlignment="1">
      <alignment vertical="top"/>
    </xf>
    <xf numFmtId="2" fontId="3" fillId="0" borderId="0" xfId="0" applyNumberFormat="1" applyFont="1" applyAlignment="1">
      <alignment horizontal="center"/>
    </xf>
    <xf numFmtId="2" fontId="1" fillId="0" borderId="0" xfId="0" applyNumberFormat="1" applyFont="1" applyAlignment="1">
      <alignment horizontal="center"/>
    </xf>
    <xf numFmtId="4" fontId="3" fillId="0" borderId="0" xfId="0" applyNumberFormat="1" applyFont="1" applyAlignment="1">
      <alignment horizontal="center" vertical="center"/>
    </xf>
    <xf numFmtId="0" fontId="51" fillId="0" borderId="0" xfId="0" applyFont="1"/>
    <xf numFmtId="0" fontId="12" fillId="0" borderId="45" xfId="0" applyFont="1" applyBorder="1"/>
    <xf numFmtId="0" fontId="0" fillId="0" borderId="18" xfId="0" applyBorder="1"/>
    <xf numFmtId="0" fontId="3" fillId="0" borderId="32" xfId="0" applyFont="1" applyBorder="1" applyAlignment="1">
      <alignment horizontal="center"/>
    </xf>
    <xf numFmtId="0" fontId="4" fillId="0" borderId="0" xfId="0" applyFont="1" applyAlignment="1">
      <alignment horizontal="left" vertical="center" wrapText="1"/>
    </xf>
    <xf numFmtId="0" fontId="3" fillId="0" borderId="51" xfId="0" applyFont="1" applyBorder="1"/>
    <xf numFmtId="0" fontId="3" fillId="0" borderId="49" xfId="0" applyFont="1" applyBorder="1"/>
    <xf numFmtId="0" fontId="37" fillId="4" borderId="119" xfId="0" applyFont="1" applyFill="1" applyBorder="1" applyAlignment="1">
      <alignment horizontal="center"/>
    </xf>
    <xf numFmtId="0" fontId="37" fillId="4" borderId="105" xfId="0" applyFont="1" applyFill="1" applyBorder="1" applyAlignment="1">
      <alignment horizontal="center"/>
    </xf>
    <xf numFmtId="0" fontId="37" fillId="4" borderId="120" xfId="0" applyFont="1" applyFill="1" applyBorder="1" applyAlignment="1">
      <alignment horizontal="center"/>
    </xf>
    <xf numFmtId="0" fontId="4" fillId="0" borderId="0" xfId="0" applyFont="1" applyAlignment="1">
      <alignment horizontal="center" vertical="center" wrapText="1"/>
    </xf>
    <xf numFmtId="49" fontId="0" fillId="0" borderId="0" xfId="0" applyNumberFormat="1" applyAlignment="1">
      <alignment horizontal="center"/>
    </xf>
    <xf numFmtId="49" fontId="0" fillId="0" borderId="48" xfId="0" applyNumberFormat="1" applyBorder="1" applyAlignment="1">
      <alignment horizontal="center"/>
    </xf>
    <xf numFmtId="0" fontId="3" fillId="0" borderId="165" xfId="0" applyFont="1" applyBorder="1"/>
    <xf numFmtId="49" fontId="0" fillId="0" borderId="28" xfId="0" applyNumberFormat="1" applyBorder="1" applyAlignment="1">
      <alignment horizontal="center"/>
    </xf>
    <xf numFmtId="0" fontId="0" fillId="0" borderId="152" xfId="0" applyBorder="1"/>
    <xf numFmtId="0" fontId="3" fillId="0" borderId="166" xfId="0" applyFont="1" applyBorder="1"/>
    <xf numFmtId="49" fontId="0" fillId="0" borderId="32" xfId="0" applyNumberFormat="1" applyBorder="1" applyAlignment="1">
      <alignment horizontal="center"/>
    </xf>
    <xf numFmtId="0" fontId="0" fillId="0" borderId="167" xfId="0" applyBorder="1"/>
    <xf numFmtId="0" fontId="27" fillId="0" borderId="0" xfId="3"/>
    <xf numFmtId="4" fontId="0" fillId="0" borderId="84" xfId="0" applyNumberFormat="1" applyBorder="1"/>
    <xf numFmtId="2" fontId="0" fillId="9" borderId="168" xfId="0" applyNumberFormat="1" applyFill="1" applyBorder="1" applyAlignment="1">
      <alignment horizontal="center" vertical="center"/>
    </xf>
    <xf numFmtId="2" fontId="0" fillId="9" borderId="169" xfId="0" applyNumberFormat="1" applyFill="1" applyBorder="1" applyAlignment="1">
      <alignment horizontal="center" vertical="center"/>
    </xf>
    <xf numFmtId="2" fontId="0" fillId="9" borderId="98" xfId="0" applyNumberFormat="1" applyFill="1" applyBorder="1" applyAlignment="1">
      <alignment horizontal="center" vertical="center"/>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18" xfId="0" applyBorder="1" applyProtection="1">
      <protection locked="0"/>
    </xf>
    <xf numFmtId="0" fontId="0" fillId="0" borderId="30" xfId="0" applyBorder="1" applyProtection="1">
      <protection locked="0"/>
    </xf>
    <xf numFmtId="0" fontId="0" fillId="0" borderId="43"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4" fontId="0" fillId="5" borderId="143" xfId="0" applyNumberFormat="1" applyFill="1" applyBorder="1" applyProtection="1">
      <protection locked="0"/>
    </xf>
    <xf numFmtId="0" fontId="4" fillId="0" borderId="43" xfId="0" applyFont="1" applyBorder="1"/>
    <xf numFmtId="4" fontId="4" fillId="0" borderId="0" xfId="0" applyNumberFormat="1" applyFont="1" applyAlignment="1">
      <alignment horizontal="center"/>
    </xf>
    <xf numFmtId="0" fontId="0" fillId="0" borderId="79" xfId="0" applyBorder="1" applyAlignment="1">
      <alignment horizontal="center"/>
    </xf>
    <xf numFmtId="0" fontId="0" fillId="0" borderId="84" xfId="0" applyBorder="1" applyAlignment="1">
      <alignment horizontal="center"/>
    </xf>
    <xf numFmtId="0" fontId="54" fillId="0" borderId="0" xfId="0" applyFont="1" applyAlignment="1">
      <alignment horizontal="left" vertical="top"/>
    </xf>
    <xf numFmtId="2" fontId="0" fillId="0" borderId="79" xfId="0" applyNumberFormat="1" applyBorder="1" applyAlignment="1">
      <alignment horizontal="center" vertical="center"/>
    </xf>
    <xf numFmtId="2" fontId="0" fillId="0" borderId="84" xfId="0" applyNumberFormat="1" applyBorder="1" applyAlignment="1">
      <alignment horizontal="center" vertical="center"/>
    </xf>
    <xf numFmtId="0" fontId="4" fillId="0" borderId="47" xfId="0" applyFont="1" applyBorder="1"/>
    <xf numFmtId="0" fontId="0" fillId="0" borderId="43" xfId="0" applyBorder="1" applyAlignment="1">
      <alignment vertical="top"/>
    </xf>
    <xf numFmtId="0" fontId="0" fillId="0" borderId="43" xfId="0" applyBorder="1" applyAlignment="1">
      <alignment vertical="top" wrapText="1"/>
    </xf>
    <xf numFmtId="0" fontId="0" fillId="0" borderId="0" xfId="0" applyAlignment="1">
      <alignment vertical="top" wrapText="1"/>
    </xf>
    <xf numFmtId="0" fontId="4" fillId="0" borderId="55" xfId="0" applyFont="1" applyBorder="1"/>
    <xf numFmtId="0" fontId="0" fillId="0" borderId="170" xfId="0" applyBorder="1"/>
    <xf numFmtId="0" fontId="0" fillId="0" borderId="171" xfId="0" applyBorder="1"/>
    <xf numFmtId="2" fontId="0" fillId="0" borderId="171" xfId="0" applyNumberFormat="1" applyBorder="1" applyAlignment="1">
      <alignment horizontal="center"/>
    </xf>
    <xf numFmtId="2" fontId="0" fillId="0" borderId="172" xfId="0" applyNumberFormat="1" applyBorder="1" applyAlignment="1">
      <alignment horizontal="center"/>
    </xf>
    <xf numFmtId="0" fontId="6" fillId="0" borderId="170" xfId="0" applyFont="1" applyBorder="1"/>
    <xf numFmtId="0" fontId="6" fillId="0" borderId="171" xfId="0" applyFont="1" applyBorder="1"/>
    <xf numFmtId="0" fontId="0" fillId="0" borderId="173" xfId="0" applyBorder="1"/>
    <xf numFmtId="0" fontId="0" fillId="0" borderId="174" xfId="0" applyBorder="1" applyAlignment="1">
      <alignment horizontal="center"/>
    </xf>
    <xf numFmtId="0" fontId="3" fillId="0" borderId="119" xfId="0" applyFont="1" applyBorder="1" applyAlignment="1">
      <alignment vertical="center"/>
    </xf>
    <xf numFmtId="0" fontId="3" fillId="0" borderId="105" xfId="0" applyFont="1" applyBorder="1" applyAlignment="1">
      <alignment vertical="center"/>
    </xf>
    <xf numFmtId="0" fontId="3" fillId="0" borderId="107" xfId="0" applyFont="1" applyBorder="1" applyAlignment="1">
      <alignment vertical="center"/>
    </xf>
    <xf numFmtId="0" fontId="0" fillId="0" borderId="51" xfId="0" applyBorder="1" applyAlignment="1">
      <alignment vertical="center"/>
    </xf>
    <xf numFmtId="0" fontId="0" fillId="0" borderId="155" xfId="0" applyBorder="1" applyAlignment="1">
      <alignment vertical="center"/>
    </xf>
    <xf numFmtId="0" fontId="0" fillId="0" borderId="154" xfId="0" applyBorder="1" applyAlignment="1">
      <alignment vertical="center"/>
    </xf>
    <xf numFmtId="0" fontId="0" fillId="0" borderId="49" xfId="0" applyBorder="1" applyAlignment="1">
      <alignment vertical="center"/>
    </xf>
    <xf numFmtId="0" fontId="4" fillId="0" borderId="0" xfId="0" applyFont="1" applyAlignment="1">
      <alignment vertical="center"/>
    </xf>
    <xf numFmtId="0" fontId="46" fillId="0" borderId="0" xfId="0" applyFont="1" applyAlignment="1">
      <alignment vertical="center"/>
    </xf>
    <xf numFmtId="0" fontId="0" fillId="0" borderId="28" xfId="0" applyBorder="1" applyAlignment="1">
      <alignment horizontal="center"/>
    </xf>
    <xf numFmtId="0" fontId="0" fillId="0" borderId="32" xfId="0" applyBorder="1"/>
    <xf numFmtId="0" fontId="0" fillId="32" borderId="0" xfId="0" applyFill="1"/>
    <xf numFmtId="0" fontId="33" fillId="32" borderId="0" xfId="0" applyFont="1" applyFill="1"/>
    <xf numFmtId="0" fontId="58" fillId="32" borderId="0" xfId="0" applyFont="1" applyFill="1"/>
    <xf numFmtId="0" fontId="0" fillId="32" borderId="143" xfId="0" applyFill="1" applyBorder="1"/>
    <xf numFmtId="0" fontId="0" fillId="32" borderId="143" xfId="0" applyFill="1" applyBorder="1" applyAlignment="1">
      <alignment horizontal="center" vertical="center"/>
    </xf>
    <xf numFmtId="14" fontId="0" fillId="32" borderId="143" xfId="0" applyNumberFormat="1" applyFill="1" applyBorder="1" applyAlignment="1">
      <alignment horizontal="center" vertical="center"/>
    </xf>
    <xf numFmtId="14" fontId="0" fillId="32" borderId="143" xfId="0" applyNumberFormat="1" applyFill="1" applyBorder="1" applyAlignment="1">
      <alignment horizontal="left" vertical="center"/>
    </xf>
    <xf numFmtId="0" fontId="0" fillId="32" borderId="143" xfId="0" applyFill="1" applyBorder="1" applyAlignment="1">
      <alignment wrapText="1"/>
    </xf>
    <xf numFmtId="0" fontId="59" fillId="0" borderId="0" xfId="0" applyFont="1"/>
    <xf numFmtId="0" fontId="59" fillId="0" borderId="0" xfId="0" applyFont="1" applyAlignment="1">
      <alignment horizontal="center" vertical="center" wrapText="1"/>
    </xf>
    <xf numFmtId="10" fontId="59" fillId="0" borderId="0" xfId="0" applyNumberFormat="1" applyFont="1"/>
    <xf numFmtId="4" fontId="59" fillId="0" borderId="0" xfId="0" applyNumberFormat="1" applyFont="1"/>
    <xf numFmtId="0" fontId="59" fillId="5" borderId="0" xfId="0" applyFont="1" applyFill="1" applyAlignment="1">
      <alignment horizontal="center" vertical="center" wrapText="1"/>
    </xf>
    <xf numFmtId="0" fontId="59" fillId="14" borderId="0" xfId="0" applyFont="1" applyFill="1" applyAlignment="1">
      <alignment horizontal="center" vertical="center" wrapText="1"/>
    </xf>
    <xf numFmtId="0" fontId="59" fillId="15" borderId="0" xfId="0" applyFont="1" applyFill="1" applyAlignment="1">
      <alignment horizontal="center" vertical="center" wrapText="1"/>
    </xf>
    <xf numFmtId="2" fontId="59" fillId="0" borderId="0" xfId="0" applyNumberFormat="1" applyFont="1"/>
    <xf numFmtId="0" fontId="60" fillId="0" borderId="0" xfId="0" applyFont="1"/>
    <xf numFmtId="0" fontId="59" fillId="13" borderId="0" xfId="0" applyFont="1" applyFill="1" applyAlignment="1">
      <alignment horizontal="center" vertical="center" wrapText="1"/>
    </xf>
    <xf numFmtId="0" fontId="59" fillId="31" borderId="0" xfId="0" applyFont="1" applyFill="1" applyAlignment="1">
      <alignment horizontal="center" vertical="center" wrapText="1"/>
    </xf>
    <xf numFmtId="0" fontId="59" fillId="35" borderId="0" xfId="0" applyFont="1" applyFill="1" applyAlignment="1">
      <alignment horizontal="center" vertical="center" wrapText="1"/>
    </xf>
    <xf numFmtId="0" fontId="59" fillId="7" borderId="0" xfId="0" applyFont="1" applyFill="1" applyAlignment="1">
      <alignment horizontal="center" vertical="center" wrapText="1"/>
    </xf>
    <xf numFmtId="0" fontId="59" fillId="36" borderId="0" xfId="0" applyFont="1" applyFill="1" applyAlignment="1">
      <alignment horizontal="center" vertical="center" wrapText="1"/>
    </xf>
    <xf numFmtId="0" fontId="59" fillId="21" borderId="0" xfId="0" applyFont="1" applyFill="1" applyAlignment="1">
      <alignment horizontal="center" vertical="center" wrapText="1"/>
    </xf>
    <xf numFmtId="14" fontId="59" fillId="0" borderId="0" xfId="0" applyNumberFormat="1" applyFont="1"/>
    <xf numFmtId="0" fontId="59" fillId="6" borderId="0" xfId="0" applyFont="1" applyFill="1" applyAlignment="1">
      <alignment horizontal="center" vertical="center" wrapText="1"/>
    </xf>
    <xf numFmtId="0" fontId="49" fillId="0" borderId="32" xfId="0" applyFont="1" applyBorder="1"/>
    <xf numFmtId="0" fontId="49" fillId="31" borderId="32" xfId="0" applyFont="1" applyFill="1" applyBorder="1"/>
    <xf numFmtId="1" fontId="18" fillId="31" borderId="143" xfId="0" applyNumberFormat="1" applyFont="1" applyFill="1" applyBorder="1" applyAlignment="1">
      <alignment horizontal="center" vertical="center" wrapText="1"/>
    </xf>
    <xf numFmtId="0" fontId="62" fillId="0" borderId="0" xfId="0" applyFont="1"/>
    <xf numFmtId="164" fontId="62" fillId="0" borderId="28" xfId="0" applyNumberFormat="1" applyFont="1" applyBorder="1"/>
    <xf numFmtId="49" fontId="63" fillId="32" borderId="143" xfId="0" applyNumberFormat="1" applyFont="1" applyFill="1" applyBorder="1" applyAlignment="1">
      <alignment horizontal="center" vertical="center" wrapText="1"/>
    </xf>
    <xf numFmtId="1" fontId="63" fillId="32" borderId="143" xfId="0" applyNumberFormat="1" applyFont="1" applyFill="1" applyBorder="1" applyAlignment="1">
      <alignment horizontal="center" vertical="center" wrapText="1"/>
    </xf>
    <xf numFmtId="167" fontId="63" fillId="32" borderId="143" xfId="0" applyNumberFormat="1" applyFont="1" applyFill="1" applyBorder="1" applyAlignment="1">
      <alignment horizontal="center" vertical="center" wrapText="1"/>
    </xf>
    <xf numFmtId="1" fontId="64" fillId="32" borderId="143" xfId="0" applyNumberFormat="1" applyFont="1" applyFill="1" applyBorder="1" applyAlignment="1">
      <alignment horizontal="center" vertical="center" wrapText="1"/>
    </xf>
    <xf numFmtId="0" fontId="59" fillId="0" borderId="0" xfId="0" quotePrefix="1" applyFont="1"/>
    <xf numFmtId="164" fontId="59" fillId="0" borderId="28" xfId="0" applyNumberFormat="1" applyFont="1" applyBorder="1"/>
    <xf numFmtId="0" fontId="65" fillId="0" borderId="0" xfId="0" applyFont="1"/>
    <xf numFmtId="0" fontId="66" fillId="0" borderId="0" xfId="0" applyFont="1" applyAlignment="1">
      <alignment horizontal="center"/>
    </xf>
    <xf numFmtId="0" fontId="62" fillId="0" borderId="0" xfId="0" quotePrefix="1" applyFont="1"/>
    <xf numFmtId="0" fontId="3" fillId="36" borderId="143" xfId="0" applyFont="1" applyFill="1" applyBorder="1" applyAlignment="1">
      <alignment horizontal="center" vertical="center"/>
    </xf>
    <xf numFmtId="172" fontId="59" fillId="0" borderId="28" xfId="0" applyNumberFormat="1" applyFont="1" applyBorder="1"/>
    <xf numFmtId="173" fontId="59" fillId="0" borderId="0" xfId="0" applyNumberFormat="1" applyFont="1"/>
    <xf numFmtId="174" fontId="59" fillId="0" borderId="0" xfId="0" applyNumberFormat="1" applyFont="1"/>
    <xf numFmtId="0" fontId="59" fillId="0" borderId="0" xfId="0" applyFont="1" applyProtection="1">
      <protection locked="0"/>
    </xf>
    <xf numFmtId="0" fontId="67" fillId="0" borderId="0" xfId="0" applyFont="1" applyAlignment="1">
      <alignment horizontal="center"/>
    </xf>
    <xf numFmtId="0" fontId="67" fillId="0" borderId="0" xfId="0" applyFont="1" applyAlignment="1">
      <alignment horizontal="center" vertical="center"/>
    </xf>
    <xf numFmtId="0" fontId="0" fillId="0" borderId="43" xfId="0" applyBorder="1" applyAlignment="1">
      <alignment horizontal="center" vertical="center"/>
    </xf>
    <xf numFmtId="0" fontId="4" fillId="32" borderId="0" xfId="0" applyFont="1" applyFill="1"/>
    <xf numFmtId="0" fontId="0" fillId="32" borderId="0" xfId="0" applyFill="1" applyAlignment="1">
      <alignment vertical="center"/>
    </xf>
    <xf numFmtId="0" fontId="3" fillId="32" borderId="0" xfId="0" applyFont="1" applyFill="1" applyAlignment="1">
      <alignment horizontal="left" vertical="center" wrapText="1"/>
    </xf>
    <xf numFmtId="0" fontId="12" fillId="32" borderId="43" xfId="0" applyFont="1" applyFill="1" applyBorder="1"/>
    <xf numFmtId="0" fontId="0" fillId="32" borderId="0" xfId="0" applyFill="1" applyAlignment="1">
      <alignment horizontal="left" vertical="center"/>
    </xf>
    <xf numFmtId="0" fontId="6" fillId="32" borderId="0" xfId="0" applyFont="1" applyFill="1" applyAlignment="1">
      <alignment horizontal="left" vertical="center"/>
    </xf>
    <xf numFmtId="0" fontId="0" fillId="32" borderId="43" xfId="0" applyFill="1" applyBorder="1" applyAlignment="1">
      <alignment horizontal="center" vertical="center"/>
    </xf>
    <xf numFmtId="0" fontId="0" fillId="32" borderId="0" xfId="0" applyFill="1" applyAlignment="1">
      <alignment horizontal="center" vertical="center"/>
    </xf>
    <xf numFmtId="0" fontId="3" fillId="32" borderId="143" xfId="0" applyFont="1" applyFill="1" applyBorder="1" applyAlignment="1">
      <alignment horizontal="center" vertical="center"/>
    </xf>
    <xf numFmtId="0" fontId="6" fillId="32" borderId="0" xfId="0" applyFont="1" applyFill="1"/>
    <xf numFmtId="0" fontId="6" fillId="32" borderId="0" xfId="0" applyFont="1" applyFill="1" applyAlignment="1">
      <alignment horizontal="left" vertical="center" wrapText="1"/>
    </xf>
    <xf numFmtId="0" fontId="24" fillId="32" borderId="0" xfId="0" applyFont="1" applyFill="1" applyAlignment="1">
      <alignment horizontal="left" vertical="center"/>
    </xf>
    <xf numFmtId="4" fontId="4" fillId="0" borderId="0" xfId="0" applyNumberFormat="1" applyFont="1" applyAlignment="1">
      <alignment horizontal="left"/>
    </xf>
    <xf numFmtId="0" fontId="6" fillId="32" borderId="18" xfId="0" applyFont="1" applyFill="1" applyBorder="1" applyAlignment="1">
      <alignment vertical="center" wrapText="1"/>
    </xf>
    <xf numFmtId="0" fontId="6" fillId="32" borderId="0" xfId="0" applyFont="1" applyFill="1" applyAlignment="1">
      <alignment vertical="center" wrapText="1"/>
    </xf>
    <xf numFmtId="4" fontId="0" fillId="4" borderId="143" xfId="0" applyNumberFormat="1" applyFill="1" applyBorder="1" applyAlignment="1">
      <alignment horizontal="right" vertical="center"/>
    </xf>
    <xf numFmtId="2" fontId="3" fillId="4" borderId="143" xfId="0" applyNumberFormat="1" applyFont="1" applyFill="1" applyBorder="1" applyAlignment="1">
      <alignment horizontal="right" vertical="center"/>
    </xf>
    <xf numFmtId="2" fontId="0" fillId="4" borderId="143" xfId="0" applyNumberFormat="1" applyFill="1" applyBorder="1" applyAlignment="1">
      <alignment horizontal="right" vertical="center"/>
    </xf>
    <xf numFmtId="0" fontId="3" fillId="32" borderId="32" xfId="0" applyFont="1" applyFill="1" applyBorder="1"/>
    <xf numFmtId="0" fontId="0" fillId="32" borderId="32" xfId="0" applyFill="1" applyBorder="1"/>
    <xf numFmtId="0" fontId="0" fillId="32" borderId="32" xfId="0" quotePrefix="1" applyFill="1" applyBorder="1"/>
    <xf numFmtId="2" fontId="0" fillId="9" borderId="143" xfId="0" applyNumberFormat="1" applyFill="1" applyBorder="1" applyAlignment="1">
      <alignment horizontal="center" vertical="center"/>
    </xf>
    <xf numFmtId="2" fontId="0" fillId="9" borderId="81" xfId="0" applyNumberFormat="1" applyFill="1" applyBorder="1" applyAlignment="1">
      <alignment horizontal="center" vertical="center"/>
    </xf>
    <xf numFmtId="0" fontId="26" fillId="0" borderId="56" xfId="0" applyFont="1" applyBorder="1"/>
    <xf numFmtId="0" fontId="3" fillId="32" borderId="0" xfId="0" applyFont="1" applyFill="1"/>
    <xf numFmtId="0" fontId="9" fillId="32" borderId="0" xfId="0" applyFont="1" applyFill="1"/>
    <xf numFmtId="0" fontId="26" fillId="32" borderId="0" xfId="0" applyFont="1" applyFill="1"/>
    <xf numFmtId="0" fontId="26" fillId="32" borderId="143" xfId="0" applyFont="1" applyFill="1" applyBorder="1" applyAlignment="1">
      <alignment wrapText="1"/>
    </xf>
    <xf numFmtId="14" fontId="26" fillId="32" borderId="143" xfId="0" applyNumberFormat="1" applyFont="1" applyFill="1" applyBorder="1" applyAlignment="1">
      <alignment horizontal="left" vertical="center"/>
    </xf>
    <xf numFmtId="14" fontId="24" fillId="32" borderId="143" xfId="0" applyNumberFormat="1" applyFont="1" applyFill="1" applyBorder="1" applyAlignment="1">
      <alignment horizontal="left" vertical="center" wrapText="1"/>
    </xf>
    <xf numFmtId="0" fontId="69" fillId="0" borderId="0" xfId="0" applyFont="1" applyAlignment="1">
      <alignment horizontal="center" vertical="center"/>
    </xf>
    <xf numFmtId="0" fontId="0" fillId="32" borderId="143" xfId="0" applyFill="1" applyBorder="1" applyAlignment="1">
      <alignment vertical="center" wrapText="1"/>
    </xf>
    <xf numFmtId="0" fontId="0" fillId="32" borderId="143" xfId="0" applyFill="1" applyBorder="1" applyAlignment="1">
      <alignment vertical="center"/>
    </xf>
    <xf numFmtId="0" fontId="0" fillId="0" borderId="0" xfId="0" applyAlignment="1">
      <alignment vertical="center" wrapText="1"/>
    </xf>
    <xf numFmtId="0" fontId="0" fillId="0" borderId="84" xfId="0" applyBorder="1"/>
    <xf numFmtId="0" fontId="0" fillId="0" borderId="0" xfId="0" applyAlignment="1">
      <alignment horizontal="left" vertical="center" wrapText="1"/>
    </xf>
    <xf numFmtId="0" fontId="70" fillId="0" borderId="0" xfId="0" applyFont="1" applyAlignment="1">
      <alignment horizontal="left" vertical="center" wrapText="1"/>
    </xf>
    <xf numFmtId="1" fontId="0" fillId="0" borderId="1" xfId="0" applyNumberFormat="1" applyBorder="1" applyAlignment="1" applyProtection="1">
      <alignment horizontal="left"/>
      <protection locked="0"/>
    </xf>
    <xf numFmtId="0" fontId="3" fillId="0" borderId="16" xfId="0" applyFont="1" applyBorder="1"/>
    <xf numFmtId="14" fontId="0" fillId="0" borderId="0" xfId="0" applyNumberFormat="1" applyAlignment="1" applyProtection="1">
      <alignment horizontal="center" vertical="center"/>
      <protection locked="0"/>
    </xf>
    <xf numFmtId="0" fontId="11" fillId="32" borderId="0" xfId="0" applyFont="1" applyFill="1"/>
    <xf numFmtId="0" fontId="11" fillId="0" borderId="0" xfId="0" applyFont="1"/>
    <xf numFmtId="49" fontId="71" fillId="28" borderId="0" xfId="0" applyNumberFormat="1" applyFont="1" applyFill="1" applyAlignment="1">
      <alignment horizontal="center" vertical="center" wrapText="1"/>
    </xf>
    <xf numFmtId="49" fontId="71" fillId="38" borderId="0" xfId="0" applyNumberFormat="1" applyFont="1" applyFill="1" applyAlignment="1">
      <alignment horizontal="center" vertical="center" wrapText="1"/>
    </xf>
    <xf numFmtId="1" fontId="71" fillId="38" borderId="0" xfId="0" applyNumberFormat="1" applyFont="1" applyFill="1" applyAlignment="1">
      <alignment horizontal="center" vertical="center" wrapText="1"/>
    </xf>
    <xf numFmtId="167" fontId="71" fillId="38" borderId="0" xfId="0" applyNumberFormat="1" applyFont="1" applyFill="1" applyAlignment="1">
      <alignment horizontal="center" vertical="center" wrapText="1"/>
    </xf>
    <xf numFmtId="1" fontId="71" fillId="28" borderId="0" xfId="0" applyNumberFormat="1" applyFont="1" applyFill="1" applyAlignment="1">
      <alignment horizontal="center" vertical="center" wrapText="1"/>
    </xf>
    <xf numFmtId="167" fontId="71" fillId="28" borderId="0" xfId="0" applyNumberFormat="1" applyFont="1" applyFill="1" applyAlignment="1">
      <alignment horizontal="center" vertical="center" wrapText="1"/>
    </xf>
    <xf numFmtId="0" fontId="49" fillId="31" borderId="32" xfId="0" applyFont="1" applyFill="1" applyBorder="1" applyAlignment="1">
      <alignment horizontal="center"/>
    </xf>
    <xf numFmtId="0" fontId="61" fillId="37" borderId="0" xfId="0" applyFont="1" applyFill="1" applyAlignment="1">
      <alignment horizontal="center" vertical="center"/>
    </xf>
    <xf numFmtId="0" fontId="42" fillId="0" borderId="0" xfId="0" applyFont="1" applyProtection="1">
      <protection hidden="1"/>
    </xf>
    <xf numFmtId="0" fontId="72" fillId="0" borderId="0" xfId="0" applyFont="1" applyAlignment="1">
      <alignment horizontal="center" vertical="center"/>
    </xf>
    <xf numFmtId="14" fontId="63" fillId="32" borderId="143" xfId="0" applyNumberFormat="1" applyFont="1" applyFill="1" applyBorder="1" applyAlignment="1">
      <alignment horizontal="center" vertical="center" wrapText="1"/>
    </xf>
    <xf numFmtId="0" fontId="60" fillId="32" borderId="84" xfId="0" applyFont="1" applyFill="1" applyBorder="1" applyAlignment="1">
      <alignment horizontal="center"/>
    </xf>
    <xf numFmtId="0" fontId="26" fillId="0" borderId="0" xfId="0" applyFont="1" applyAlignment="1">
      <alignment horizontal="left"/>
    </xf>
    <xf numFmtId="0" fontId="26" fillId="0" borderId="23" xfId="0" applyFont="1" applyBorder="1"/>
    <xf numFmtId="0" fontId="0" fillId="39" borderId="143" xfId="0" applyFill="1" applyBorder="1" applyAlignment="1">
      <alignment horizontal="center" vertical="center" wrapText="1"/>
    </xf>
    <xf numFmtId="0" fontId="0" fillId="39" borderId="18" xfId="0" applyFill="1" applyBorder="1" applyAlignment="1">
      <alignment horizontal="center" vertical="center" wrapText="1"/>
    </xf>
    <xf numFmtId="0" fontId="0" fillId="40" borderId="0" xfId="0" applyFill="1" applyAlignment="1">
      <alignment horizontal="center"/>
    </xf>
    <xf numFmtId="0" fontId="75" fillId="0" borderId="0" xfId="0" applyFont="1" applyAlignment="1" applyProtection="1">
      <alignment horizontal="left"/>
      <protection locked="0"/>
    </xf>
    <xf numFmtId="0" fontId="76" fillId="0" borderId="0" xfId="0" applyFont="1"/>
    <xf numFmtId="0" fontId="9" fillId="0" borderId="14" xfId="0" applyFont="1" applyBorder="1"/>
    <xf numFmtId="0" fontId="0" fillId="0" borderId="89" xfId="0" applyBorder="1"/>
    <xf numFmtId="0" fontId="37" fillId="0" borderId="91" xfId="0" quotePrefix="1" applyFont="1" applyBorder="1"/>
    <xf numFmtId="0" fontId="9" fillId="0" borderId="92" xfId="0" applyFont="1" applyBorder="1"/>
    <xf numFmtId="0" fontId="24" fillId="0" borderId="11" xfId="0" applyFont="1" applyBorder="1" applyProtection="1">
      <protection hidden="1"/>
    </xf>
    <xf numFmtId="0" fontId="9" fillId="0" borderId="0" xfId="0" applyFont="1" applyProtection="1">
      <protection hidden="1"/>
    </xf>
    <xf numFmtId="170" fontId="59" fillId="0" borderId="0" xfId="0" applyNumberFormat="1" applyFont="1"/>
    <xf numFmtId="164" fontId="59" fillId="0" borderId="0" xfId="0" applyNumberFormat="1" applyFont="1"/>
    <xf numFmtId="0" fontId="60" fillId="42" borderId="0" xfId="0" applyFont="1" applyFill="1" applyAlignment="1">
      <alignment horizontal="center"/>
    </xf>
    <xf numFmtId="0" fontId="59" fillId="42" borderId="0" xfId="0" applyFont="1" applyFill="1" applyAlignment="1">
      <alignment horizontal="center" vertical="center" wrapText="1"/>
    </xf>
    <xf numFmtId="0" fontId="65" fillId="0" borderId="0" xfId="0" applyFont="1" applyAlignment="1">
      <alignment horizontal="center"/>
    </xf>
    <xf numFmtId="14" fontId="38" fillId="31" borderId="143" xfId="0" applyNumberFormat="1" applyFont="1" applyFill="1" applyBorder="1" applyAlignment="1">
      <alignment horizontal="center" vertical="center" wrapText="1"/>
    </xf>
    <xf numFmtId="0" fontId="79" fillId="0" borderId="0" xfId="0" applyFont="1"/>
    <xf numFmtId="0" fontId="9" fillId="0" borderId="71" xfId="0" applyFont="1" applyBorder="1"/>
    <xf numFmtId="0" fontId="9" fillId="0" borderId="25" xfId="0" applyFont="1" applyBorder="1"/>
    <xf numFmtId="0" fontId="9" fillId="0" borderId="71" xfId="0" applyFont="1" applyBorder="1" applyAlignment="1">
      <alignment horizontal="left"/>
    </xf>
    <xf numFmtId="0" fontId="12" fillId="0" borderId="0" xfId="0" applyFont="1" applyAlignment="1">
      <alignment horizontal="center" vertical="center"/>
    </xf>
    <xf numFmtId="0" fontId="24" fillId="0" borderId="0" xfId="0" applyFont="1"/>
    <xf numFmtId="0" fontId="1" fillId="2" borderId="0" xfId="0" applyFont="1" applyFill="1" applyAlignment="1">
      <alignment horizontal="center" vertical="center"/>
    </xf>
    <xf numFmtId="0" fontId="1" fillId="2" borderId="143" xfId="0" applyFont="1" applyFill="1" applyBorder="1" applyAlignment="1">
      <alignment horizontal="center"/>
    </xf>
    <xf numFmtId="1" fontId="82" fillId="0" borderId="0" xfId="0" applyNumberFormat="1" applyFont="1" applyAlignment="1">
      <alignment horizontal="left" vertical="center"/>
    </xf>
    <xf numFmtId="0" fontId="77" fillId="0" borderId="71" xfId="0" applyFont="1" applyBorder="1" applyAlignment="1" applyProtection="1">
      <alignment horizontal="left"/>
      <protection hidden="1"/>
    </xf>
    <xf numFmtId="0" fontId="77" fillId="0" borderId="71" xfId="0" applyFont="1" applyBorder="1" applyProtection="1">
      <protection hidden="1"/>
    </xf>
    <xf numFmtId="0" fontId="12" fillId="0" borderId="42" xfId="0" applyFont="1" applyBorder="1" applyAlignment="1">
      <alignment horizontal="right"/>
    </xf>
    <xf numFmtId="0" fontId="12" fillId="0" borderId="96" xfId="0" applyFont="1" applyBorder="1" applyAlignment="1">
      <alignment horizontal="right"/>
    </xf>
    <xf numFmtId="0" fontId="0" fillId="0" borderId="177" xfId="0" applyBorder="1"/>
    <xf numFmtId="0" fontId="3" fillId="0" borderId="58" xfId="0" applyFont="1" applyBorder="1"/>
    <xf numFmtId="4" fontId="0" fillId="0" borderId="28" xfId="0" applyNumberFormat="1" applyBorder="1" applyProtection="1">
      <protection locked="0"/>
    </xf>
    <xf numFmtId="0" fontId="0" fillId="0" borderId="176" xfId="0" applyBorder="1"/>
    <xf numFmtId="0" fontId="24" fillId="32" borderId="143" xfId="0" applyFont="1" applyFill="1" applyBorder="1" applyAlignment="1">
      <alignment wrapText="1"/>
    </xf>
    <xf numFmtId="0" fontId="0" fillId="2" borderId="143" xfId="0" applyFill="1" applyBorder="1" applyAlignment="1">
      <alignment vertical="center"/>
    </xf>
    <xf numFmtId="2" fontId="84" fillId="0" borderId="0" xfId="11" applyNumberFormat="1" applyFont="1" applyAlignment="1">
      <alignment horizontal="center" vertical="center"/>
    </xf>
    <xf numFmtId="2" fontId="84" fillId="0" borderId="52" xfId="11" applyNumberFormat="1" applyFont="1" applyBorder="1" applyAlignment="1">
      <alignment horizontal="center" vertical="center"/>
    </xf>
    <xf numFmtId="2" fontId="84" fillId="0" borderId="117" xfId="11" applyNumberFormat="1" applyFont="1" applyBorder="1" applyAlignment="1">
      <alignment horizontal="center" vertical="center"/>
    </xf>
    <xf numFmtId="2" fontId="84" fillId="0" borderId="125" xfId="11" applyNumberFormat="1" applyFont="1" applyBorder="1" applyAlignment="1">
      <alignment horizontal="center" vertical="center"/>
    </xf>
    <xf numFmtId="2" fontId="84" fillId="0" borderId="28" xfId="11" applyNumberFormat="1" applyFont="1" applyBorder="1" applyAlignment="1">
      <alignment horizontal="center" vertical="center"/>
    </xf>
    <xf numFmtId="2" fontId="84" fillId="0" borderId="178" xfId="11" applyNumberFormat="1" applyFont="1" applyBorder="1" applyAlignment="1">
      <alignment horizontal="center" vertical="center"/>
    </xf>
    <xf numFmtId="2" fontId="84" fillId="0" borderId="115" xfId="11" applyNumberFormat="1" applyFont="1" applyBorder="1" applyAlignment="1">
      <alignment horizontal="center" vertical="center"/>
    </xf>
    <xf numFmtId="2" fontId="84" fillId="0" borderId="118" xfId="11" applyNumberFormat="1" applyFont="1" applyBorder="1" applyAlignment="1">
      <alignment horizontal="center" vertical="center"/>
    </xf>
    <xf numFmtId="0" fontId="0" fillId="0" borderId="0" xfId="0" applyAlignment="1">
      <alignment wrapText="1"/>
    </xf>
    <xf numFmtId="0" fontId="0" fillId="0" borderId="66" xfId="0" applyBorder="1" applyAlignment="1">
      <alignment horizontal="center" vertical="center"/>
    </xf>
    <xf numFmtId="49" fontId="0" fillId="0" borderId="78" xfId="0" applyNumberFormat="1" applyBorder="1"/>
    <xf numFmtId="0" fontId="0" fillId="0" borderId="143" xfId="0" applyBorder="1" applyAlignment="1">
      <alignment horizontal="left" vertical="center"/>
    </xf>
    <xf numFmtId="0" fontId="0" fillId="0" borderId="130" xfId="0" applyBorder="1"/>
    <xf numFmtId="4" fontId="59" fillId="0" borderId="0" xfId="0" quotePrefix="1" applyNumberFormat="1" applyFont="1"/>
    <xf numFmtId="0" fontId="0" fillId="0" borderId="143" xfId="0" applyFill="1" applyBorder="1"/>
    <xf numFmtId="0" fontId="1" fillId="2" borderId="143" xfId="0" applyFont="1" applyFill="1" applyBorder="1"/>
    <xf numFmtId="0" fontId="0" fillId="0" borderId="79" xfId="0" applyBorder="1"/>
    <xf numFmtId="0" fontId="11" fillId="0" borderId="23" xfId="0" applyFont="1" applyBorder="1"/>
    <xf numFmtId="0" fontId="6" fillId="32" borderId="0" xfId="0" applyFont="1" applyFill="1" applyAlignment="1">
      <alignment horizontal="left" vertical="center" wrapText="1"/>
    </xf>
    <xf numFmtId="0" fontId="0" fillId="32" borderId="66" xfId="0" applyFill="1" applyBorder="1" applyAlignment="1">
      <alignment horizontal="center" vertical="center"/>
    </xf>
    <xf numFmtId="0" fontId="0" fillId="32" borderId="176" xfId="0" applyFill="1" applyBorder="1" applyAlignment="1">
      <alignment horizontal="center" vertical="center"/>
    </xf>
    <xf numFmtId="0" fontId="0" fillId="32" borderId="67" xfId="0" applyFill="1" applyBorder="1" applyAlignment="1">
      <alignment horizontal="center" vertical="center"/>
    </xf>
    <xf numFmtId="14" fontId="0" fillId="32" borderId="66" xfId="0" applyNumberFormat="1" applyFill="1" applyBorder="1" applyAlignment="1">
      <alignment horizontal="center" vertical="center" wrapText="1"/>
    </xf>
    <xf numFmtId="0" fontId="0" fillId="32" borderId="176" xfId="0" applyFill="1" applyBorder="1" applyAlignment="1">
      <alignment horizontal="center" vertical="center" wrapText="1"/>
    </xf>
    <xf numFmtId="0" fontId="0" fillId="32" borderId="67" xfId="0" applyFill="1" applyBorder="1" applyAlignment="1">
      <alignment horizontal="center" vertical="center" wrapText="1"/>
    </xf>
    <xf numFmtId="0" fontId="6" fillId="32" borderId="0" xfId="0" applyFont="1" applyFill="1" applyAlignment="1">
      <alignment horizontal="left" vertical="top" wrapText="1"/>
    </xf>
    <xf numFmtId="14" fontId="0" fillId="32" borderId="66" xfId="0" applyNumberFormat="1" applyFill="1" applyBorder="1" applyAlignment="1">
      <alignment horizontal="center" vertical="center"/>
    </xf>
    <xf numFmtId="14" fontId="0" fillId="32" borderId="176" xfId="0" applyNumberFormat="1" applyFill="1" applyBorder="1" applyAlignment="1">
      <alignment horizontal="center" vertical="center"/>
    </xf>
    <xf numFmtId="14" fontId="0" fillId="32" borderId="67" xfId="0" applyNumberFormat="1" applyFill="1" applyBorder="1" applyAlignment="1">
      <alignment horizontal="center" vertical="center"/>
    </xf>
    <xf numFmtId="0" fontId="0" fillId="32" borderId="143" xfId="0" applyFill="1" applyBorder="1" applyAlignment="1">
      <alignment horizontal="center" vertical="center"/>
    </xf>
    <xf numFmtId="14" fontId="0" fillId="32" borderId="143" xfId="0" applyNumberFormat="1" applyFill="1" applyBorder="1" applyAlignment="1">
      <alignment horizontal="center" vertical="center"/>
    </xf>
    <xf numFmtId="0" fontId="0" fillId="0" borderId="67" xfId="0" applyBorder="1" applyAlignment="1">
      <alignment horizontal="center" vertical="center"/>
    </xf>
    <xf numFmtId="0" fontId="3" fillId="0" borderId="0" xfId="0" applyFont="1" applyAlignment="1">
      <alignment horizontal="center"/>
    </xf>
    <xf numFmtId="0" fontId="6" fillId="0" borderId="0" xfId="0" applyFont="1" applyAlignment="1" applyProtection="1">
      <alignment horizontal="center"/>
      <protection hidden="1"/>
    </xf>
    <xf numFmtId="14" fontId="6" fillId="0" borderId="0" xfId="0" applyNumberFormat="1" applyFont="1" applyAlignment="1" applyProtection="1">
      <alignment horizontal="center"/>
      <protection hidden="1"/>
    </xf>
    <xf numFmtId="0" fontId="9" fillId="0" borderId="18"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79"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16" fillId="3" borderId="0" xfId="0" applyFont="1" applyFill="1" applyAlignment="1" applyProtection="1">
      <alignment horizontal="right"/>
      <protection hidden="1"/>
    </xf>
    <xf numFmtId="170" fontId="0" fillId="0" borderId="79" xfId="0" applyNumberFormat="1" applyBorder="1" applyAlignment="1" applyProtection="1">
      <alignment horizontal="left" vertical="center"/>
      <protection locked="0"/>
    </xf>
    <xf numFmtId="170" fontId="0" fillId="0" borderId="84" xfId="0" applyNumberFormat="1" applyBorder="1" applyAlignment="1" applyProtection="1">
      <alignment horizontal="left" vertical="center"/>
      <protection locked="0"/>
    </xf>
    <xf numFmtId="170" fontId="0" fillId="0" borderId="80" xfId="0" applyNumberFormat="1" applyBorder="1" applyAlignment="1" applyProtection="1">
      <alignment horizontal="left" vertical="center"/>
      <protection locked="0"/>
    </xf>
    <xf numFmtId="0" fontId="0" fillId="0" borderId="79" xfId="0" applyBorder="1" applyAlignment="1" applyProtection="1">
      <alignment horizontal="left"/>
      <protection locked="0"/>
    </xf>
    <xf numFmtId="0" fontId="0" fillId="0" borderId="84" xfId="0" applyBorder="1" applyAlignment="1" applyProtection="1">
      <alignment horizontal="left"/>
      <protection locked="0"/>
    </xf>
    <xf numFmtId="0" fontId="0" fillId="0" borderId="80" xfId="0" applyBorder="1" applyAlignment="1" applyProtection="1">
      <alignment horizontal="left"/>
      <protection locked="0"/>
    </xf>
    <xf numFmtId="14" fontId="0" fillId="0" borderId="79" xfId="0" applyNumberFormat="1" applyBorder="1" applyAlignment="1" applyProtection="1">
      <alignment horizontal="center"/>
      <protection locked="0"/>
    </xf>
    <xf numFmtId="14" fontId="0" fillId="0" borderId="80" xfId="0" applyNumberFormat="1" applyBorder="1" applyAlignment="1" applyProtection="1">
      <alignment horizontal="center"/>
      <protection locked="0"/>
    </xf>
    <xf numFmtId="168" fontId="0" fillId="0" borderId="79" xfId="0" applyNumberFormat="1" applyBorder="1" applyAlignment="1" applyProtection="1">
      <alignment horizontal="center"/>
      <protection locked="0"/>
    </xf>
    <xf numFmtId="168" fontId="0" fillId="0" borderId="80" xfId="0" applyNumberFormat="1" applyBorder="1" applyAlignment="1" applyProtection="1">
      <alignment horizontal="center"/>
      <protection locked="0"/>
    </xf>
    <xf numFmtId="0" fontId="75" fillId="0" borderId="0" xfId="0" applyFont="1" applyAlignment="1">
      <alignment horizontal="center"/>
    </xf>
    <xf numFmtId="0" fontId="9" fillId="0" borderId="18" xfId="0" applyFont="1" applyBorder="1" applyAlignment="1" applyProtection="1">
      <alignment horizontal="center"/>
      <protection hidden="1"/>
    </xf>
    <xf numFmtId="0" fontId="9" fillId="0" borderId="0" xfId="0" applyFont="1" applyAlignment="1" applyProtection="1">
      <alignment horizontal="center"/>
      <protection hidden="1"/>
    </xf>
    <xf numFmtId="49" fontId="0" fillId="0" borderId="79" xfId="0" applyNumberFormat="1" applyBorder="1" applyAlignment="1" applyProtection="1">
      <alignment horizontal="left" vertical="center"/>
      <protection locked="0"/>
    </xf>
    <xf numFmtId="49" fontId="0" fillId="0" borderId="80" xfId="0" applyNumberFormat="1" applyBorder="1" applyAlignment="1" applyProtection="1">
      <alignment horizontal="left" vertical="center"/>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79"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2" xfId="0" applyBorder="1" applyAlignment="1" applyProtection="1">
      <alignment horizontal="left"/>
      <protection locked="0"/>
    </xf>
    <xf numFmtId="0" fontId="0" fillId="0" borderId="9"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center"/>
      <protection locked="0"/>
    </xf>
    <xf numFmtId="0" fontId="0" fillId="9" borderId="79" xfId="0" applyFill="1" applyBorder="1" applyAlignment="1">
      <alignment horizontal="left"/>
    </xf>
    <xf numFmtId="0" fontId="0" fillId="9" borderId="84" xfId="0" applyFill="1" applyBorder="1" applyAlignment="1">
      <alignment horizontal="left"/>
    </xf>
    <xf numFmtId="0" fontId="0" fillId="9" borderId="80" xfId="0" applyFill="1" applyBorder="1" applyAlignment="1">
      <alignment horizontal="left"/>
    </xf>
    <xf numFmtId="49" fontId="0" fillId="0" borderId="79" xfId="0" applyNumberFormat="1" applyBorder="1" applyAlignment="1" applyProtection="1">
      <alignment horizontal="left"/>
      <protection locked="0"/>
    </xf>
    <xf numFmtId="49" fontId="0" fillId="0" borderId="84" xfId="0" applyNumberFormat="1" applyBorder="1" applyAlignment="1" applyProtection="1">
      <alignment horizontal="left"/>
      <protection locked="0"/>
    </xf>
    <xf numFmtId="49" fontId="0" fillId="0" borderId="80" xfId="0" applyNumberFormat="1" applyBorder="1" applyAlignment="1" applyProtection="1">
      <alignment horizontal="left"/>
      <protection locked="0"/>
    </xf>
    <xf numFmtId="170" fontId="0" fillId="0" borderId="79" xfId="0" applyNumberFormat="1" applyBorder="1" applyAlignment="1" applyProtection="1">
      <alignment horizontal="left"/>
      <protection locked="0"/>
    </xf>
    <xf numFmtId="170" fontId="0" fillId="0" borderId="84" xfId="0" applyNumberFormat="1" applyBorder="1" applyAlignment="1" applyProtection="1">
      <alignment horizontal="left"/>
      <protection locked="0"/>
    </xf>
    <xf numFmtId="170" fontId="0" fillId="0" borderId="80" xfId="0" applyNumberFormat="1" applyBorder="1" applyAlignment="1" applyProtection="1">
      <alignment horizontal="left"/>
      <protection locked="0"/>
    </xf>
    <xf numFmtId="0" fontId="9" fillId="0" borderId="18"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49" fontId="0" fillId="0" borderId="143" xfId="0" applyNumberFormat="1" applyBorder="1" applyAlignment="1" applyProtection="1">
      <alignment horizontal="left"/>
      <protection locked="0"/>
    </xf>
    <xf numFmtId="0" fontId="0" fillId="0" borderId="143" xfId="0" applyBorder="1" applyAlignment="1" applyProtection="1">
      <alignment horizontal="center"/>
      <protection locked="0"/>
    </xf>
    <xf numFmtId="0" fontId="27" fillId="0" borderId="143" xfId="3" applyBorder="1" applyAlignment="1" applyProtection="1">
      <alignment horizontal="left"/>
      <protection locked="0"/>
    </xf>
    <xf numFmtId="0" fontId="0" fillId="0" borderId="143" xfId="0"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Alignment="1">
      <alignment horizontal="center"/>
    </xf>
    <xf numFmtId="0" fontId="6" fillId="0" borderId="0" xfId="0" applyFont="1" applyAlignment="1">
      <alignment horizontal="center"/>
    </xf>
    <xf numFmtId="0" fontId="30" fillId="0" borderId="0" xfId="0" applyFont="1" applyAlignment="1">
      <alignment horizontal="center" vertical="center"/>
    </xf>
    <xf numFmtId="0" fontId="13" fillId="0" borderId="55" xfId="0" applyFont="1" applyBorder="1" applyAlignment="1">
      <alignment horizontal="center"/>
    </xf>
    <xf numFmtId="0" fontId="13" fillId="0" borderId="56" xfId="0" applyFont="1" applyBorder="1" applyAlignment="1">
      <alignment horizontal="center"/>
    </xf>
    <xf numFmtId="0" fontId="12" fillId="0" borderId="0" xfId="0" applyFont="1" applyAlignment="1">
      <alignment horizontal="center" vertical="center"/>
    </xf>
    <xf numFmtId="0" fontId="13" fillId="0" borderId="55" xfId="0" applyFont="1" applyBorder="1" applyAlignment="1">
      <alignment horizontal="center" wrapText="1"/>
    </xf>
    <xf numFmtId="0" fontId="13" fillId="0" borderId="56" xfId="0" applyFont="1" applyBorder="1" applyAlignment="1">
      <alignment horizontal="center" wrapText="1"/>
    </xf>
    <xf numFmtId="0" fontId="0" fillId="5" borderId="79" xfId="0" applyFill="1" applyBorder="1" applyAlignment="1" applyProtection="1">
      <alignment horizontal="left"/>
      <protection locked="0"/>
    </xf>
    <xf numFmtId="0" fontId="0" fillId="5" borderId="84" xfId="0" applyFill="1" applyBorder="1" applyAlignment="1" applyProtection="1">
      <alignment horizontal="left"/>
      <protection locked="0"/>
    </xf>
    <xf numFmtId="0" fontId="0" fillId="5" borderId="80" xfId="0" applyFill="1" applyBorder="1" applyAlignment="1" applyProtection="1">
      <alignment horizontal="left"/>
      <protection locked="0"/>
    </xf>
    <xf numFmtId="0" fontId="14" fillId="0" borderId="65" xfId="0" applyFont="1" applyBorder="1" applyAlignment="1">
      <alignment horizontal="left" vertical="top" wrapText="1"/>
    </xf>
    <xf numFmtId="0" fontId="14" fillId="0" borderId="0" xfId="0" applyFont="1" applyAlignment="1">
      <alignment horizontal="left" vertical="top" wrapText="1"/>
    </xf>
    <xf numFmtId="0" fontId="14" fillId="0" borderId="61" xfId="0" applyFont="1" applyBorder="1" applyAlignment="1">
      <alignment horizontal="left" vertical="top" wrapText="1"/>
    </xf>
    <xf numFmtId="0" fontId="14" fillId="0" borderId="42" xfId="0" applyFont="1" applyBorder="1" applyAlignment="1">
      <alignment horizontal="left" vertical="top" wrapText="1"/>
    </xf>
    <xf numFmtId="0" fontId="3" fillId="0" borderId="0" xfId="0" applyFont="1" applyAlignment="1">
      <alignment horizontal="left" vertical="top" wrapText="1"/>
    </xf>
    <xf numFmtId="0" fontId="0" fillId="5" borderId="27" xfId="0" applyFill="1" applyBorder="1" applyAlignment="1" applyProtection="1">
      <alignment horizontal="left" vertical="top"/>
      <protection locked="0"/>
    </xf>
    <xf numFmtId="0" fontId="0" fillId="5" borderId="28" xfId="0" applyFill="1" applyBorder="1" applyAlignment="1" applyProtection="1">
      <alignment horizontal="left" vertical="top"/>
      <protection locked="0"/>
    </xf>
    <xf numFmtId="0" fontId="0" fillId="5" borderId="29" xfId="0" applyFill="1" applyBorder="1" applyAlignment="1" applyProtection="1">
      <alignment horizontal="left" vertical="top"/>
      <protection locked="0"/>
    </xf>
    <xf numFmtId="0" fontId="0" fillId="5" borderId="18"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30" xfId="0" applyFill="1" applyBorder="1" applyAlignment="1" applyProtection="1">
      <alignment horizontal="left" vertical="top"/>
      <protection locked="0"/>
    </xf>
    <xf numFmtId="0" fontId="0" fillId="5" borderId="31" xfId="0" applyFill="1" applyBorder="1" applyAlignment="1" applyProtection="1">
      <alignment horizontal="left" vertical="top"/>
      <protection locked="0"/>
    </xf>
    <xf numFmtId="0" fontId="0" fillId="5" borderId="32" xfId="0" applyFill="1" applyBorder="1" applyAlignment="1" applyProtection="1">
      <alignment horizontal="left" vertical="top"/>
      <protection locked="0"/>
    </xf>
    <xf numFmtId="0" fontId="0" fillId="5" borderId="33" xfId="0" applyFill="1" applyBorder="1" applyAlignment="1" applyProtection="1">
      <alignment horizontal="left" vertical="top"/>
      <protection locked="0"/>
    </xf>
    <xf numFmtId="0" fontId="16" fillId="3" borderId="0" xfId="0" applyFont="1" applyFill="1" applyAlignment="1">
      <alignment horizontal="right"/>
    </xf>
    <xf numFmtId="0" fontId="3" fillId="0" borderId="42" xfId="0" applyFont="1" applyBorder="1" applyAlignment="1">
      <alignment horizontal="left"/>
    </xf>
    <xf numFmtId="0" fontId="6" fillId="0" borderId="0" xfId="0" applyFont="1" applyAlignment="1">
      <alignment horizontal="left" vertical="center" wrapText="1"/>
    </xf>
    <xf numFmtId="0" fontId="6" fillId="0" borderId="0" xfId="0" applyFont="1" applyAlignment="1">
      <alignment horizontal="left"/>
    </xf>
    <xf numFmtId="0" fontId="30" fillId="0" borderId="0" xfId="0" applyFont="1" applyAlignment="1">
      <alignment horizontal="center"/>
    </xf>
    <xf numFmtId="2" fontId="1" fillId="12" borderId="2" xfId="0" applyNumberFormat="1" applyFont="1" applyFill="1" applyBorder="1" applyAlignment="1">
      <alignment horizontal="center"/>
    </xf>
    <xf numFmtId="2" fontId="1" fillId="12" borderId="3" xfId="0" applyNumberFormat="1" applyFont="1" applyFill="1" applyBorder="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9" borderId="2" xfId="0" applyFill="1" applyBorder="1" applyAlignment="1">
      <alignment horizontal="center"/>
    </xf>
    <xf numFmtId="0" fontId="0" fillId="9" borderId="3" xfId="0" applyFill="1" applyBorder="1" applyAlignment="1">
      <alignment horizontal="center"/>
    </xf>
    <xf numFmtId="0" fontId="0" fillId="9" borderId="27" xfId="0" applyFill="1" applyBorder="1" applyAlignment="1">
      <alignment horizontal="center" vertical="center"/>
    </xf>
    <xf numFmtId="0" fontId="0" fillId="9" borderId="29" xfId="0" applyFill="1" applyBorder="1" applyAlignment="1">
      <alignment horizontal="center" vertical="center"/>
    </xf>
    <xf numFmtId="0" fontId="0" fillId="9" borderId="31" xfId="0" applyFill="1" applyBorder="1" applyAlignment="1">
      <alignment horizontal="center" vertical="center"/>
    </xf>
    <xf numFmtId="0" fontId="0" fillId="9" borderId="33" xfId="0" applyFill="1" applyBorder="1" applyAlignment="1">
      <alignment horizontal="center" vertical="center"/>
    </xf>
    <xf numFmtId="2" fontId="3" fillId="8" borderId="2" xfId="0" applyNumberFormat="1" applyFont="1" applyFill="1" applyBorder="1" applyAlignment="1">
      <alignment horizontal="center"/>
    </xf>
    <xf numFmtId="2" fontId="3" fillId="8" borderId="3" xfId="0" applyNumberFormat="1" applyFont="1" applyFill="1" applyBorder="1" applyAlignment="1">
      <alignment horizontal="center"/>
    </xf>
    <xf numFmtId="0" fontId="12" fillId="0" borderId="32" xfId="0" applyFont="1" applyBorder="1" applyAlignment="1">
      <alignment horizontal="center"/>
    </xf>
    <xf numFmtId="4" fontId="3" fillId="8" borderId="2" xfId="0" applyNumberFormat="1" applyFont="1" applyFill="1" applyBorder="1" applyAlignment="1">
      <alignment horizontal="center"/>
    </xf>
    <xf numFmtId="4" fontId="3" fillId="8" borderId="3" xfId="0" applyNumberFormat="1"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2" fontId="0" fillId="8" borderId="2" xfId="0" applyNumberFormat="1" applyFill="1" applyBorder="1" applyAlignment="1">
      <alignment horizontal="center"/>
    </xf>
    <xf numFmtId="2" fontId="0" fillId="8" borderId="3" xfId="0" applyNumberFormat="1" applyFill="1" applyBorder="1" applyAlignment="1">
      <alignment horizontal="center"/>
    </xf>
    <xf numFmtId="0" fontId="6" fillId="0" borderId="68" xfId="0" applyFont="1" applyBorder="1" applyAlignment="1">
      <alignment horizontal="left"/>
    </xf>
    <xf numFmtId="0" fontId="6" fillId="0" borderId="69" xfId="0" applyFont="1" applyBorder="1" applyAlignment="1">
      <alignment horizontal="left"/>
    </xf>
    <xf numFmtId="0" fontId="0" fillId="5" borderId="27" xfId="0" applyFill="1" applyBorder="1" applyAlignment="1" applyProtection="1">
      <alignment horizontal="left" vertical="top" wrapText="1"/>
      <protection locked="0"/>
    </xf>
    <xf numFmtId="0" fontId="0" fillId="5" borderId="79" xfId="0" applyFill="1" applyBorder="1" applyAlignment="1" applyProtection="1">
      <alignment horizontal="center"/>
      <protection locked="0"/>
    </xf>
    <xf numFmtId="0" fontId="0" fillId="5" borderId="80" xfId="0" applyFill="1" applyBorder="1" applyAlignment="1" applyProtection="1">
      <alignment horizontal="center"/>
      <protection locked="0"/>
    </xf>
    <xf numFmtId="10" fontId="0" fillId="7" borderId="2" xfId="0" applyNumberFormat="1" applyFill="1" applyBorder="1" applyAlignment="1">
      <alignment horizontal="center"/>
    </xf>
    <xf numFmtId="10" fontId="0" fillId="7" borderId="3" xfId="0" applyNumberFormat="1" applyFill="1" applyBorder="1" applyAlignment="1">
      <alignment horizontal="center"/>
    </xf>
    <xf numFmtId="4" fontId="1" fillId="12" borderId="2" xfId="0" applyNumberFormat="1" applyFont="1" applyFill="1" applyBorder="1" applyAlignment="1">
      <alignment horizontal="center"/>
    </xf>
    <xf numFmtId="4" fontId="1" fillId="12" borderId="3" xfId="0" applyNumberFormat="1" applyFont="1" applyFill="1" applyBorder="1" applyAlignment="1">
      <alignment horizontal="center"/>
    </xf>
    <xf numFmtId="4" fontId="0" fillId="7" borderId="2" xfId="0" applyNumberFormat="1" applyFill="1" applyBorder="1" applyAlignment="1">
      <alignment horizontal="center"/>
    </xf>
    <xf numFmtId="4" fontId="0" fillId="7" borderId="3" xfId="0" applyNumberFormat="1" applyFill="1" applyBorder="1" applyAlignment="1">
      <alignment horizontal="center"/>
    </xf>
    <xf numFmtId="10" fontId="0" fillId="9" borderId="2" xfId="0" applyNumberFormat="1" applyFill="1" applyBorder="1" applyAlignment="1">
      <alignment horizontal="center"/>
    </xf>
    <xf numFmtId="4" fontId="3" fillId="8" borderId="79" xfId="0" applyNumberFormat="1" applyFont="1" applyFill="1" applyBorder="1" applyAlignment="1">
      <alignment horizontal="center"/>
    </xf>
    <xf numFmtId="4" fontId="3" fillId="8" borderId="80" xfId="0" applyNumberFormat="1" applyFont="1" applyFill="1" applyBorder="1" applyAlignment="1">
      <alignment horizontal="center"/>
    </xf>
    <xf numFmtId="0" fontId="6" fillId="0" borderId="42" xfId="0" applyFont="1" applyBorder="1" applyAlignment="1">
      <alignment horizontal="left"/>
    </xf>
    <xf numFmtId="0" fontId="6" fillId="0" borderId="47" xfId="0" applyFont="1" applyBorder="1" applyAlignment="1">
      <alignment horizontal="left"/>
    </xf>
    <xf numFmtId="0" fontId="0" fillId="0" borderId="44" xfId="0" applyBorder="1" applyAlignment="1">
      <alignment horizontal="left" wrapText="1"/>
    </xf>
    <xf numFmtId="0" fontId="0" fillId="0" borderId="46" xfId="0" applyBorder="1" applyAlignment="1">
      <alignment horizontal="left" wrapText="1"/>
    </xf>
    <xf numFmtId="4" fontId="0" fillId="7" borderId="27" xfId="0" applyNumberFormat="1" applyFill="1" applyBorder="1" applyAlignment="1">
      <alignment horizontal="center" vertical="center"/>
    </xf>
    <xf numFmtId="4" fontId="0" fillId="7" borderId="29" xfId="0" applyNumberFormat="1" applyFill="1" applyBorder="1" applyAlignment="1">
      <alignment horizontal="center" vertical="center"/>
    </xf>
    <xf numFmtId="4" fontId="0" fillId="7" borderId="31" xfId="0" applyNumberFormat="1" applyFill="1" applyBorder="1" applyAlignment="1">
      <alignment horizontal="center" vertical="center"/>
    </xf>
    <xf numFmtId="4" fontId="0" fillId="7" borderId="33" xfId="0" applyNumberFormat="1" applyFill="1" applyBorder="1" applyAlignment="1">
      <alignment horizontal="center" vertical="center"/>
    </xf>
    <xf numFmtId="0" fontId="12" fillId="0" borderId="0" xfId="0" applyFont="1" applyAlignment="1">
      <alignment horizontal="center" vertical="center" wrapText="1"/>
    </xf>
    <xf numFmtId="4" fontId="0" fillId="5" borderId="2" xfId="0" applyNumberFormat="1" applyFill="1" applyBorder="1" applyAlignment="1" applyProtection="1">
      <alignment horizontal="center" vertical="center"/>
      <protection locked="0"/>
    </xf>
    <xf numFmtId="4" fontId="0" fillId="5" borderId="3" xfId="0" applyNumberFormat="1" applyFill="1" applyBorder="1" applyAlignment="1" applyProtection="1">
      <alignment horizontal="center" vertical="center"/>
      <protection locked="0"/>
    </xf>
    <xf numFmtId="0" fontId="0" fillId="0" borderId="43" xfId="0" applyBorder="1" applyAlignment="1">
      <alignment horizontal="left"/>
    </xf>
    <xf numFmtId="0" fontId="0" fillId="0" borderId="45" xfId="0" applyBorder="1" applyAlignment="1">
      <alignment horizontal="left"/>
    </xf>
    <xf numFmtId="0" fontId="0" fillId="0" borderId="44" xfId="0" applyBorder="1" applyAlignment="1">
      <alignment horizontal="left"/>
    </xf>
    <xf numFmtId="0" fontId="0" fillId="0" borderId="46" xfId="0" applyBorder="1" applyAlignment="1">
      <alignment horizontal="left"/>
    </xf>
    <xf numFmtId="4" fontId="0" fillId="9" borderId="2" xfId="0" applyNumberFormat="1" applyFill="1" applyBorder="1" applyAlignment="1">
      <alignment horizontal="center"/>
    </xf>
    <xf numFmtId="4" fontId="0" fillId="9" borderId="3" xfId="0" applyNumberFormat="1" applyFill="1" applyBorder="1" applyAlignment="1">
      <alignment horizontal="center"/>
    </xf>
    <xf numFmtId="10" fontId="0" fillId="9" borderId="3" xfId="0" applyNumberFormat="1" applyFill="1" applyBorder="1" applyAlignment="1">
      <alignment horizontal="center"/>
    </xf>
    <xf numFmtId="0" fontId="0" fillId="5" borderId="9" xfId="0" applyFill="1" applyBorder="1" applyAlignment="1" applyProtection="1">
      <alignment horizontal="center"/>
      <protection locked="0"/>
    </xf>
    <xf numFmtId="4" fontId="0" fillId="5" borderId="2" xfId="0" applyNumberFormat="1" applyFill="1" applyBorder="1" applyAlignment="1" applyProtection="1">
      <alignment horizontal="center"/>
      <protection locked="0"/>
    </xf>
    <xf numFmtId="4" fontId="0" fillId="5" borderId="3" xfId="0" applyNumberFormat="1" applyFill="1" applyBorder="1" applyAlignment="1" applyProtection="1">
      <alignment horizontal="center"/>
      <protection locked="0"/>
    </xf>
    <xf numFmtId="4" fontId="0" fillId="0" borderId="18" xfId="0" applyNumberFormat="1" applyBorder="1" applyAlignment="1">
      <alignment horizontal="center" vertical="center"/>
    </xf>
    <xf numFmtId="4" fontId="0" fillId="0" borderId="30" xfId="0" applyNumberFormat="1" applyBorder="1" applyAlignment="1">
      <alignment horizontal="center" vertical="center"/>
    </xf>
    <xf numFmtId="0" fontId="0" fillId="6" borderId="2" xfId="0" applyFill="1" applyBorder="1" applyAlignment="1">
      <alignment horizontal="center"/>
    </xf>
    <xf numFmtId="0" fontId="0" fillId="6" borderId="3" xfId="0" applyFill="1" applyBorder="1" applyAlignment="1">
      <alignment horizontal="center"/>
    </xf>
    <xf numFmtId="4" fontId="0" fillId="7" borderId="79" xfId="0" applyNumberFormat="1" applyFill="1" applyBorder="1" applyAlignment="1">
      <alignment horizontal="center"/>
    </xf>
    <xf numFmtId="4" fontId="0" fillId="7" borderId="80" xfId="0" applyNumberForma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4" fontId="0" fillId="9" borderId="79" xfId="0" applyNumberFormat="1" applyFill="1" applyBorder="1" applyAlignment="1">
      <alignment horizontal="center" vertical="center"/>
    </xf>
    <xf numFmtId="4" fontId="0" fillId="9" borderId="80" xfId="0" applyNumberFormat="1" applyFill="1" applyBorder="1" applyAlignment="1">
      <alignment horizontal="center" vertical="center"/>
    </xf>
    <xf numFmtId="0" fontId="0" fillId="0" borderId="43" xfId="0" applyBorder="1" applyAlignment="1">
      <alignment horizontal="left" wrapText="1"/>
    </xf>
    <xf numFmtId="0" fontId="0" fillId="0" borderId="45" xfId="0" applyBorder="1" applyAlignment="1">
      <alignment horizontal="left" wrapText="1"/>
    </xf>
    <xf numFmtId="4" fontId="0" fillId="5" borderId="79" xfId="0" applyNumberFormat="1" applyFill="1" applyBorder="1" applyAlignment="1" applyProtection="1">
      <alignment horizontal="center" vertical="center"/>
      <protection locked="0"/>
    </xf>
    <xf numFmtId="4" fontId="0" fillId="5" borderId="80" xfId="0" applyNumberFormat="1" applyFill="1" applyBorder="1" applyAlignment="1" applyProtection="1">
      <alignment horizontal="center" vertical="center"/>
      <protection locked="0"/>
    </xf>
    <xf numFmtId="4" fontId="0" fillId="9" borderId="2" xfId="0" applyNumberFormat="1" applyFill="1" applyBorder="1" applyAlignment="1">
      <alignment horizontal="center" vertical="center"/>
    </xf>
    <xf numFmtId="4" fontId="0" fillId="9" borderId="3" xfId="0" applyNumberFormat="1" applyFill="1" applyBorder="1" applyAlignment="1">
      <alignment horizontal="center" vertical="center"/>
    </xf>
    <xf numFmtId="4" fontId="0" fillId="0" borderId="2" xfId="0" applyNumberFormat="1" applyBorder="1" applyAlignment="1">
      <alignment horizontal="center" vertical="center"/>
    </xf>
    <xf numFmtId="4" fontId="0" fillId="0" borderId="3" xfId="0" applyNumberFormat="1" applyBorder="1" applyAlignment="1">
      <alignment horizontal="center" vertical="center"/>
    </xf>
    <xf numFmtId="4" fontId="0" fillId="0" borderId="79" xfId="0" applyNumberFormat="1" applyBorder="1" applyAlignment="1">
      <alignment horizontal="center" vertical="center"/>
    </xf>
    <xf numFmtId="4" fontId="0" fillId="0" borderId="80" xfId="0" applyNumberFormat="1" applyBorder="1" applyAlignment="1">
      <alignment horizontal="center" vertical="center"/>
    </xf>
    <xf numFmtId="4" fontId="0" fillId="0" borderId="27" xfId="0" applyNumberFormat="1" applyBorder="1" applyAlignment="1">
      <alignment horizontal="center" vertical="center"/>
    </xf>
    <xf numFmtId="4" fontId="0" fillId="0" borderId="29" xfId="0" applyNumberForma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top" wrapText="1"/>
    </xf>
    <xf numFmtId="0" fontId="6" fillId="0" borderId="32" xfId="0" applyFont="1" applyBorder="1" applyAlignment="1">
      <alignment horizontal="center" vertical="top" wrapText="1"/>
    </xf>
    <xf numFmtId="0" fontId="3" fillId="0" borderId="0" xfId="0" applyFont="1" applyAlignment="1">
      <alignment horizontal="center" vertical="center"/>
    </xf>
    <xf numFmtId="0" fontId="3" fillId="0" borderId="32" xfId="0" applyFont="1" applyBorder="1" applyAlignment="1">
      <alignment horizontal="center" vertical="center"/>
    </xf>
    <xf numFmtId="4" fontId="0" fillId="0" borderId="31" xfId="0" applyNumberFormat="1" applyBorder="1" applyAlignment="1">
      <alignment horizontal="center" vertical="center"/>
    </xf>
    <xf numFmtId="4" fontId="0" fillId="0" borderId="33" xfId="0" applyNumberFormat="1" applyBorder="1" applyAlignment="1">
      <alignment horizontal="center" vertical="center"/>
    </xf>
    <xf numFmtId="10" fontId="0" fillId="7" borderId="2" xfId="2" applyNumberFormat="1" applyFont="1" applyFill="1" applyBorder="1" applyAlignment="1">
      <alignment horizontal="center"/>
    </xf>
    <xf numFmtId="10" fontId="0" fillId="7" borderId="3" xfId="2" applyNumberFormat="1" applyFont="1" applyFill="1" applyBorder="1" applyAlignment="1">
      <alignment horizontal="center"/>
    </xf>
    <xf numFmtId="10" fontId="0" fillId="9" borderId="79" xfId="2" applyNumberFormat="1" applyFont="1" applyFill="1" applyBorder="1" applyAlignment="1">
      <alignment horizontal="center"/>
    </xf>
    <xf numFmtId="10" fontId="0" fillId="9" borderId="80" xfId="2" applyNumberFormat="1" applyFont="1" applyFill="1" applyBorder="1" applyAlignment="1">
      <alignment horizontal="center"/>
    </xf>
    <xf numFmtId="0" fontId="3" fillId="0" borderId="182"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3" fillId="0" borderId="183" xfId="0" applyFont="1" applyBorder="1" applyAlignment="1">
      <alignment horizontal="center" vertical="center"/>
    </xf>
    <xf numFmtId="0" fontId="0" fillId="0" borderId="110" xfId="0" applyBorder="1" applyAlignment="1">
      <alignment horizontal="left"/>
    </xf>
    <xf numFmtId="0" fontId="0" fillId="0" borderId="189" xfId="0" applyBorder="1" applyAlignment="1">
      <alignment horizontal="left"/>
    </xf>
    <xf numFmtId="0" fontId="0" fillId="0" borderId="117" xfId="0" applyBorder="1" applyAlignment="1">
      <alignment horizontal="center"/>
    </xf>
    <xf numFmtId="0" fontId="0" fillId="0" borderId="184" xfId="0" applyBorder="1" applyAlignment="1">
      <alignment horizontal="center"/>
    </xf>
    <xf numFmtId="2" fontId="0" fillId="9" borderId="185" xfId="0" applyNumberFormat="1" applyFill="1" applyBorder="1" applyAlignment="1">
      <alignment horizontal="center" vertical="center"/>
    </xf>
    <xf numFmtId="2" fontId="0" fillId="9" borderId="186" xfId="0" applyNumberFormat="1" applyFill="1" applyBorder="1" applyAlignment="1">
      <alignment horizontal="center" vertical="center"/>
    </xf>
    <xf numFmtId="2" fontId="0" fillId="9" borderId="188" xfId="0" applyNumberFormat="1" applyFill="1" applyBorder="1" applyAlignment="1">
      <alignment horizontal="center" vertical="center"/>
    </xf>
    <xf numFmtId="2" fontId="0" fillId="9" borderId="141" xfId="0" applyNumberFormat="1" applyFill="1" applyBorder="1" applyAlignment="1">
      <alignment horizontal="center" vertical="center"/>
    </xf>
    <xf numFmtId="2" fontId="0" fillId="9" borderId="180" xfId="0" applyNumberFormat="1" applyFill="1" applyBorder="1" applyAlignment="1">
      <alignment horizontal="center" vertical="center"/>
    </xf>
    <xf numFmtId="2" fontId="0" fillId="9" borderId="187" xfId="0" applyNumberFormat="1" applyFill="1" applyBorder="1" applyAlignment="1">
      <alignment horizontal="center" vertical="center"/>
    </xf>
    <xf numFmtId="2" fontId="0" fillId="9" borderId="176" xfId="0" applyNumberFormat="1" applyFill="1" applyBorder="1" applyAlignment="1">
      <alignment horizontal="center" vertical="center"/>
    </xf>
    <xf numFmtId="2" fontId="0" fillId="9" borderId="18" xfId="0" applyNumberFormat="1" applyFill="1" applyBorder="1" applyAlignment="1">
      <alignment horizontal="center" vertical="center"/>
    </xf>
    <xf numFmtId="0" fontId="0" fillId="5" borderId="27"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0" borderId="143" xfId="0" applyBorder="1" applyAlignment="1">
      <alignment horizontal="center"/>
    </xf>
    <xf numFmtId="0" fontId="0" fillId="0" borderId="153" xfId="0" applyBorder="1" applyAlignment="1">
      <alignment horizontal="center" vertical="center"/>
    </xf>
    <xf numFmtId="0" fontId="0" fillId="0" borderId="107" xfId="0" applyBorder="1" applyAlignment="1">
      <alignment horizontal="center" vertical="center"/>
    </xf>
    <xf numFmtId="0" fontId="0" fillId="5" borderId="153"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0" borderId="143" xfId="0" applyBorder="1" applyAlignment="1">
      <alignment horizontal="center" vertical="center"/>
    </xf>
    <xf numFmtId="0" fontId="9" fillId="0" borderId="51" xfId="0" applyFont="1" applyBorder="1" applyAlignment="1">
      <alignment horizontal="left" vertical="center"/>
    </xf>
    <xf numFmtId="0" fontId="9" fillId="0" borderId="0" xfId="0" applyFont="1" applyAlignment="1">
      <alignment horizontal="left" vertical="center"/>
    </xf>
    <xf numFmtId="0" fontId="9" fillId="0" borderId="23" xfId="0" applyFont="1" applyBorder="1" applyAlignment="1">
      <alignment horizontal="left" vertical="center"/>
    </xf>
    <xf numFmtId="0" fontId="0" fillId="9" borderId="143" xfId="0" applyFill="1" applyBorder="1" applyAlignment="1">
      <alignment horizontal="left"/>
    </xf>
    <xf numFmtId="0" fontId="0" fillId="0" borderId="120" xfId="0" applyBorder="1" applyAlignment="1">
      <alignment horizontal="center" vertical="center"/>
    </xf>
    <xf numFmtId="0" fontId="0" fillId="5" borderId="81" xfId="0" applyFill="1" applyBorder="1" applyAlignment="1" applyProtection="1">
      <alignment horizontal="center" vertical="center"/>
      <protection locked="0"/>
    </xf>
    <xf numFmtId="0" fontId="0" fillId="5" borderId="175" xfId="0" applyFill="1" applyBorder="1" applyAlignment="1" applyProtection="1">
      <alignment horizontal="center" vertical="center"/>
      <protection locked="0"/>
    </xf>
    <xf numFmtId="0" fontId="0" fillId="0" borderId="0" xfId="0" applyAlignment="1">
      <alignment horizontal="left"/>
    </xf>
    <xf numFmtId="0" fontId="0" fillId="0" borderId="30" xfId="0" applyBorder="1" applyAlignment="1">
      <alignment horizontal="left"/>
    </xf>
    <xf numFmtId="0" fontId="0" fillId="0" borderId="48" xfId="0" applyBorder="1" applyAlignment="1">
      <alignment horizontal="center"/>
    </xf>
    <xf numFmtId="0" fontId="0" fillId="0" borderId="77" xfId="0" applyBorder="1" applyAlignment="1">
      <alignment horizont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0" fillId="5" borderId="79" xfId="0" quotePrefix="1" applyFill="1" applyBorder="1" applyAlignment="1" applyProtection="1">
      <alignment horizontal="center"/>
      <protection locked="0"/>
    </xf>
    <xf numFmtId="0" fontId="0" fillId="0" borderId="66" xfId="0"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2" borderId="79" xfId="0" applyFill="1" applyBorder="1" applyAlignment="1">
      <alignment horizontal="center" vertical="center"/>
    </xf>
    <xf numFmtId="0" fontId="0" fillId="2" borderId="84" xfId="0" applyFill="1" applyBorder="1" applyAlignment="1">
      <alignment horizontal="center" vertical="center"/>
    </xf>
    <xf numFmtId="0" fontId="0" fillId="2" borderId="80" xfId="0" applyFill="1" applyBorder="1" applyAlignment="1">
      <alignment horizontal="center" vertical="center"/>
    </xf>
    <xf numFmtId="0" fontId="0" fillId="5" borderId="120" xfId="0" applyFill="1" applyBorder="1" applyAlignment="1" applyProtection="1">
      <alignment horizontal="center" vertical="center"/>
      <protection locked="0"/>
    </xf>
    <xf numFmtId="10" fontId="0" fillId="9" borderId="79" xfId="0" applyNumberFormat="1" applyFill="1" applyBorder="1" applyAlignment="1">
      <alignment horizontal="center"/>
    </xf>
    <xf numFmtId="10" fontId="0" fillId="9" borderId="80" xfId="0" applyNumberFormat="1" applyFill="1" applyBorder="1" applyAlignment="1">
      <alignment horizontal="center"/>
    </xf>
    <xf numFmtId="2" fontId="0" fillId="8" borderId="79" xfId="0" applyNumberFormat="1" applyFill="1" applyBorder="1" applyAlignment="1">
      <alignment horizontal="center" vertical="center"/>
    </xf>
    <xf numFmtId="2" fontId="0" fillId="8" borderId="80" xfId="0" applyNumberFormat="1" applyFill="1" applyBorder="1" applyAlignment="1">
      <alignment horizontal="center" vertical="center"/>
    </xf>
    <xf numFmtId="4" fontId="0" fillId="9" borderId="79" xfId="0" applyNumberFormat="1" applyFill="1" applyBorder="1" applyAlignment="1">
      <alignment horizontal="center"/>
    </xf>
    <xf numFmtId="4" fontId="0" fillId="9" borderId="80" xfId="0" applyNumberFormat="1" applyFill="1" applyBorder="1" applyAlignment="1">
      <alignment horizontal="center"/>
    </xf>
    <xf numFmtId="2" fontId="3" fillId="8" borderId="79" xfId="0" applyNumberFormat="1" applyFont="1" applyFill="1" applyBorder="1" applyAlignment="1">
      <alignment horizontal="center" vertical="center"/>
    </xf>
    <xf numFmtId="2" fontId="3" fillId="8" borderId="80" xfId="0" applyNumberFormat="1" applyFont="1" applyFill="1" applyBorder="1" applyAlignment="1">
      <alignment horizontal="center" vertical="center"/>
    </xf>
    <xf numFmtId="4" fontId="0" fillId="5" borderId="79" xfId="0" applyNumberFormat="1" applyFill="1" applyBorder="1" applyAlignment="1" applyProtection="1">
      <alignment horizontal="center"/>
      <protection locked="0"/>
    </xf>
    <xf numFmtId="4" fontId="0" fillId="5" borderId="80" xfId="0" applyNumberFormat="1" applyFill="1" applyBorder="1" applyAlignment="1" applyProtection="1">
      <alignment horizontal="center"/>
      <protection locked="0"/>
    </xf>
    <xf numFmtId="0" fontId="6" fillId="0" borderId="32" xfId="0" applyFont="1" applyBorder="1" applyAlignment="1">
      <alignment horizontal="center"/>
    </xf>
    <xf numFmtId="2" fontId="3" fillId="8" borderId="79" xfId="0" applyNumberFormat="1" applyFont="1" applyFill="1" applyBorder="1" applyAlignment="1">
      <alignment horizontal="center"/>
    </xf>
    <xf numFmtId="2" fontId="3" fillId="8" borderId="80" xfId="0" applyNumberFormat="1" applyFont="1" applyFill="1" applyBorder="1" applyAlignment="1">
      <alignment horizontal="center"/>
    </xf>
    <xf numFmtId="0" fontId="0" fillId="9" borderId="80" xfId="0" applyFill="1" applyBorder="1" applyAlignment="1">
      <alignment horizontal="center"/>
    </xf>
    <xf numFmtId="0" fontId="0" fillId="9" borderId="79" xfId="0" applyFill="1" applyBorder="1" applyAlignment="1">
      <alignment horizontal="center"/>
    </xf>
    <xf numFmtId="4" fontId="0" fillId="8" borderId="79" xfId="0" applyNumberFormat="1" applyFill="1" applyBorder="1" applyAlignment="1">
      <alignment horizontal="center" vertical="center"/>
    </xf>
    <xf numFmtId="4" fontId="0" fillId="8" borderId="80" xfId="0" applyNumberFormat="1" applyFill="1" applyBorder="1" applyAlignment="1">
      <alignment horizontal="center" vertical="center"/>
    </xf>
    <xf numFmtId="2" fontId="0" fillId="8" borderId="79" xfId="0" applyNumberFormat="1" applyFill="1" applyBorder="1" applyAlignment="1">
      <alignment horizontal="center"/>
    </xf>
    <xf numFmtId="2" fontId="0" fillId="8" borderId="80" xfId="0" applyNumberFormat="1" applyFill="1" applyBorder="1" applyAlignment="1">
      <alignment horizontal="center"/>
    </xf>
    <xf numFmtId="0" fontId="0" fillId="8" borderId="79" xfId="0" applyFill="1" applyBorder="1" applyAlignment="1">
      <alignment horizontal="center" vertical="center"/>
    </xf>
    <xf numFmtId="0" fontId="0" fillId="8" borderId="80" xfId="0" applyFill="1" applyBorder="1" applyAlignment="1">
      <alignment horizontal="center" vertical="center"/>
    </xf>
    <xf numFmtId="0" fontId="0" fillId="0" borderId="0" xfId="0"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2" fontId="1" fillId="12" borderId="79" xfId="0" applyNumberFormat="1" applyFont="1" applyFill="1" applyBorder="1" applyAlignment="1">
      <alignment horizontal="center"/>
    </xf>
    <xf numFmtId="2" fontId="1" fillId="12" borderId="80" xfId="0" applyNumberFormat="1" applyFont="1" applyFill="1" applyBorder="1" applyAlignment="1">
      <alignment horizontal="center"/>
    </xf>
    <xf numFmtId="10" fontId="0" fillId="7" borderId="79" xfId="0" applyNumberFormat="1" applyFill="1" applyBorder="1" applyAlignment="1">
      <alignment horizontal="center"/>
    </xf>
    <xf numFmtId="10" fontId="0" fillId="7" borderId="80" xfId="0" applyNumberFormat="1" applyFill="1" applyBorder="1" applyAlignment="1">
      <alignment horizontal="center"/>
    </xf>
    <xf numFmtId="0" fontId="3" fillId="8" borderId="80" xfId="0" applyFont="1" applyFill="1" applyBorder="1" applyAlignment="1">
      <alignment horizontal="center"/>
    </xf>
    <xf numFmtId="4" fontId="0" fillId="5" borderId="78" xfId="0" applyNumberFormat="1" applyFill="1" applyBorder="1" applyAlignment="1" applyProtection="1">
      <alignment horizontal="center"/>
      <protection locked="0"/>
    </xf>
    <xf numFmtId="4" fontId="0" fillId="9" borderId="78" xfId="0" applyNumberFormat="1" applyFill="1" applyBorder="1" applyAlignment="1">
      <alignment horizontal="center"/>
    </xf>
    <xf numFmtId="0" fontId="0" fillId="0" borderId="0" xfId="0" applyAlignment="1">
      <alignment horizontal="center"/>
    </xf>
    <xf numFmtId="2" fontId="0" fillId="9" borderId="143" xfId="0" applyNumberFormat="1" applyFill="1" applyBorder="1" applyAlignment="1">
      <alignment horizontal="center"/>
    </xf>
    <xf numFmtId="2" fontId="0" fillId="9" borderId="85" xfId="0" applyNumberFormat="1" applyFill="1" applyBorder="1" applyAlignment="1">
      <alignment horizontal="center"/>
    </xf>
    <xf numFmtId="2" fontId="0" fillId="8" borderId="84" xfId="0" applyNumberFormat="1" applyFill="1" applyBorder="1" applyAlignment="1">
      <alignment horizontal="center" vertical="center"/>
    </xf>
    <xf numFmtId="171" fontId="11" fillId="33" borderId="79" xfId="0" applyNumberFormat="1" applyFont="1" applyFill="1" applyBorder="1" applyAlignment="1">
      <alignment horizontal="center" vertical="center"/>
    </xf>
    <xf numFmtId="171" fontId="11" fillId="33" borderId="80" xfId="0" applyNumberFormat="1" applyFont="1" applyFill="1" applyBorder="1" applyAlignment="1">
      <alignment horizontal="center" vertical="center"/>
    </xf>
    <xf numFmtId="0" fontId="4" fillId="0" borderId="0" xfId="0" applyFont="1" applyAlignment="1">
      <alignment horizontal="center" vertical="top" wrapText="1"/>
    </xf>
    <xf numFmtId="0" fontId="0" fillId="9" borderId="27" xfId="0" applyFill="1" applyBorder="1" applyAlignment="1">
      <alignment horizontal="left"/>
    </xf>
    <xf numFmtId="0" fontId="0" fillId="9" borderId="28" xfId="0" applyFill="1" applyBorder="1" applyAlignment="1">
      <alignment horizontal="left"/>
    </xf>
    <xf numFmtId="0" fontId="0" fillId="9" borderId="29" xfId="0" applyFill="1" applyBorder="1" applyAlignment="1">
      <alignment horizontal="left"/>
    </xf>
    <xf numFmtId="0" fontId="0" fillId="0" borderId="51" xfId="0" applyBorder="1" applyAlignment="1">
      <alignment horizontal="right"/>
    </xf>
    <xf numFmtId="0" fontId="0" fillId="0" borderId="0" xfId="0" applyAlignment="1">
      <alignment horizontal="right"/>
    </xf>
    <xf numFmtId="0" fontId="0" fillId="0" borderId="49" xfId="0" applyBorder="1" applyAlignment="1">
      <alignment horizontal="right"/>
    </xf>
    <xf numFmtId="0" fontId="0" fillId="0" borderId="48" xfId="0" applyBorder="1" applyAlignment="1">
      <alignment horizontal="right"/>
    </xf>
    <xf numFmtId="0" fontId="0" fillId="0" borderId="87" xfId="0" applyBorder="1" applyAlignment="1">
      <alignment horizontal="center" vertical="center" wrapText="1"/>
    </xf>
    <xf numFmtId="4" fontId="3" fillId="8" borderId="79" xfId="0" applyNumberFormat="1" applyFont="1" applyFill="1" applyBorder="1" applyAlignment="1">
      <alignment horizontal="center" vertical="center"/>
    </xf>
    <xf numFmtId="4" fontId="3" fillId="8" borderId="80" xfId="0" applyNumberFormat="1" applyFont="1" applyFill="1" applyBorder="1" applyAlignment="1">
      <alignment horizontal="center" vertical="center"/>
    </xf>
    <xf numFmtId="2" fontId="0" fillId="9" borderId="79" xfId="0" applyNumberFormat="1" applyFill="1" applyBorder="1" applyAlignment="1">
      <alignment horizontal="center"/>
    </xf>
    <xf numFmtId="2" fontId="0" fillId="9" borderId="80" xfId="0" applyNumberFormat="1" applyFill="1" applyBorder="1" applyAlignment="1">
      <alignment horizontal="center"/>
    </xf>
    <xf numFmtId="0" fontId="44" fillId="0" borderId="32" xfId="0" applyFont="1" applyBorder="1" applyAlignment="1">
      <alignment horizontal="center"/>
    </xf>
    <xf numFmtId="1" fontId="0" fillId="9" borderId="78" xfId="0" applyNumberFormat="1" applyFill="1" applyBorder="1" applyAlignment="1">
      <alignment horizontal="center"/>
    </xf>
    <xf numFmtId="0" fontId="0" fillId="0" borderId="77" xfId="0" applyBorder="1" applyAlignment="1">
      <alignment horizontal="right"/>
    </xf>
    <xf numFmtId="4" fontId="0" fillId="9" borderId="75" xfId="0" applyNumberFormat="1" applyFill="1" applyBorder="1" applyAlignment="1">
      <alignment horizontal="center"/>
    </xf>
    <xf numFmtId="0" fontId="0" fillId="0" borderId="86" xfId="0" applyBorder="1" applyAlignment="1">
      <alignment horizontal="center" vertical="center" wrapText="1"/>
    </xf>
    <xf numFmtId="0" fontId="0" fillId="0" borderId="153" xfId="0" applyBorder="1" applyAlignment="1">
      <alignment horizontal="center" vertical="center" wrapText="1"/>
    </xf>
    <xf numFmtId="0" fontId="3" fillId="0" borderId="53"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79" xfId="0" applyFont="1" applyBorder="1" applyAlignment="1">
      <alignment horizontal="center" vertical="center" wrapText="1"/>
    </xf>
    <xf numFmtId="0" fontId="0" fillId="7" borderId="80" xfId="0" applyFill="1" applyBorder="1" applyAlignment="1">
      <alignment horizontal="center"/>
    </xf>
    <xf numFmtId="0" fontId="0" fillId="5" borderId="152" xfId="0" applyFill="1" applyBorder="1" applyAlignment="1" applyProtection="1">
      <alignment horizontal="center" vertical="center"/>
      <protection locked="0"/>
    </xf>
    <xf numFmtId="0" fontId="0" fillId="0" borderId="28" xfId="0" applyBorder="1" applyAlignment="1">
      <alignment horizontal="left"/>
    </xf>
    <xf numFmtId="0" fontId="0" fillId="0" borderId="29" xfId="0" applyBorder="1" applyAlignment="1">
      <alignment horizontal="left"/>
    </xf>
    <xf numFmtId="0" fontId="3" fillId="0" borderId="165" xfId="0" applyFont="1" applyBorder="1" applyAlignment="1">
      <alignment horizontal="center" vertical="center"/>
    </xf>
    <xf numFmtId="0" fontId="3" fillId="0" borderId="28" xfId="0" applyFont="1" applyBorder="1" applyAlignment="1">
      <alignment horizontal="center" vertical="center"/>
    </xf>
    <xf numFmtId="0" fontId="12" fillId="0" borderId="53" xfId="0" applyFont="1" applyBorder="1" applyAlignment="1">
      <alignment horizontal="center" vertical="center"/>
    </xf>
    <xf numFmtId="0" fontId="12" fillId="0" borderId="70" xfId="0" applyFont="1" applyBorder="1" applyAlignment="1">
      <alignment horizontal="center" vertical="center"/>
    </xf>
    <xf numFmtId="0" fontId="0" fillId="0" borderId="30" xfId="0" applyBorder="1" applyAlignment="1">
      <alignment horizontal="right"/>
    </xf>
    <xf numFmtId="4" fontId="0" fillId="9" borderId="85" xfId="0" applyNumberFormat="1" applyFill="1" applyBorder="1" applyAlignment="1">
      <alignment horizontal="center"/>
    </xf>
    <xf numFmtId="2" fontId="0" fillId="9" borderId="75" xfId="0" applyNumberFormat="1" applyFill="1" applyBorder="1" applyAlignment="1">
      <alignment horizontal="center"/>
    </xf>
    <xf numFmtId="2" fontId="0" fillId="9" borderId="76" xfId="0" applyNumberFormat="1" applyFill="1" applyBorder="1" applyAlignment="1">
      <alignment horizontal="center"/>
    </xf>
    <xf numFmtId="0" fontId="11" fillId="0" borderId="0" xfId="0" applyFont="1" applyAlignment="1">
      <alignment horizontal="center"/>
    </xf>
    <xf numFmtId="0" fontId="0" fillId="5" borderId="1" xfId="0" applyFill="1" applyBorder="1" applyAlignment="1" applyProtection="1">
      <alignment horizontal="center"/>
      <protection locked="0"/>
    </xf>
    <xf numFmtId="0" fontId="3" fillId="8" borderId="2" xfId="0" applyFont="1" applyFill="1" applyBorder="1" applyAlignment="1">
      <alignment horizontal="center"/>
    </xf>
    <xf numFmtId="0" fontId="3" fillId="8" borderId="3" xfId="0" applyFont="1" applyFill="1" applyBorder="1" applyAlignment="1">
      <alignment horizontal="center"/>
    </xf>
    <xf numFmtId="0" fontId="0" fillId="5" borderId="84" xfId="0" applyFill="1" applyBorder="1" applyAlignment="1" applyProtection="1">
      <alignment horizontal="center"/>
      <protection locked="0"/>
    </xf>
    <xf numFmtId="0" fontId="4" fillId="0" borderId="0" xfId="0" applyFont="1" applyAlignment="1">
      <alignment horizontal="left" vertical="top" wrapText="1"/>
    </xf>
    <xf numFmtId="0" fontId="43" fillId="0" borderId="153"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120" xfId="0" applyFont="1" applyBorder="1" applyAlignment="1">
      <alignment horizontal="center" vertical="center" wrapText="1"/>
    </xf>
    <xf numFmtId="2" fontId="24" fillId="43" borderId="82" xfId="0" applyNumberFormat="1" applyFont="1" applyFill="1" applyBorder="1" applyAlignment="1">
      <alignment horizontal="center" vertical="center"/>
    </xf>
    <xf numFmtId="2" fontId="24" fillId="43" borderId="83" xfId="0" applyNumberFormat="1" applyFont="1" applyFill="1" applyBorder="1" applyAlignment="1">
      <alignment horizontal="center" vertical="center"/>
    </xf>
    <xf numFmtId="171" fontId="11" fillId="33" borderId="82" xfId="0" applyNumberFormat="1" applyFont="1" applyFill="1" applyBorder="1" applyAlignment="1">
      <alignment horizontal="center" vertical="center"/>
    </xf>
    <xf numFmtId="171" fontId="11" fillId="33" borderId="83" xfId="0" applyNumberFormat="1" applyFont="1" applyFill="1" applyBorder="1" applyAlignment="1">
      <alignment horizontal="center" vertical="center"/>
    </xf>
    <xf numFmtId="0" fontId="0" fillId="0" borderId="87" xfId="0" applyBorder="1" applyAlignment="1">
      <alignment horizontal="center" vertical="center"/>
    </xf>
    <xf numFmtId="0" fontId="43" fillId="0" borderId="107" xfId="0" applyFont="1" applyBorder="1" applyAlignment="1">
      <alignment horizontal="center" vertical="center" wrapText="1"/>
    </xf>
    <xf numFmtId="0" fontId="43" fillId="7" borderId="27"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43" fillId="7" borderId="29" xfId="0" applyFont="1" applyFill="1" applyBorder="1" applyAlignment="1">
      <alignment horizontal="center" vertical="center" wrapText="1"/>
    </xf>
    <xf numFmtId="0" fontId="43" fillId="7" borderId="18" xfId="0" applyFont="1" applyFill="1" applyBorder="1" applyAlignment="1">
      <alignment horizontal="center" vertical="center" wrapText="1"/>
    </xf>
    <xf numFmtId="0" fontId="43" fillId="7" borderId="0" xfId="0" applyFont="1" applyFill="1" applyAlignment="1">
      <alignment horizontal="center" vertical="center" wrapText="1"/>
    </xf>
    <xf numFmtId="0" fontId="43" fillId="7" borderId="30" xfId="0" applyFont="1" applyFill="1" applyBorder="1" applyAlignment="1">
      <alignment horizontal="center" vertical="center" wrapText="1"/>
    </xf>
    <xf numFmtId="0" fontId="43" fillId="7" borderId="95" xfId="0" applyFont="1" applyFill="1" applyBorder="1" applyAlignment="1">
      <alignment horizontal="center" vertical="center" wrapText="1"/>
    </xf>
    <xf numFmtId="0" fontId="43" fillId="7" borderId="48" xfId="0" applyFont="1" applyFill="1" applyBorder="1" applyAlignment="1">
      <alignment horizontal="center" vertical="center" wrapText="1"/>
    </xf>
    <xf numFmtId="0" fontId="43" fillId="7" borderId="77" xfId="0" applyFont="1" applyFill="1" applyBorder="1" applyAlignment="1">
      <alignment horizontal="center" vertical="center" wrapText="1"/>
    </xf>
    <xf numFmtId="4" fontId="0" fillId="9" borderId="76" xfId="0" applyNumberFormat="1" applyFill="1" applyBorder="1" applyAlignment="1">
      <alignment horizontal="center"/>
    </xf>
    <xf numFmtId="0" fontId="3" fillId="0" borderId="31" xfId="0" quotePrefix="1" applyFont="1" applyBorder="1" applyAlignment="1">
      <alignment horizontal="center"/>
    </xf>
    <xf numFmtId="0" fontId="3" fillId="0" borderId="32" xfId="0" applyFont="1" applyBorder="1" applyAlignment="1">
      <alignment horizontal="center"/>
    </xf>
    <xf numFmtId="4" fontId="0" fillId="8" borderId="79" xfId="0" applyNumberFormat="1" applyFill="1" applyBorder="1" applyAlignment="1">
      <alignment horizontal="center"/>
    </xf>
    <xf numFmtId="4" fontId="0" fillId="8" borderId="80" xfId="0" applyNumberFormat="1" applyFill="1" applyBorder="1" applyAlignment="1">
      <alignment horizontal="center"/>
    </xf>
    <xf numFmtId="0" fontId="3" fillId="8" borderId="79" xfId="0" applyFont="1" applyFill="1" applyBorder="1" applyAlignment="1">
      <alignment horizontal="center" vertical="center"/>
    </xf>
    <xf numFmtId="0" fontId="3" fillId="8" borderId="80" xfId="0" applyFont="1" applyFill="1" applyBorder="1" applyAlignment="1">
      <alignment horizontal="center" vertical="center"/>
    </xf>
    <xf numFmtId="0" fontId="0" fillId="0" borderId="32" xfId="0" applyBorder="1" applyAlignment="1">
      <alignment horizontal="center" vertical="center"/>
    </xf>
    <xf numFmtId="2" fontId="1" fillId="12" borderId="18" xfId="0" applyNumberFormat="1" applyFont="1" applyFill="1" applyBorder="1" applyAlignment="1">
      <alignment horizontal="center"/>
    </xf>
    <xf numFmtId="2" fontId="1" fillId="12" borderId="0" xfId="0" applyNumberFormat="1" applyFont="1" applyFill="1" applyAlignment="1">
      <alignment horizontal="center"/>
    </xf>
    <xf numFmtId="2" fontId="24" fillId="43" borderId="79" xfId="0" applyNumberFormat="1" applyFont="1" applyFill="1" applyBorder="1" applyAlignment="1">
      <alignment horizontal="center" vertical="center"/>
    </xf>
    <xf numFmtId="2" fontId="24" fillId="43" borderId="80" xfId="0" applyNumberFormat="1" applyFont="1" applyFill="1" applyBorder="1" applyAlignment="1">
      <alignment horizontal="center" vertical="center"/>
    </xf>
    <xf numFmtId="0" fontId="43" fillId="9" borderId="27" xfId="0" applyFont="1" applyFill="1" applyBorder="1" applyAlignment="1">
      <alignment horizontal="center" vertical="center" wrapText="1"/>
    </xf>
    <xf numFmtId="0" fontId="43" fillId="9" borderId="28" xfId="0" applyFont="1" applyFill="1" applyBorder="1" applyAlignment="1">
      <alignment horizontal="center" vertical="center" wrapText="1"/>
    </xf>
    <xf numFmtId="0" fontId="43" fillId="9" borderId="152" xfId="0" applyFont="1" applyFill="1" applyBorder="1" applyAlignment="1">
      <alignment horizontal="center" vertical="center" wrapText="1"/>
    </xf>
    <xf numFmtId="0" fontId="43" fillId="9" borderId="18" xfId="0" applyFont="1" applyFill="1" applyBorder="1" applyAlignment="1">
      <alignment horizontal="center" vertical="center" wrapText="1"/>
    </xf>
    <xf numFmtId="0" fontId="43" fillId="9" borderId="0" xfId="0" applyFont="1" applyFill="1" applyAlignment="1">
      <alignment horizontal="center" vertical="center" wrapText="1"/>
    </xf>
    <xf numFmtId="0" fontId="43" fillId="9" borderId="52" xfId="0" applyFont="1" applyFill="1" applyBorder="1" applyAlignment="1">
      <alignment horizontal="center" vertical="center" wrapText="1"/>
    </xf>
    <xf numFmtId="0" fontId="43" fillId="9" borderId="95" xfId="0" applyFont="1" applyFill="1" applyBorder="1" applyAlignment="1">
      <alignment horizontal="center" vertical="center" wrapText="1"/>
    </xf>
    <xf numFmtId="0" fontId="43" fillId="9" borderId="48" xfId="0" applyFont="1" applyFill="1" applyBorder="1" applyAlignment="1">
      <alignment horizontal="center" vertical="center" wrapText="1"/>
    </xf>
    <xf numFmtId="0" fontId="43" fillId="9" borderId="50" xfId="0" applyFont="1" applyFill="1" applyBorder="1" applyAlignment="1">
      <alignment horizontal="center" vertical="center" wrapText="1"/>
    </xf>
    <xf numFmtId="0" fontId="0" fillId="0" borderId="79" xfId="0" applyBorder="1" applyAlignment="1">
      <alignment horizontal="center"/>
    </xf>
    <xf numFmtId="0" fontId="0" fillId="0" borderId="80" xfId="0" applyBorder="1" applyAlignment="1">
      <alignment horizontal="center"/>
    </xf>
    <xf numFmtId="10" fontId="0" fillId="9" borderId="78" xfId="0" applyNumberFormat="1" applyFill="1" applyBorder="1" applyAlignment="1">
      <alignment horizontal="center"/>
    </xf>
    <xf numFmtId="2" fontId="0" fillId="5" borderId="79" xfId="0" applyNumberFormat="1" applyFill="1" applyBorder="1" applyAlignment="1" applyProtection="1">
      <alignment horizontal="center"/>
      <protection locked="0"/>
    </xf>
    <xf numFmtId="2" fontId="0" fillId="5" borderId="80" xfId="0" applyNumberFormat="1" applyFill="1" applyBorder="1" applyAlignment="1" applyProtection="1">
      <alignment horizontal="center"/>
      <protection locked="0"/>
    </xf>
    <xf numFmtId="0" fontId="0" fillId="9" borderId="84" xfId="0" applyFill="1" applyBorder="1" applyAlignment="1">
      <alignment horizontal="center"/>
    </xf>
    <xf numFmtId="0" fontId="0" fillId="5" borderId="31" xfId="0" applyFill="1" applyBorder="1" applyAlignment="1" applyProtection="1">
      <alignment horizontal="center"/>
      <protection locked="0"/>
    </xf>
    <xf numFmtId="0" fontId="0" fillId="5" borderId="33" xfId="0" applyFill="1" applyBorder="1" applyAlignment="1" applyProtection="1">
      <alignment horizontal="center"/>
      <protection locked="0"/>
    </xf>
    <xf numFmtId="0" fontId="0" fillId="0" borderId="43" xfId="0" applyBorder="1" applyAlignment="1">
      <alignment horizontal="left" vertical="top" wrapText="1"/>
    </xf>
    <xf numFmtId="0" fontId="0" fillId="0" borderId="45" xfId="0" applyBorder="1" applyAlignment="1">
      <alignment horizontal="left" vertical="top" wrapText="1"/>
    </xf>
    <xf numFmtId="2" fontId="0" fillId="9" borderId="27" xfId="0" applyNumberFormat="1" applyFill="1" applyBorder="1" applyAlignment="1">
      <alignment horizontal="center"/>
    </xf>
    <xf numFmtId="2" fontId="0" fillId="9" borderId="29" xfId="0" applyNumberFormat="1" applyFill="1" applyBorder="1" applyAlignment="1">
      <alignment horizontal="center"/>
    </xf>
    <xf numFmtId="0" fontId="0" fillId="9" borderId="78" xfId="0" applyFill="1" applyBorder="1" applyAlignment="1">
      <alignment horizontal="center"/>
    </xf>
    <xf numFmtId="0" fontId="30" fillId="0" borderId="32" xfId="0" applyFont="1" applyBorder="1" applyAlignment="1">
      <alignment horizontal="center"/>
    </xf>
    <xf numFmtId="0" fontId="0" fillId="0" borderId="18" xfId="0" applyBorder="1" applyAlignment="1">
      <alignment horizontal="center" vertical="center"/>
    </xf>
    <xf numFmtId="169" fontId="0" fillId="9" borderId="79" xfId="0" applyNumberFormat="1" applyFill="1" applyBorder="1" applyAlignment="1">
      <alignment horizontal="center"/>
    </xf>
    <xf numFmtId="169" fontId="0" fillId="9" borderId="80" xfId="0" applyNumberFormat="1" applyFill="1" applyBorder="1" applyAlignment="1">
      <alignment horizontal="center"/>
    </xf>
    <xf numFmtId="2" fontId="0" fillId="9" borderId="78" xfId="0" applyNumberFormat="1" applyFill="1" applyBorder="1" applyAlignment="1">
      <alignment horizontal="center"/>
    </xf>
    <xf numFmtId="0" fontId="0" fillId="9" borderId="27" xfId="0" applyFill="1" applyBorder="1" applyAlignment="1">
      <alignment horizontal="center"/>
    </xf>
    <xf numFmtId="0" fontId="0" fillId="9" borderId="29" xfId="0" applyFill="1" applyBorder="1" applyAlignment="1">
      <alignment horizont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vertical="center"/>
    </xf>
    <xf numFmtId="0" fontId="0" fillId="5" borderId="78" xfId="0" applyFill="1" applyBorder="1" applyAlignment="1" applyProtection="1">
      <alignment horizontal="center"/>
      <protection locked="0"/>
    </xf>
    <xf numFmtId="0" fontId="6" fillId="0" borderId="88" xfId="0" applyFont="1" applyBorder="1" applyAlignment="1">
      <alignment horizontal="center"/>
    </xf>
    <xf numFmtId="0" fontId="44" fillId="0" borderId="0" xfId="0" applyFont="1" applyAlignment="1">
      <alignment horizontal="center"/>
    </xf>
    <xf numFmtId="10" fontId="0" fillId="9" borderId="143" xfId="0" applyNumberFormat="1" applyFill="1" applyBorder="1" applyAlignment="1">
      <alignment horizontal="center"/>
    </xf>
    <xf numFmtId="0" fontId="0" fillId="5" borderId="79" xfId="0" applyFill="1" applyBorder="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80" xfId="0" applyFill="1" applyBorder="1" applyAlignment="1" applyProtection="1">
      <alignment horizontal="left" vertical="center"/>
      <protection locked="0"/>
    </xf>
    <xf numFmtId="0" fontId="0" fillId="5" borderId="28"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31"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0" fontId="4" fillId="0" borderId="0" xfId="0" quotePrefix="1" applyFont="1" applyAlignment="1">
      <alignment horizontal="left" vertical="top" wrapText="1"/>
    </xf>
    <xf numFmtId="0" fontId="0" fillId="5" borderId="27" xfId="0" applyFill="1" applyBorder="1" applyAlignment="1" applyProtection="1">
      <alignment horizontal="center"/>
      <protection locked="0"/>
    </xf>
    <xf numFmtId="0" fontId="0" fillId="5" borderId="29" xfId="0" applyFill="1" applyBorder="1" applyAlignment="1" applyProtection="1">
      <alignment horizontal="center"/>
      <protection locked="0"/>
    </xf>
    <xf numFmtId="4" fontId="24" fillId="11" borderId="79" xfId="0" applyNumberFormat="1" applyFont="1" applyFill="1" applyBorder="1" applyAlignment="1">
      <alignment horizontal="center"/>
    </xf>
    <xf numFmtId="4" fontId="24" fillId="11" borderId="80" xfId="0" applyNumberFormat="1" applyFont="1" applyFill="1" applyBorder="1" applyAlignment="1">
      <alignment horizontal="center"/>
    </xf>
    <xf numFmtId="1" fontId="0" fillId="0" borderId="28" xfId="0" applyNumberFormat="1" applyBorder="1" applyAlignment="1">
      <alignment horizontal="center"/>
    </xf>
    <xf numFmtId="0" fontId="3" fillId="0" borderId="20" xfId="0" applyFont="1" applyBorder="1" applyAlignment="1">
      <alignment horizontal="center"/>
    </xf>
    <xf numFmtId="2" fontId="24" fillId="11" borderId="79" xfId="0" applyNumberFormat="1" applyFont="1" applyFill="1" applyBorder="1" applyAlignment="1">
      <alignment horizontal="center"/>
    </xf>
    <xf numFmtId="2" fontId="24" fillId="11" borderId="80" xfId="0" applyNumberFormat="1" applyFont="1" applyFill="1" applyBorder="1" applyAlignment="1">
      <alignment horizontal="center"/>
    </xf>
    <xf numFmtId="0" fontId="3" fillId="0" borderId="73" xfId="0" applyFont="1" applyBorder="1" applyAlignment="1">
      <alignment horizontal="center"/>
    </xf>
    <xf numFmtId="2" fontId="3" fillId="0" borderId="0" xfId="0" applyNumberFormat="1" applyFont="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4" fontId="3" fillId="0" borderId="0" xfId="0" applyNumberFormat="1" applyFont="1" applyAlignment="1">
      <alignment horizontal="center"/>
    </xf>
    <xf numFmtId="1" fontId="0" fillId="0" borderId="0" xfId="0" applyNumberFormat="1" applyAlignment="1">
      <alignment horizontal="center"/>
    </xf>
    <xf numFmtId="2" fontId="24" fillId="11" borderId="79" xfId="0" quotePrefix="1" applyNumberFormat="1" applyFont="1" applyFill="1" applyBorder="1" applyAlignment="1">
      <alignment horizontal="center"/>
    </xf>
    <xf numFmtId="4" fontId="0" fillId="0" borderId="2" xfId="0" applyNumberFormat="1" applyBorder="1" applyAlignment="1">
      <alignment horizontal="center"/>
    </xf>
    <xf numFmtId="4" fontId="0" fillId="0" borderId="3" xfId="0" applyNumberFormat="1" applyBorder="1" applyAlignment="1">
      <alignment horizontal="center"/>
    </xf>
    <xf numFmtId="2" fontId="24" fillId="0" borderId="79" xfId="0" applyNumberFormat="1" applyFont="1" applyBorder="1" applyAlignment="1">
      <alignment horizontal="center"/>
    </xf>
    <xf numFmtId="2" fontId="24" fillId="0" borderId="80" xfId="0" applyNumberFormat="1" applyFont="1" applyBorder="1" applyAlignment="1">
      <alignment horizontal="center"/>
    </xf>
    <xf numFmtId="2" fontId="0" fillId="0" borderId="79" xfId="0" applyNumberFormat="1" applyBorder="1" applyAlignment="1">
      <alignment horizontal="center"/>
    </xf>
    <xf numFmtId="2" fontId="0" fillId="0" borderId="80" xfId="0" applyNumberFormat="1" applyBorder="1" applyAlignment="1">
      <alignment horizontal="center"/>
    </xf>
    <xf numFmtId="2" fontId="24" fillId="0" borderId="2" xfId="0" applyNumberFormat="1" applyFont="1" applyBorder="1" applyAlignment="1">
      <alignment horizontal="center"/>
    </xf>
    <xf numFmtId="2" fontId="24" fillId="0" borderId="3" xfId="0" applyNumberFormat="1" applyFont="1" applyBorder="1" applyAlignment="1">
      <alignment horizontal="center"/>
    </xf>
    <xf numFmtId="14" fontId="0" fillId="0" borderId="79" xfId="0" applyNumberFormat="1" applyBorder="1" applyAlignment="1" applyProtection="1">
      <alignment horizontal="center" vertical="center"/>
      <protection locked="0"/>
    </xf>
    <xf numFmtId="14" fontId="0" fillId="0" borderId="80" xfId="0" applyNumberFormat="1" applyBorder="1" applyAlignment="1" applyProtection="1">
      <alignment horizontal="center" vertical="center"/>
      <protection locked="0"/>
    </xf>
    <xf numFmtId="0" fontId="25" fillId="0" borderId="0" xfId="0" applyFont="1" applyAlignment="1">
      <alignment horizontal="center" vertical="center"/>
    </xf>
    <xf numFmtId="14" fontId="0" fillId="0" borderId="143" xfId="0" applyNumberFormat="1" applyBorder="1" applyAlignment="1" applyProtection="1">
      <alignment horizontal="center" vertical="center"/>
      <protection locked="0"/>
    </xf>
    <xf numFmtId="4" fontId="3" fillId="0" borderId="79" xfId="0" applyNumberFormat="1" applyFont="1" applyBorder="1" applyAlignment="1">
      <alignment horizontal="center"/>
    </xf>
    <xf numFmtId="4" fontId="3" fillId="0" borderId="80" xfId="0" applyNumberFormat="1" applyFont="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vertical="center"/>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 fillId="2" borderId="0" xfId="0" applyFont="1" applyFill="1" applyAlignment="1">
      <alignment horizontal="center"/>
    </xf>
    <xf numFmtId="0" fontId="1" fillId="2" borderId="0" xfId="0" applyFont="1" applyFill="1" applyAlignment="1">
      <alignment horizontal="center" vertical="center" textRotation="180"/>
    </xf>
    <xf numFmtId="0" fontId="1" fillId="2" borderId="0" xfId="0" applyFont="1" applyFill="1" applyAlignment="1">
      <alignment horizontal="center" vertical="center" textRotation="180" wrapText="1"/>
    </xf>
    <xf numFmtId="0" fontId="47" fillId="0" borderId="143" xfId="0" applyFont="1" applyBorder="1" applyAlignment="1">
      <alignment horizontal="center" vertical="center" wrapText="1"/>
    </xf>
    <xf numFmtId="0" fontId="18" fillId="0" borderId="27"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18" fillId="0" borderId="18" xfId="0" applyFont="1" applyBorder="1" applyAlignment="1">
      <alignment horizontal="center"/>
    </xf>
    <xf numFmtId="0" fontId="18" fillId="0" borderId="0" xfId="0" applyFont="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4" fillId="0" borderId="0" xfId="0" applyFont="1" applyAlignment="1">
      <alignment horizontal="left" vertical="center" wrapText="1"/>
    </xf>
    <xf numFmtId="0" fontId="3" fillId="5" borderId="123" xfId="0" applyFont="1" applyFill="1" applyBorder="1" applyAlignment="1">
      <alignment horizontal="center"/>
    </xf>
    <xf numFmtId="0" fontId="3" fillId="5" borderId="105" xfId="0" applyFont="1" applyFill="1" applyBorder="1" applyAlignment="1">
      <alignment horizontal="center"/>
    </xf>
    <xf numFmtId="0" fontId="3" fillId="5" borderId="120" xfId="0" applyFont="1" applyFill="1" applyBorder="1" applyAlignment="1">
      <alignment horizontal="center"/>
    </xf>
    <xf numFmtId="0" fontId="3" fillId="15" borderId="119" xfId="0" applyFont="1" applyFill="1" applyBorder="1" applyAlignment="1">
      <alignment horizontal="center"/>
    </xf>
    <xf numFmtId="0" fontId="3" fillId="15" borderId="105" xfId="0" applyFont="1" applyFill="1" applyBorder="1" applyAlignment="1">
      <alignment horizontal="center"/>
    </xf>
    <xf numFmtId="0" fontId="3" fillId="15" borderId="124" xfId="0" applyFont="1" applyFill="1" applyBorder="1" applyAlignment="1">
      <alignment horizontal="center"/>
    </xf>
    <xf numFmtId="0" fontId="33" fillId="0" borderId="109" xfId="0" applyFont="1" applyBorder="1" applyAlignment="1">
      <alignment horizontal="center"/>
    </xf>
    <xf numFmtId="0" fontId="33" fillId="0" borderId="110" xfId="0" applyFont="1" applyBorder="1" applyAlignment="1">
      <alignment horizontal="center"/>
    </xf>
    <xf numFmtId="0" fontId="33" fillId="0" borderId="111" xfId="0" applyFont="1" applyBorder="1" applyAlignment="1">
      <alignment horizontal="center"/>
    </xf>
    <xf numFmtId="0" fontId="34" fillId="0" borderId="109" xfId="0" applyFont="1" applyBorder="1" applyAlignment="1">
      <alignment horizontal="center"/>
    </xf>
    <xf numFmtId="0" fontId="34" fillId="0" borderId="110" xfId="0" applyFont="1" applyBorder="1" applyAlignment="1">
      <alignment horizontal="center"/>
    </xf>
    <xf numFmtId="0" fontId="34" fillId="0" borderId="111" xfId="0" applyFont="1" applyBorder="1" applyAlignment="1">
      <alignment horizontal="center"/>
    </xf>
    <xf numFmtId="0" fontId="35" fillId="17" borderId="123" xfId="0" applyFont="1" applyFill="1" applyBorder="1" applyAlignment="1">
      <alignment horizontal="center"/>
    </xf>
    <xf numFmtId="0" fontId="35" fillId="17" borderId="105" xfId="0" applyFont="1" applyFill="1" applyBorder="1" applyAlignment="1">
      <alignment horizontal="center"/>
    </xf>
    <xf numFmtId="0" fontId="35" fillId="17" borderId="120" xfId="0" applyFont="1" applyFill="1" applyBorder="1" applyAlignment="1">
      <alignment horizontal="center"/>
    </xf>
    <xf numFmtId="0" fontId="35" fillId="10" borderId="119" xfId="0" applyFont="1" applyFill="1" applyBorder="1" applyAlignment="1">
      <alignment horizontal="center"/>
    </xf>
    <xf numFmtId="0" fontId="35" fillId="10" borderId="105" xfId="0" applyFont="1" applyFill="1" applyBorder="1" applyAlignment="1">
      <alignment horizontal="center"/>
    </xf>
    <xf numFmtId="0" fontId="35" fillId="10" borderId="124" xfId="0" applyFont="1" applyFill="1" applyBorder="1" applyAlignment="1">
      <alignment horizontal="center"/>
    </xf>
    <xf numFmtId="0" fontId="0" fillId="0" borderId="143" xfId="0" applyBorder="1" applyAlignment="1">
      <alignment horizontal="left" vertical="top" wrapText="1"/>
    </xf>
    <xf numFmtId="0" fontId="0" fillId="0" borderId="79" xfId="0" applyBorder="1" applyAlignment="1">
      <alignment horizontal="left" vertical="top" wrapText="1"/>
    </xf>
    <xf numFmtId="0" fontId="0" fillId="0" borderId="84" xfId="0" applyBorder="1" applyAlignment="1">
      <alignment horizontal="left" vertical="top" wrapText="1"/>
    </xf>
    <xf numFmtId="0" fontId="0" fillId="0" borderId="80" xfId="0" applyBorder="1" applyAlignment="1">
      <alignment horizontal="left" vertical="top" wrapText="1"/>
    </xf>
    <xf numFmtId="0" fontId="37" fillId="21" borderId="70" xfId="0" applyFont="1" applyFill="1" applyBorder="1" applyAlignment="1">
      <alignment horizontal="center" wrapText="1"/>
    </xf>
    <xf numFmtId="0" fontId="37" fillId="21" borderId="54" xfId="0" applyFont="1" applyFill="1" applyBorder="1" applyAlignment="1">
      <alignment horizontal="center" wrapText="1"/>
    </xf>
    <xf numFmtId="0" fontId="33" fillId="0" borderId="129" xfId="0" applyFont="1" applyBorder="1" applyAlignment="1">
      <alignment horizontal="center"/>
    </xf>
    <xf numFmtId="0" fontId="33" fillId="0" borderId="130" xfId="0" applyFont="1" applyBorder="1" applyAlignment="1">
      <alignment horizontal="center"/>
    </xf>
    <xf numFmtId="0" fontId="33" fillId="0" borderId="131" xfId="0" applyFont="1" applyBorder="1" applyAlignment="1">
      <alignment horizontal="center"/>
    </xf>
    <xf numFmtId="0" fontId="37" fillId="21" borderId="70" xfId="0" applyFont="1" applyFill="1" applyBorder="1" applyAlignment="1">
      <alignment horizontal="center" vertical="center" wrapText="1"/>
    </xf>
    <xf numFmtId="0" fontId="37" fillId="21" borderId="48" xfId="0" applyFont="1" applyFill="1" applyBorder="1" applyAlignment="1">
      <alignment horizontal="center" vertical="center" wrapText="1"/>
    </xf>
    <xf numFmtId="0" fontId="37" fillId="21" borderId="70" xfId="0" applyFont="1" applyFill="1" applyBorder="1" applyAlignment="1">
      <alignment horizontal="center" vertical="center"/>
    </xf>
    <xf numFmtId="0" fontId="37" fillId="21" borderId="48" xfId="0" applyFont="1" applyFill="1" applyBorder="1" applyAlignment="1">
      <alignment horizontal="center" vertical="center"/>
    </xf>
    <xf numFmtId="0" fontId="37" fillId="21" borderId="53" xfId="0" applyFont="1" applyFill="1" applyBorder="1" applyAlignment="1">
      <alignment horizontal="center" vertical="center"/>
    </xf>
    <xf numFmtId="0" fontId="37" fillId="21" borderId="49" xfId="0" applyFont="1" applyFill="1" applyBorder="1" applyAlignment="1">
      <alignment horizontal="center" vertical="center"/>
    </xf>
    <xf numFmtId="0" fontId="34" fillId="0" borderId="129" xfId="0" applyFont="1" applyBorder="1" applyAlignment="1">
      <alignment horizontal="center"/>
    </xf>
    <xf numFmtId="0" fontId="34" fillId="0" borderId="130" xfId="0" applyFont="1" applyBorder="1" applyAlignment="1">
      <alignment horizontal="center"/>
    </xf>
    <xf numFmtId="0" fontId="34" fillId="0" borderId="131" xfId="0" applyFont="1" applyBorder="1" applyAlignment="1">
      <alignment horizontal="center"/>
    </xf>
    <xf numFmtId="0" fontId="35" fillId="18" borderId="53" xfId="0" applyFont="1" applyFill="1" applyBorder="1" applyAlignment="1">
      <alignment horizontal="center" vertical="center"/>
    </xf>
    <xf numFmtId="0" fontId="35" fillId="18" borderId="49" xfId="0" applyFont="1" applyFill="1" applyBorder="1" applyAlignment="1">
      <alignment horizontal="center" vertical="center"/>
    </xf>
    <xf numFmtId="0" fontId="35" fillId="18" borderId="70" xfId="0" applyFont="1" applyFill="1" applyBorder="1" applyAlignment="1">
      <alignment horizontal="center" vertical="center"/>
    </xf>
    <xf numFmtId="0" fontId="35" fillId="18" borderId="48" xfId="0" applyFont="1" applyFill="1" applyBorder="1" applyAlignment="1">
      <alignment horizontal="center" vertical="center"/>
    </xf>
    <xf numFmtId="0" fontId="35" fillId="18" borderId="70" xfId="0" applyFont="1" applyFill="1" applyBorder="1" applyAlignment="1">
      <alignment horizontal="center" vertical="center" wrapText="1"/>
    </xf>
    <xf numFmtId="0" fontId="35" fillId="18" borderId="48" xfId="0" applyFont="1" applyFill="1" applyBorder="1" applyAlignment="1">
      <alignment horizontal="center" vertical="center" wrapText="1"/>
    </xf>
    <xf numFmtId="0" fontId="35" fillId="18" borderId="70" xfId="0" applyFont="1" applyFill="1" applyBorder="1" applyAlignment="1">
      <alignment horizontal="center" wrapText="1"/>
    </xf>
    <xf numFmtId="0" fontId="35" fillId="18" borderId="54" xfId="0" applyFont="1" applyFill="1" applyBorder="1" applyAlignment="1">
      <alignment horizontal="center"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8"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31" xfId="0" applyFont="1" applyBorder="1" applyAlignment="1">
      <alignment horizontal="left" vertical="top" wrapText="1"/>
    </xf>
    <xf numFmtId="0" fontId="28" fillId="0" borderId="32" xfId="0" applyFont="1" applyBorder="1" applyAlignment="1">
      <alignment horizontal="left" vertical="top" wrapText="1"/>
    </xf>
    <xf numFmtId="0" fontId="28" fillId="0" borderId="33" xfId="0" applyFont="1" applyBorder="1" applyAlignment="1">
      <alignment horizontal="left" vertical="top" wrapText="1"/>
    </xf>
    <xf numFmtId="0" fontId="0" fillId="23" borderId="70" xfId="0" applyFill="1" applyBorder="1" applyAlignment="1">
      <alignment horizontal="center" vertical="center"/>
    </xf>
    <xf numFmtId="0" fontId="0" fillId="23" borderId="133" xfId="0" applyFill="1" applyBorder="1" applyAlignment="1">
      <alignment horizontal="center" vertical="center"/>
    </xf>
    <xf numFmtId="0" fontId="16" fillId="26" borderId="70" xfId="0" applyFont="1" applyFill="1" applyBorder="1" applyAlignment="1">
      <alignment horizontal="center" vertical="center"/>
    </xf>
    <xf numFmtId="0" fontId="16" fillId="26" borderId="133" xfId="0" applyFont="1" applyFill="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0" fontId="34" fillId="0" borderId="109" xfId="0" applyFont="1" applyBorder="1" applyAlignment="1">
      <alignment horizontal="center" vertical="center"/>
    </xf>
    <xf numFmtId="0" fontId="34" fillId="0" borderId="110" xfId="0" applyFont="1" applyBorder="1" applyAlignment="1">
      <alignment horizontal="center" vertical="center"/>
    </xf>
    <xf numFmtId="0" fontId="34" fillId="0" borderId="111" xfId="0" applyFont="1" applyBorder="1" applyAlignment="1">
      <alignment horizontal="center" vertical="center"/>
    </xf>
    <xf numFmtId="0" fontId="16" fillId="26" borderId="132" xfId="0" applyFont="1" applyFill="1" applyBorder="1" applyAlignment="1">
      <alignment horizontal="center" vertical="center" wrapText="1"/>
    </xf>
    <xf numFmtId="0" fontId="16" fillId="26" borderId="114" xfId="0" applyFont="1" applyFill="1" applyBorder="1" applyAlignment="1">
      <alignment horizontal="center" vertical="center" wrapText="1"/>
    </xf>
    <xf numFmtId="0" fontId="16" fillId="26" borderId="0" xfId="0" applyFont="1" applyFill="1" applyAlignment="1">
      <alignment horizontal="center" vertical="center"/>
    </xf>
    <xf numFmtId="0" fontId="0" fillId="23" borderId="132" xfId="0" applyFill="1" applyBorder="1" applyAlignment="1">
      <alignment horizontal="center" vertical="center" wrapText="1"/>
    </xf>
    <xf numFmtId="0" fontId="0" fillId="23" borderId="114" xfId="0" applyFill="1" applyBorder="1" applyAlignment="1">
      <alignment horizontal="center" vertical="center" wrapText="1"/>
    </xf>
    <xf numFmtId="0" fontId="0" fillId="23" borderId="0" xfId="0" applyFill="1" applyAlignment="1">
      <alignment horizontal="center" vertical="center"/>
    </xf>
    <xf numFmtId="0" fontId="6" fillId="0" borderId="0" xfId="0" applyFont="1" applyAlignment="1">
      <alignment horizontal="center" wrapText="1"/>
    </xf>
    <xf numFmtId="0" fontId="49" fillId="5" borderId="32" xfId="0" applyFont="1" applyFill="1" applyBorder="1" applyAlignment="1">
      <alignment horizontal="center"/>
    </xf>
    <xf numFmtId="0" fontId="49" fillId="15" borderId="32" xfId="0" applyFont="1" applyFill="1" applyBorder="1" applyAlignment="1">
      <alignment horizontal="center"/>
    </xf>
    <xf numFmtId="0" fontId="49" fillId="31" borderId="32" xfId="0" applyFont="1" applyFill="1" applyBorder="1" applyAlignment="1">
      <alignment horizontal="center"/>
    </xf>
    <xf numFmtId="0" fontId="49" fillId="0" borderId="32" xfId="0" applyFont="1" applyBorder="1" applyAlignment="1">
      <alignment horizontal="center"/>
    </xf>
    <xf numFmtId="0" fontId="60" fillId="32" borderId="79" xfId="0" applyFont="1" applyFill="1" applyBorder="1" applyAlignment="1">
      <alignment horizontal="center" vertical="center"/>
    </xf>
    <xf numFmtId="0" fontId="60" fillId="32" borderId="84" xfId="0" applyFont="1" applyFill="1" applyBorder="1" applyAlignment="1">
      <alignment horizontal="center" vertical="center"/>
    </xf>
    <xf numFmtId="0" fontId="60" fillId="32" borderId="80" xfId="0" applyFont="1" applyFill="1" applyBorder="1" applyAlignment="1">
      <alignment horizontal="center" vertical="center"/>
    </xf>
    <xf numFmtId="0" fontId="60" fillId="32" borderId="79" xfId="0" applyFont="1" applyFill="1" applyBorder="1" applyAlignment="1">
      <alignment horizontal="center"/>
    </xf>
    <xf numFmtId="0" fontId="60" fillId="32" borderId="84" xfId="0" applyFont="1" applyFill="1" applyBorder="1" applyAlignment="1">
      <alignment horizontal="center"/>
    </xf>
    <xf numFmtId="0" fontId="60" fillId="32" borderId="80" xfId="0" applyFont="1" applyFill="1" applyBorder="1" applyAlignment="1">
      <alignment horizontal="center"/>
    </xf>
    <xf numFmtId="0" fontId="60" fillId="35" borderId="0" xfId="0" applyFont="1" applyFill="1" applyAlignment="1">
      <alignment horizontal="center"/>
    </xf>
    <xf numFmtId="0" fontId="60" fillId="21" borderId="0" xfId="0" applyFont="1" applyFill="1" applyAlignment="1">
      <alignment horizontal="center"/>
    </xf>
    <xf numFmtId="0" fontId="60" fillId="7" borderId="0" xfId="0" applyFont="1" applyFill="1" applyAlignment="1">
      <alignment horizontal="center"/>
    </xf>
    <xf numFmtId="0" fontId="60" fillId="31" borderId="0" xfId="0" applyFont="1" applyFill="1" applyAlignment="1">
      <alignment horizontal="center"/>
    </xf>
    <xf numFmtId="0" fontId="61" fillId="37" borderId="18" xfId="0" applyFont="1" applyFill="1" applyBorder="1" applyAlignment="1">
      <alignment horizontal="center" vertical="center"/>
    </xf>
    <xf numFmtId="0" fontId="61" fillId="37" borderId="0" xfId="0" applyFont="1" applyFill="1" applyAlignment="1">
      <alignment horizontal="center" vertical="center"/>
    </xf>
    <xf numFmtId="0" fontId="61" fillId="12" borderId="0" xfId="0" applyFont="1" applyFill="1" applyAlignment="1">
      <alignment horizontal="center" vertical="center"/>
    </xf>
    <xf numFmtId="0" fontId="60" fillId="14" borderId="0" xfId="0" applyFont="1" applyFill="1" applyAlignment="1">
      <alignment horizontal="center"/>
    </xf>
    <xf numFmtId="0" fontId="60" fillId="36" borderId="18" xfId="0" applyFont="1" applyFill="1" applyBorder="1" applyAlignment="1">
      <alignment horizontal="center"/>
    </xf>
    <xf numFmtId="0" fontId="60" fillId="36" borderId="0" xfId="0" applyFont="1" applyFill="1" applyAlignment="1">
      <alignment horizontal="center"/>
    </xf>
    <xf numFmtId="0" fontId="60" fillId="6" borderId="0" xfId="0" applyFont="1" applyFill="1" applyAlignment="1">
      <alignment horizontal="center"/>
    </xf>
    <xf numFmtId="0" fontId="60" fillId="6" borderId="0" xfId="0" applyFont="1" applyFill="1" applyAlignment="1">
      <alignment horizontal="center" vertical="center"/>
    </xf>
    <xf numFmtId="0" fontId="60" fillId="15" borderId="0" xfId="0" applyFont="1" applyFill="1" applyAlignment="1">
      <alignment horizontal="center"/>
    </xf>
    <xf numFmtId="0" fontId="60" fillId="13" borderId="0" xfId="0" applyFont="1" applyFill="1" applyAlignment="1">
      <alignment horizontal="center"/>
    </xf>
    <xf numFmtId="0" fontId="60" fillId="0" borderId="0" xfId="0" applyFont="1" applyAlignment="1">
      <alignment horizontal="center" vertical="center" wrapText="1"/>
    </xf>
    <xf numFmtId="0" fontId="60" fillId="5" borderId="0" xfId="0" applyFont="1" applyFill="1" applyAlignment="1">
      <alignment horizontal="center"/>
    </xf>
    <xf numFmtId="0" fontId="61" fillId="18" borderId="0" xfId="0" applyFont="1" applyFill="1" applyAlignment="1">
      <alignment horizontal="center" vertical="center"/>
    </xf>
    <xf numFmtId="0" fontId="61" fillId="16" borderId="0" xfId="0" applyFont="1" applyFill="1" applyAlignment="1">
      <alignment horizontal="center" vertical="center"/>
    </xf>
    <xf numFmtId="0" fontId="61" fillId="34" borderId="0" xfId="0" applyFont="1" applyFill="1" applyAlignment="1">
      <alignment horizontal="center" vertical="center"/>
    </xf>
    <xf numFmtId="0" fontId="61" fillId="41" borderId="0" xfId="0" applyFont="1" applyFill="1" applyAlignment="1">
      <alignment horizontal="center" vertical="center"/>
    </xf>
    <xf numFmtId="0" fontId="60" fillId="42" borderId="0" xfId="0" applyFont="1" applyFill="1" applyAlignment="1">
      <alignment horizontal="center" vertical="center" wrapText="1"/>
    </xf>
    <xf numFmtId="0" fontId="60" fillId="38" borderId="0" xfId="0" applyFont="1" applyFill="1" applyAlignment="1">
      <alignment horizontal="center"/>
    </xf>
    <xf numFmtId="0" fontId="60" fillId="28" borderId="0" xfId="0" applyFont="1" applyFill="1" applyAlignment="1">
      <alignment horizontal="center"/>
    </xf>
    <xf numFmtId="0" fontId="61" fillId="2" borderId="0" xfId="0" applyFont="1" applyFill="1" applyAlignment="1">
      <alignment horizontal="center" vertical="center"/>
    </xf>
  </cellXfs>
  <cellStyles count="12">
    <cellStyle name="Comma 2" xfId="7"/>
    <cellStyle name="Heading" xfId="5"/>
    <cellStyle name="Heading1" xfId="6"/>
    <cellStyle name="Lien hypertexte" xfId="3" builtinId="8"/>
    <cellStyle name="Normal" xfId="0" builtinId="0"/>
    <cellStyle name="Normal 2" xfId="1"/>
    <cellStyle name="Normal 3" xfId="4"/>
    <cellStyle name="Normal 4" xfId="11"/>
    <cellStyle name="Percent 2" xfId="8"/>
    <cellStyle name="Pourcentage" xfId="2" builtinId="5"/>
    <cellStyle name="Result" xfId="9"/>
    <cellStyle name="Result2" xfId="10"/>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1" formatCode=";;;"/>
      <fill>
        <patternFill patternType="lightUp"/>
      </fill>
    </dxf>
    <dxf>
      <numFmt numFmtId="171" formatCode=";;;"/>
      <fill>
        <patternFill patternType="lightUp"/>
      </fill>
    </dxf>
    <dxf>
      <font>
        <b/>
        <i val="0"/>
        <color theme="7" tint="-0.499984740745262"/>
      </font>
      <fill>
        <patternFill>
          <bgColor theme="7" tint="0.79998168889431442"/>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39994506668294322"/>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800000"/>
      </font>
      <fill>
        <patternFill>
          <bgColor rgb="FFFFCCCC"/>
        </patternFill>
      </fill>
      <border>
        <left style="thin">
          <color rgb="FF800000"/>
        </left>
        <right style="thin">
          <color rgb="FF800000"/>
        </right>
        <top style="thin">
          <color rgb="FF800000"/>
        </top>
        <bottom style="thin">
          <color rgb="FF800000"/>
        </bottom>
      </border>
    </dxf>
    <dxf>
      <font>
        <b/>
        <i val="0"/>
        <color rgb="FFFF0000"/>
      </font>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border>
        <left style="thin">
          <color auto="1"/>
        </left>
        <right style="thin">
          <color auto="1"/>
        </right>
        <top style="thin">
          <color auto="1"/>
        </top>
        <bottom style="thin">
          <color auto="1"/>
        </bottom>
        <vertical/>
        <horizontal/>
      </border>
    </dxf>
    <dxf>
      <font>
        <b/>
        <i val="0"/>
        <color rgb="FF800000"/>
      </font>
      <fill>
        <patternFill>
          <bgColor rgb="FFFFCCCC"/>
        </patternFill>
      </fill>
    </dxf>
    <dxf>
      <numFmt numFmtId="171"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numFmt numFmtId="171" formatCode=";;;"/>
      <fill>
        <patternFill patternType="lightUp"/>
      </fill>
    </dxf>
    <dxf>
      <numFmt numFmtId="171"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5"/>
      </font>
    </dxf>
    <dxf>
      <font>
        <b/>
        <i val="0"/>
        <color theme="5"/>
      </font>
    </dxf>
    <dxf>
      <font>
        <b/>
        <i val="0"/>
        <color rgb="FFFF0000"/>
      </font>
    </dxf>
  </dxfs>
  <tableStyles count="0" defaultTableStyle="TableStyleMedium2" defaultPivotStyle="PivotStyleLight16"/>
  <colors>
    <mruColors>
      <color rgb="FFD8A2F6"/>
      <color rgb="FFFFCCCC"/>
      <color rgb="FF800000"/>
      <color rgb="FFFF5050"/>
      <color rgb="FFCC000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Fertilisation!A6"/><Relationship Id="rId7" Type="http://schemas.openxmlformats.org/officeDocument/2006/relationships/hyperlink" Target="#Identification!A1"/><Relationship Id="rId12" Type="http://schemas.openxmlformats.org/officeDocument/2006/relationships/image" Target="../media/image5.svg"/><Relationship Id="rId2" Type="http://schemas.openxmlformats.org/officeDocument/2006/relationships/hyperlink" Target="#Phyto!A6"/><Relationship Id="rId1" Type="http://schemas.openxmlformats.org/officeDocument/2006/relationships/image" Target="../media/image1.png"/><Relationship Id="rId6" Type="http://schemas.openxmlformats.org/officeDocument/2006/relationships/hyperlink" Target="#Biodiversit&#233;!A6"/><Relationship Id="rId11" Type="http://schemas.openxmlformats.org/officeDocument/2006/relationships/image" Target="../media/image3.png"/><Relationship Id="rId5" Type="http://schemas.openxmlformats.org/officeDocument/2006/relationships/hyperlink" Target="#SYNTHESE!A1"/><Relationship Id="rId10" Type="http://schemas.openxmlformats.org/officeDocument/2006/relationships/hyperlink" Target="#Surfaces!A1"/><Relationship Id="rId4" Type="http://schemas.openxmlformats.org/officeDocument/2006/relationships/hyperlink" Target="#Irrigation!A6"/><Relationship Id="rId9"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hyperlink" Target="#Identification!B53:B75"/><Relationship Id="rId7" Type="http://schemas.openxmlformats.org/officeDocument/2006/relationships/image" Target="../media/image1.png"/><Relationship Id="rId2" Type="http://schemas.openxmlformats.org/officeDocument/2006/relationships/hyperlink" Target="#Identification!B29:B51"/><Relationship Id="rId1" Type="http://schemas.openxmlformats.org/officeDocument/2006/relationships/hyperlink" Target="#Identification!B7:B26"/><Relationship Id="rId6" Type="http://schemas.openxmlformats.org/officeDocument/2006/relationships/hyperlink" Target="#Accueil!A1"/><Relationship Id="rId5" Type="http://schemas.openxmlformats.org/officeDocument/2006/relationships/hyperlink" Target="#Identification!B102:B122"/><Relationship Id="rId4" Type="http://schemas.openxmlformats.org/officeDocument/2006/relationships/hyperlink" Target="#Identification!B77:B101"/></Relationships>
</file>

<file path=xl/drawings/_rels/drawing3.xml.rels><?xml version="1.0" encoding="UTF-8" standalone="yes"?>
<Relationships xmlns="http://schemas.openxmlformats.org/package/2006/relationships"><Relationship Id="rId3" Type="http://schemas.openxmlformats.org/officeDocument/2006/relationships/hyperlink" Target="#Surfaces!B18:B65"/><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Surfaces!B203:B228"/><Relationship Id="rId5" Type="http://schemas.openxmlformats.org/officeDocument/2006/relationships/hyperlink" Target="#Surfaces!B169:B201"/><Relationship Id="rId4" Type="http://schemas.openxmlformats.org/officeDocument/2006/relationships/hyperlink" Target="#Surfaces!B75:B167"/></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8" Type="http://schemas.openxmlformats.org/officeDocument/2006/relationships/hyperlink" Target="#Biodiversit&#233;!B96:B122"/><Relationship Id="rId3" Type="http://schemas.openxmlformats.org/officeDocument/2006/relationships/hyperlink" Target="#Biodiversit&#233;!B232:B251"/><Relationship Id="rId7" Type="http://schemas.openxmlformats.org/officeDocument/2006/relationships/hyperlink" Target="#Biodiversit&#233;!B124:B163"/><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Biodiversit&#233;!B165:B189"/><Relationship Id="rId11" Type="http://schemas.openxmlformats.org/officeDocument/2006/relationships/hyperlink" Target="#Biodiversit&#233;!B253:B273"/><Relationship Id="rId5" Type="http://schemas.openxmlformats.org/officeDocument/2006/relationships/hyperlink" Target="#Biodiversit&#233;!B191:B208"/><Relationship Id="rId10" Type="http://schemas.openxmlformats.org/officeDocument/2006/relationships/hyperlink" Target="#Biodiversit&#233;!B7:B74"/><Relationship Id="rId4" Type="http://schemas.openxmlformats.org/officeDocument/2006/relationships/hyperlink" Target="#Biodiversit&#233;!B210:B230"/><Relationship Id="rId9" Type="http://schemas.openxmlformats.org/officeDocument/2006/relationships/hyperlink" Target="#Biodiversit&#233;!B77:B94"/></Relationships>
</file>

<file path=xl/drawings/_rels/drawing6.xml.rels><?xml version="1.0" encoding="UTF-8" standalone="yes"?>
<Relationships xmlns="http://schemas.openxmlformats.org/package/2006/relationships"><Relationship Id="rId8" Type="http://schemas.openxmlformats.org/officeDocument/2006/relationships/hyperlink" Target="#Phyto!B153:B192"/><Relationship Id="rId13" Type="http://schemas.openxmlformats.org/officeDocument/2006/relationships/hyperlink" Target="#Phyto!B363:B384"/><Relationship Id="rId3" Type="http://schemas.openxmlformats.org/officeDocument/2006/relationships/hyperlink" Target="#Phyto!B329:B361"/><Relationship Id="rId7" Type="http://schemas.openxmlformats.org/officeDocument/2006/relationships/hyperlink" Target="#Phyto!B125:B151"/><Relationship Id="rId12" Type="http://schemas.openxmlformats.org/officeDocument/2006/relationships/hyperlink" Target="#Phyto!B295:B327"/><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Phyto!B57:B122"/><Relationship Id="rId11" Type="http://schemas.openxmlformats.org/officeDocument/2006/relationships/hyperlink" Target="#Phyto!B254:B293"/><Relationship Id="rId5" Type="http://schemas.openxmlformats.org/officeDocument/2006/relationships/hyperlink" Target="#Phyto!B30:B55"/><Relationship Id="rId10" Type="http://schemas.openxmlformats.org/officeDocument/2006/relationships/hyperlink" Target="#Phyto!B229:B252"/><Relationship Id="rId4" Type="http://schemas.openxmlformats.org/officeDocument/2006/relationships/hyperlink" Target="#Phyto!B7:B28"/><Relationship Id="rId9" Type="http://schemas.openxmlformats.org/officeDocument/2006/relationships/hyperlink" Target="#Phyto!B194:B227"/></Relationships>
</file>

<file path=xl/drawings/_rels/drawing7.xml.rels><?xml version="1.0" encoding="UTF-8" standalone="yes"?>
<Relationships xmlns="http://schemas.openxmlformats.org/package/2006/relationships"><Relationship Id="rId8" Type="http://schemas.openxmlformats.org/officeDocument/2006/relationships/hyperlink" Target="#Fertilisation!B82:B110"/><Relationship Id="rId3" Type="http://schemas.openxmlformats.org/officeDocument/2006/relationships/hyperlink" Target="#Fertilisation!B317:B343"/><Relationship Id="rId7" Type="http://schemas.openxmlformats.org/officeDocument/2006/relationships/hyperlink" Target="#Fertilisation!B249:B291"/><Relationship Id="rId12" Type="http://schemas.openxmlformats.org/officeDocument/2006/relationships/hyperlink" Target="#Fertilisation!B345:B365"/><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Fertilisation!B223:B247"/><Relationship Id="rId11" Type="http://schemas.openxmlformats.org/officeDocument/2006/relationships/hyperlink" Target="#Fertilisation!B7:B80"/><Relationship Id="rId5" Type="http://schemas.openxmlformats.org/officeDocument/2006/relationships/hyperlink" Target="#Fertilisation!B199:B221"/><Relationship Id="rId10" Type="http://schemas.openxmlformats.org/officeDocument/2006/relationships/hyperlink" Target="#Fertilisation!B134:B197"/><Relationship Id="rId4" Type="http://schemas.openxmlformats.org/officeDocument/2006/relationships/hyperlink" Target="#Fertilisation!B293:B315"/><Relationship Id="rId9" Type="http://schemas.openxmlformats.org/officeDocument/2006/relationships/hyperlink" Target="#Fertilisation!B112:B132"/></Relationships>
</file>

<file path=xl/drawings/_rels/drawing8.xml.rels><?xml version="1.0" encoding="UTF-8" standalone="yes"?>
<Relationships xmlns="http://schemas.openxmlformats.org/package/2006/relationships"><Relationship Id="rId8" Type="http://schemas.openxmlformats.org/officeDocument/2006/relationships/hyperlink" Target="#Irrigation!B166:B195"/><Relationship Id="rId3" Type="http://schemas.openxmlformats.org/officeDocument/2006/relationships/hyperlink" Target="#Irrigation!B7:B67"/><Relationship Id="rId7" Type="http://schemas.openxmlformats.org/officeDocument/2006/relationships/hyperlink" Target="#Irrigation!B144:B164"/><Relationship Id="rId2" Type="http://schemas.openxmlformats.org/officeDocument/2006/relationships/image" Target="../media/image1.png"/><Relationship Id="rId1" Type="http://schemas.openxmlformats.org/officeDocument/2006/relationships/hyperlink" Target="#Accueil!A1"/><Relationship Id="rId6" Type="http://schemas.openxmlformats.org/officeDocument/2006/relationships/hyperlink" Target="#Irrigation!B129:B142"/><Relationship Id="rId11" Type="http://schemas.openxmlformats.org/officeDocument/2006/relationships/hyperlink" Target="#Irrigation!B248:B268"/><Relationship Id="rId5" Type="http://schemas.openxmlformats.org/officeDocument/2006/relationships/hyperlink" Target="#Irrigation!B105:B127"/><Relationship Id="rId10" Type="http://schemas.openxmlformats.org/officeDocument/2006/relationships/hyperlink" Target="#Irrigation!B226:B246"/><Relationship Id="rId4" Type="http://schemas.openxmlformats.org/officeDocument/2006/relationships/hyperlink" Target="#Irrigation!B69:B103"/><Relationship Id="rId9" Type="http://schemas.openxmlformats.org/officeDocument/2006/relationships/hyperlink" Target="#Irrigation!B197:B224"/></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456915</xdr:colOff>
      <xdr:row>7</xdr:row>
      <xdr:rowOff>137000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19125" y="200025"/>
          <a:ext cx="2276190" cy="1276190"/>
        </a:xfrm>
        <a:prstGeom prst="rect">
          <a:avLst/>
        </a:prstGeom>
      </xdr:spPr>
    </xdr:pic>
    <xdr:clientData/>
  </xdr:twoCellAnchor>
  <xdr:twoCellAnchor>
    <xdr:from>
      <xdr:col>6</xdr:col>
      <xdr:colOff>132850</xdr:colOff>
      <xdr:row>22</xdr:row>
      <xdr:rowOff>66675</xdr:rowOff>
    </xdr:from>
    <xdr:to>
      <xdr:col>8</xdr:col>
      <xdr:colOff>247150</xdr:colOff>
      <xdr:row>24</xdr:row>
      <xdr:rowOff>104775</xdr:rowOff>
    </xdr:to>
    <xdr:sp macro="" textlink="">
      <xdr:nvSpPr>
        <xdr:cNvPr id="18" name="Parallelogram 17">
          <a:hlinkClick xmlns:r="http://schemas.openxmlformats.org/officeDocument/2006/relationships" r:id="rId2"/>
          <a:extLst>
            <a:ext uri="{FF2B5EF4-FFF2-40B4-BE49-F238E27FC236}">
              <a16:creationId xmlns:a16="http://schemas.microsoft.com/office/drawing/2014/main" id="{00000000-0008-0000-0100-000012000000}"/>
            </a:ext>
          </a:extLst>
        </xdr:cNvPr>
        <xdr:cNvSpPr/>
      </xdr:nvSpPr>
      <xdr:spPr>
        <a:xfrm>
          <a:off x="3790450" y="4629150"/>
          <a:ext cx="13335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PHYTO</a:t>
          </a:r>
        </a:p>
      </xdr:txBody>
    </xdr:sp>
    <xdr:clientData/>
  </xdr:twoCellAnchor>
  <xdr:twoCellAnchor>
    <xdr:from>
      <xdr:col>8</xdr:col>
      <xdr:colOff>343400</xdr:colOff>
      <xdr:row>22</xdr:row>
      <xdr:rowOff>66675</xdr:rowOff>
    </xdr:from>
    <xdr:to>
      <xdr:col>10</xdr:col>
      <xdr:colOff>456200</xdr:colOff>
      <xdr:row>24</xdr:row>
      <xdr:rowOff>104775</xdr:rowOff>
    </xdr:to>
    <xdr:sp macro="" textlink="">
      <xdr:nvSpPr>
        <xdr:cNvPr id="21" name="Parallelogram 20">
          <a:hlinkClick xmlns:r="http://schemas.openxmlformats.org/officeDocument/2006/relationships" r:id="rId3"/>
          <a:extLst>
            <a:ext uri="{FF2B5EF4-FFF2-40B4-BE49-F238E27FC236}">
              <a16:creationId xmlns:a16="http://schemas.microsoft.com/office/drawing/2014/main" id="{00000000-0008-0000-0100-000015000000}"/>
            </a:ext>
          </a:extLst>
        </xdr:cNvPr>
        <xdr:cNvSpPr/>
      </xdr:nvSpPr>
      <xdr:spPr>
        <a:xfrm>
          <a:off x="5220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FERTILISATION</a:t>
          </a:r>
        </a:p>
      </xdr:txBody>
    </xdr:sp>
    <xdr:clientData/>
  </xdr:twoCellAnchor>
  <xdr:twoCellAnchor>
    <xdr:from>
      <xdr:col>10</xdr:col>
      <xdr:colOff>552450</xdr:colOff>
      <xdr:row>22</xdr:row>
      <xdr:rowOff>66675</xdr:rowOff>
    </xdr:from>
    <xdr:to>
      <xdr:col>13</xdr:col>
      <xdr:colOff>55650</xdr:colOff>
      <xdr:row>24</xdr:row>
      <xdr:rowOff>104775</xdr:rowOff>
    </xdr:to>
    <xdr:sp macro="" textlink="">
      <xdr:nvSpPr>
        <xdr:cNvPr id="24" name="Parallelogram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64845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IRRIGATION </a:t>
          </a:r>
        </a:p>
      </xdr:txBody>
    </xdr:sp>
    <xdr:clientData/>
  </xdr:twoCellAnchor>
  <xdr:twoCellAnchor>
    <xdr:from>
      <xdr:col>6</xdr:col>
      <xdr:colOff>371475</xdr:colOff>
      <xdr:row>31</xdr:row>
      <xdr:rowOff>95250</xdr:rowOff>
    </xdr:from>
    <xdr:to>
      <xdr:col>9</xdr:col>
      <xdr:colOff>485775</xdr:colOff>
      <xdr:row>33</xdr:row>
      <xdr:rowOff>133350</xdr:rowOff>
    </xdr:to>
    <xdr:sp macro="" textlink="">
      <xdr:nvSpPr>
        <xdr:cNvPr id="27" name="Parallelogram 26">
          <a:hlinkClick xmlns:r="http://schemas.openxmlformats.org/officeDocument/2006/relationships" r:id="rId5"/>
          <a:extLst>
            <a:ext uri="{FF2B5EF4-FFF2-40B4-BE49-F238E27FC236}">
              <a16:creationId xmlns:a16="http://schemas.microsoft.com/office/drawing/2014/main" id="{00000000-0008-0000-0100-00001B000000}"/>
            </a:ext>
          </a:extLst>
        </xdr:cNvPr>
        <xdr:cNvSpPr/>
      </xdr:nvSpPr>
      <xdr:spPr>
        <a:xfrm>
          <a:off x="4029075" y="4657725"/>
          <a:ext cx="1943100" cy="419100"/>
        </a:xfrm>
        <a:prstGeom prst="parallelogram">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SYNTHÈSE</a:t>
          </a:r>
        </a:p>
      </xdr:txBody>
    </xdr:sp>
    <xdr:clientData/>
  </xdr:twoCellAnchor>
  <xdr:twoCellAnchor>
    <xdr:from>
      <xdr:col>3</xdr:col>
      <xdr:colOff>533400</xdr:colOff>
      <xdr:row>22</xdr:row>
      <xdr:rowOff>66675</xdr:rowOff>
    </xdr:from>
    <xdr:to>
      <xdr:col>6</xdr:col>
      <xdr:colOff>36600</xdr:colOff>
      <xdr:row>24</xdr:row>
      <xdr:rowOff>104775</xdr:rowOff>
    </xdr:to>
    <xdr:sp macro="" textlink="">
      <xdr:nvSpPr>
        <xdr:cNvPr id="13" name="Parallelogram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a:xfrm>
          <a:off x="2362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BIODIVERSITÉ </a:t>
          </a:r>
        </a:p>
      </xdr:txBody>
    </xdr:sp>
    <xdr:clientData/>
  </xdr:twoCellAnchor>
  <xdr:twoCellAnchor>
    <xdr:from>
      <xdr:col>3</xdr:col>
      <xdr:colOff>600076</xdr:colOff>
      <xdr:row>13</xdr:row>
      <xdr:rowOff>123825</xdr:rowOff>
    </xdr:from>
    <xdr:to>
      <xdr:col>7</xdr:col>
      <xdr:colOff>104776</xdr:colOff>
      <xdr:row>15</xdr:row>
      <xdr:rowOff>161925</xdr:rowOff>
    </xdr:to>
    <xdr:grpSp>
      <xdr:nvGrpSpPr>
        <xdr:cNvPr id="15" name="Group 14">
          <a:hlinkClick xmlns:r="http://schemas.openxmlformats.org/officeDocument/2006/relationships" r:id="rId7"/>
          <a:extLst>
            <a:ext uri="{FF2B5EF4-FFF2-40B4-BE49-F238E27FC236}">
              <a16:creationId xmlns:a16="http://schemas.microsoft.com/office/drawing/2014/main" id="{00000000-0008-0000-0100-00000F000000}"/>
            </a:ext>
          </a:extLst>
        </xdr:cNvPr>
        <xdr:cNvGrpSpPr/>
      </xdr:nvGrpSpPr>
      <xdr:grpSpPr>
        <a:xfrm>
          <a:off x="2428876" y="2781300"/>
          <a:ext cx="1943100" cy="419100"/>
          <a:chOff x="2428876" y="2781300"/>
          <a:chExt cx="1943100" cy="419100"/>
        </a:xfrm>
      </xdr:grpSpPr>
      <xdr:sp macro="" textlink="">
        <xdr:nvSpPr>
          <xdr:cNvPr id="3" name="Parallelogram 2">
            <a:extLst>
              <a:ext uri="{FF2B5EF4-FFF2-40B4-BE49-F238E27FC236}">
                <a16:creationId xmlns:a16="http://schemas.microsoft.com/office/drawing/2014/main" id="{00000000-0008-0000-0100-000003000000}"/>
              </a:ext>
            </a:extLst>
          </xdr:cNvPr>
          <xdr:cNvSpPr/>
        </xdr:nvSpPr>
        <xdr:spPr>
          <a:xfrm>
            <a:off x="2428876" y="2781300"/>
            <a:ext cx="1943100" cy="4191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IDENTIFICATION</a:t>
            </a:r>
          </a:p>
        </xdr:txBody>
      </xdr:sp>
      <xdr:pic>
        <xdr:nvPicPr>
          <xdr:cNvPr id="6" name="Graphic 5" descr="Information with solid fill">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3895725" y="2847975"/>
            <a:ext cx="285750" cy="285750"/>
          </a:xfrm>
          <a:prstGeom prst="rect">
            <a:avLst/>
          </a:prstGeom>
        </xdr:spPr>
      </xdr:pic>
    </xdr:grpSp>
    <xdr:clientData/>
  </xdr:twoCellAnchor>
  <xdr:twoCellAnchor>
    <xdr:from>
      <xdr:col>9</xdr:col>
      <xdr:colOff>476250</xdr:colOff>
      <xdr:row>13</xdr:row>
      <xdr:rowOff>123825</xdr:rowOff>
    </xdr:from>
    <xdr:to>
      <xdr:col>12</xdr:col>
      <xdr:colOff>591450</xdr:colOff>
      <xdr:row>15</xdr:row>
      <xdr:rowOff>160425</xdr:rowOff>
    </xdr:to>
    <xdr:grpSp>
      <xdr:nvGrpSpPr>
        <xdr:cNvPr id="14" name="Group 13">
          <a:hlinkClick xmlns:r="http://schemas.openxmlformats.org/officeDocument/2006/relationships" r:id="rId10"/>
          <a:extLst>
            <a:ext uri="{FF2B5EF4-FFF2-40B4-BE49-F238E27FC236}">
              <a16:creationId xmlns:a16="http://schemas.microsoft.com/office/drawing/2014/main" id="{00000000-0008-0000-0100-00000E000000}"/>
            </a:ext>
          </a:extLst>
        </xdr:cNvPr>
        <xdr:cNvGrpSpPr/>
      </xdr:nvGrpSpPr>
      <xdr:grpSpPr>
        <a:xfrm>
          <a:off x="5962650" y="2781300"/>
          <a:ext cx="1944000" cy="417600"/>
          <a:chOff x="5962650" y="2781300"/>
          <a:chExt cx="1944000" cy="417600"/>
        </a:xfrm>
      </xdr:grpSpPr>
      <xdr:sp macro="" textlink="">
        <xdr:nvSpPr>
          <xdr:cNvPr id="9" name="Parallelogram 8">
            <a:extLst>
              <a:ext uri="{FF2B5EF4-FFF2-40B4-BE49-F238E27FC236}">
                <a16:creationId xmlns:a16="http://schemas.microsoft.com/office/drawing/2014/main" id="{00000000-0008-0000-0100-000009000000}"/>
              </a:ext>
            </a:extLst>
          </xdr:cNvPr>
          <xdr:cNvSpPr/>
        </xdr:nvSpPr>
        <xdr:spPr>
          <a:xfrm>
            <a:off x="5962650" y="2781300"/>
            <a:ext cx="1944000" cy="4176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SURFACES</a:t>
            </a:r>
          </a:p>
        </xdr:txBody>
      </xdr:sp>
      <xdr:pic>
        <xdr:nvPicPr>
          <xdr:cNvPr id="12" name="Graphic 11" descr="Topography Map outline">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7258050" y="2838450"/>
            <a:ext cx="447675" cy="3524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6</xdr:row>
      <xdr:rowOff>38100</xdr:rowOff>
    </xdr:from>
    <xdr:to>
      <xdr:col>4</xdr:col>
      <xdr:colOff>495300</xdr:colOff>
      <xdr:row>7</xdr:row>
      <xdr:rowOff>144075</xdr:rowOff>
    </xdr:to>
    <xdr:sp macro="" textlink="">
      <xdr:nvSpPr>
        <xdr:cNvPr id="2" name="Parallelogram 1">
          <a:extLst>
            <a:ext uri="{FF2B5EF4-FFF2-40B4-BE49-F238E27FC236}">
              <a16:creationId xmlns:a16="http://schemas.microsoft.com/office/drawing/2014/main" id="{00000000-0008-0000-0200-000002000000}"/>
            </a:ext>
          </a:extLst>
        </xdr:cNvPr>
        <xdr:cNvSpPr/>
      </xdr:nvSpPr>
      <xdr:spPr>
        <a:xfrm>
          <a:off x="923925" y="1181100"/>
          <a:ext cx="2009775"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Contexte de l'audit</a:t>
          </a:r>
        </a:p>
      </xdr:txBody>
    </xdr:sp>
    <xdr:clientData/>
  </xdr:twoCellAnchor>
  <xdr:twoCellAnchor editAs="absolute">
    <xdr:from>
      <xdr:col>1</xdr:col>
      <xdr:colOff>400049</xdr:colOff>
      <xdr:row>8</xdr:row>
      <xdr:rowOff>152400</xdr:rowOff>
    </xdr:from>
    <xdr:to>
      <xdr:col>4</xdr:col>
      <xdr:colOff>229574</xdr:colOff>
      <xdr:row>10</xdr:row>
      <xdr:rowOff>76200</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1014692" y="1687606"/>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de l'audit</a:t>
          </a:r>
        </a:p>
      </xdr:txBody>
    </xdr:sp>
    <xdr:clientData/>
  </xdr:twoCellAnchor>
  <xdr:twoCellAnchor editAs="absolute">
    <xdr:from>
      <xdr:col>1</xdr:col>
      <xdr:colOff>400049</xdr:colOff>
      <xdr:row>12</xdr:row>
      <xdr:rowOff>153894</xdr:rowOff>
    </xdr:from>
    <xdr:to>
      <xdr:col>4</xdr:col>
      <xdr:colOff>229574</xdr:colOff>
      <xdr:row>14</xdr:row>
      <xdr:rowOff>77694</xdr:rowOff>
    </xdr:to>
    <xdr:sp macro="" textlink="">
      <xdr:nvSpPr>
        <xdr:cNvPr id="4" name="Rectangle: Rounded Corners 3">
          <a:extLst>
            <a:ext uri="{FF2B5EF4-FFF2-40B4-BE49-F238E27FC236}">
              <a16:creationId xmlns:a16="http://schemas.microsoft.com/office/drawing/2014/main" id="{00000000-0008-0000-0200-000004000000}"/>
            </a:ext>
          </a:extLst>
        </xdr:cNvPr>
        <xdr:cNvSpPr/>
      </xdr:nvSpPr>
      <xdr:spPr>
        <a:xfrm>
          <a:off x="1014692" y="2451100"/>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Type d'audit</a:t>
          </a:r>
        </a:p>
      </xdr:txBody>
    </xdr:sp>
    <xdr:clientData/>
  </xdr:twoCellAnchor>
  <xdr:twoCellAnchor editAs="absolute">
    <xdr:from>
      <xdr:col>1</xdr:col>
      <xdr:colOff>400049</xdr:colOff>
      <xdr:row>14</xdr:row>
      <xdr:rowOff>154641</xdr:rowOff>
    </xdr:from>
    <xdr:to>
      <xdr:col>4</xdr:col>
      <xdr:colOff>229574</xdr:colOff>
      <xdr:row>16</xdr:row>
      <xdr:rowOff>78441</xdr:rowOff>
    </xdr:to>
    <xdr:sp macro="" textlink="">
      <xdr:nvSpPr>
        <xdr:cNvPr id="5" name="Rectangle: Rounded Corners 4">
          <a:extLst>
            <a:ext uri="{FF2B5EF4-FFF2-40B4-BE49-F238E27FC236}">
              <a16:creationId xmlns:a16="http://schemas.microsoft.com/office/drawing/2014/main" id="{00000000-0008-0000-0200-000005000000}"/>
            </a:ext>
          </a:extLst>
        </xdr:cNvPr>
        <xdr:cNvSpPr/>
      </xdr:nvSpPr>
      <xdr:spPr>
        <a:xfrm>
          <a:off x="1014692" y="2832847"/>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Organisme certificateur</a:t>
          </a:r>
        </a:p>
      </xdr:txBody>
    </xdr:sp>
    <xdr:clientData/>
  </xdr:twoCellAnchor>
  <xdr:twoCellAnchor editAs="absolute">
    <xdr:from>
      <xdr:col>1</xdr:col>
      <xdr:colOff>400049</xdr:colOff>
      <xdr:row>17</xdr:row>
      <xdr:rowOff>136338</xdr:rowOff>
    </xdr:from>
    <xdr:to>
      <xdr:col>4</xdr:col>
      <xdr:colOff>229574</xdr:colOff>
      <xdr:row>19</xdr:row>
      <xdr:rowOff>77283</xdr:rowOff>
    </xdr:to>
    <xdr:sp macro="" textlink="">
      <xdr:nvSpPr>
        <xdr:cNvPr id="6" name="Rectangle: Rounded Corners 5">
          <a:extLst>
            <a:ext uri="{FF2B5EF4-FFF2-40B4-BE49-F238E27FC236}">
              <a16:creationId xmlns:a16="http://schemas.microsoft.com/office/drawing/2014/main" id="{00000000-0008-0000-0200-000006000000}"/>
            </a:ext>
          </a:extLst>
        </xdr:cNvPr>
        <xdr:cNvSpPr/>
      </xdr:nvSpPr>
      <xdr:spPr>
        <a:xfrm>
          <a:off x="1028699" y="3228153"/>
          <a:ext cx="1715475" cy="297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l'auditeur</a:t>
          </a:r>
        </a:p>
      </xdr:txBody>
    </xdr:sp>
    <xdr:clientData/>
  </xdr:twoCellAnchor>
  <xdr:twoCellAnchor>
    <xdr:from>
      <xdr:col>1</xdr:col>
      <xdr:colOff>285750</xdr:colOff>
      <xdr:row>28</xdr:row>
      <xdr:rowOff>47625</xdr:rowOff>
    </xdr:from>
    <xdr:to>
      <xdr:col>6</xdr:col>
      <xdr:colOff>323850</xdr:colOff>
      <xdr:row>29</xdr:row>
      <xdr:rowOff>153600</xdr:rowOff>
    </xdr:to>
    <xdr:sp macro="" textlink="">
      <xdr:nvSpPr>
        <xdr:cNvPr id="7" name="Parallelogram 6">
          <a:extLst>
            <a:ext uri="{FF2B5EF4-FFF2-40B4-BE49-F238E27FC236}">
              <a16:creationId xmlns:a16="http://schemas.microsoft.com/office/drawing/2014/main" id="{00000000-0008-0000-0200-000007000000}"/>
            </a:ext>
          </a:extLst>
        </xdr:cNvPr>
        <xdr:cNvSpPr/>
      </xdr:nvSpPr>
      <xdr:spPr>
        <a:xfrm>
          <a:off x="895350" y="3876675"/>
          <a:ext cx="3086100"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xdr:col>
      <xdr:colOff>409574</xdr:colOff>
      <xdr:row>30</xdr:row>
      <xdr:rowOff>133350</xdr:rowOff>
    </xdr:from>
    <xdr:to>
      <xdr:col>4</xdr:col>
      <xdr:colOff>229574</xdr:colOff>
      <xdr:row>32</xdr:row>
      <xdr:rowOff>57150</xdr:rowOff>
    </xdr:to>
    <xdr:sp macro="" textlink="">
      <xdr:nvSpPr>
        <xdr:cNvPr id="8" name="Rectangle: Rounded Corners 7">
          <a:extLst>
            <a:ext uri="{FF2B5EF4-FFF2-40B4-BE49-F238E27FC236}">
              <a16:creationId xmlns:a16="http://schemas.microsoft.com/office/drawing/2014/main" id="{00000000-0008-0000-0200-000008000000}"/>
            </a:ext>
          </a:extLst>
        </xdr:cNvPr>
        <xdr:cNvSpPr/>
      </xdr:nvSpPr>
      <xdr:spPr>
        <a:xfrm>
          <a:off x="1019174" y="377190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l'exploitant</a:t>
          </a:r>
        </a:p>
      </xdr:txBody>
    </xdr:sp>
    <xdr:clientData/>
  </xdr:twoCellAnchor>
  <xdr:twoCellAnchor>
    <xdr:from>
      <xdr:col>1</xdr:col>
      <xdr:colOff>409574</xdr:colOff>
      <xdr:row>32</xdr:row>
      <xdr:rowOff>130549</xdr:rowOff>
    </xdr:from>
    <xdr:to>
      <xdr:col>4</xdr:col>
      <xdr:colOff>229574</xdr:colOff>
      <xdr:row>34</xdr:row>
      <xdr:rowOff>54349</xdr:rowOff>
    </xdr:to>
    <xdr:sp macro="" textlink="">
      <xdr:nvSpPr>
        <xdr:cNvPr id="9" name="Rectangle: Rounded Corners 8">
          <a:extLst>
            <a:ext uri="{FF2B5EF4-FFF2-40B4-BE49-F238E27FC236}">
              <a16:creationId xmlns:a16="http://schemas.microsoft.com/office/drawing/2014/main" id="{00000000-0008-0000-0200-000009000000}"/>
            </a:ext>
          </a:extLst>
        </xdr:cNvPr>
        <xdr:cNvSpPr/>
      </xdr:nvSpPr>
      <xdr:spPr>
        <a:xfrm>
          <a:off x="1014692" y="5498167"/>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Raison sociale</a:t>
          </a:r>
        </a:p>
      </xdr:txBody>
    </xdr:sp>
    <xdr:clientData/>
  </xdr:twoCellAnchor>
  <xdr:twoCellAnchor>
    <xdr:from>
      <xdr:col>1</xdr:col>
      <xdr:colOff>409574</xdr:colOff>
      <xdr:row>34</xdr:row>
      <xdr:rowOff>127748</xdr:rowOff>
    </xdr:from>
    <xdr:to>
      <xdr:col>4</xdr:col>
      <xdr:colOff>229574</xdr:colOff>
      <xdr:row>36</xdr:row>
      <xdr:rowOff>51548</xdr:rowOff>
    </xdr:to>
    <xdr:sp macro="" textlink="">
      <xdr:nvSpPr>
        <xdr:cNvPr id="10" name="Rectangle: Rounded Corners 9">
          <a:extLst>
            <a:ext uri="{FF2B5EF4-FFF2-40B4-BE49-F238E27FC236}">
              <a16:creationId xmlns:a16="http://schemas.microsoft.com/office/drawing/2014/main" id="{00000000-0008-0000-0200-00000A000000}"/>
            </a:ext>
          </a:extLst>
        </xdr:cNvPr>
        <xdr:cNvSpPr/>
      </xdr:nvSpPr>
      <xdr:spPr>
        <a:xfrm>
          <a:off x="1014692" y="5876366"/>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SIRET</a:t>
          </a:r>
        </a:p>
      </xdr:txBody>
    </xdr:sp>
    <xdr:clientData/>
  </xdr:twoCellAnchor>
  <xdr:twoCellAnchor editAs="oneCell">
    <xdr:from>
      <xdr:col>1</xdr:col>
      <xdr:colOff>409574</xdr:colOff>
      <xdr:row>38</xdr:row>
      <xdr:rowOff>122148</xdr:rowOff>
    </xdr:from>
    <xdr:to>
      <xdr:col>4</xdr:col>
      <xdr:colOff>229574</xdr:colOff>
      <xdr:row>40</xdr:row>
      <xdr:rowOff>53568</xdr:rowOff>
    </xdr:to>
    <xdr:sp macro="" textlink="">
      <xdr:nvSpPr>
        <xdr:cNvPr id="11" name="Rectangle: Rounded Corners 10">
          <a:extLst>
            <a:ext uri="{FF2B5EF4-FFF2-40B4-BE49-F238E27FC236}">
              <a16:creationId xmlns:a16="http://schemas.microsoft.com/office/drawing/2014/main" id="{00000000-0008-0000-0200-00000B000000}"/>
            </a:ext>
          </a:extLst>
        </xdr:cNvPr>
        <xdr:cNvSpPr/>
      </xdr:nvSpPr>
      <xdr:spPr>
        <a:xfrm>
          <a:off x="1014692" y="6632766"/>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Année de création</a:t>
          </a:r>
        </a:p>
      </xdr:txBody>
    </xdr:sp>
    <xdr:clientData/>
  </xdr:twoCellAnchor>
  <xdr:twoCellAnchor>
    <xdr:from>
      <xdr:col>1</xdr:col>
      <xdr:colOff>409574</xdr:colOff>
      <xdr:row>43</xdr:row>
      <xdr:rowOff>136525</xdr:rowOff>
    </xdr:from>
    <xdr:to>
      <xdr:col>4</xdr:col>
      <xdr:colOff>229574</xdr:colOff>
      <xdr:row>45</xdr:row>
      <xdr:rowOff>60325</xdr:rowOff>
    </xdr:to>
    <xdr:sp macro="" textlink="">
      <xdr:nvSpPr>
        <xdr:cNvPr id="12" name="Rectangle: Rounded Corners 11">
          <a:extLst>
            <a:ext uri="{FF2B5EF4-FFF2-40B4-BE49-F238E27FC236}">
              <a16:creationId xmlns:a16="http://schemas.microsoft.com/office/drawing/2014/main" id="{00000000-0008-0000-0200-00000C000000}"/>
            </a:ext>
          </a:extLst>
        </xdr:cNvPr>
        <xdr:cNvSpPr/>
      </xdr:nvSpPr>
      <xdr:spPr>
        <a:xfrm>
          <a:off x="1019174" y="58705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complément</a:t>
          </a:r>
        </a:p>
      </xdr:txBody>
    </xdr:sp>
    <xdr:clientData/>
  </xdr:twoCellAnchor>
  <xdr:twoCellAnchor>
    <xdr:from>
      <xdr:col>1</xdr:col>
      <xdr:colOff>409574</xdr:colOff>
      <xdr:row>45</xdr:row>
      <xdr:rowOff>130175</xdr:rowOff>
    </xdr:from>
    <xdr:to>
      <xdr:col>4</xdr:col>
      <xdr:colOff>229574</xdr:colOff>
      <xdr:row>47</xdr:row>
      <xdr:rowOff>53975</xdr:rowOff>
    </xdr:to>
    <xdr:sp macro="" textlink="">
      <xdr:nvSpPr>
        <xdr:cNvPr id="13" name="Rectangle: Rounded Corners 12">
          <a:extLst>
            <a:ext uri="{FF2B5EF4-FFF2-40B4-BE49-F238E27FC236}">
              <a16:creationId xmlns:a16="http://schemas.microsoft.com/office/drawing/2014/main" id="{00000000-0008-0000-0200-00000D000000}"/>
            </a:ext>
          </a:extLst>
        </xdr:cNvPr>
        <xdr:cNvSpPr/>
      </xdr:nvSpPr>
      <xdr:spPr>
        <a:xfrm>
          <a:off x="1019174" y="624522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Code postal</a:t>
          </a:r>
        </a:p>
      </xdr:txBody>
    </xdr:sp>
    <xdr:clientData/>
  </xdr:twoCellAnchor>
  <xdr:twoCellAnchor>
    <xdr:from>
      <xdr:col>1</xdr:col>
      <xdr:colOff>409574</xdr:colOff>
      <xdr:row>47</xdr:row>
      <xdr:rowOff>123825</xdr:rowOff>
    </xdr:from>
    <xdr:to>
      <xdr:col>4</xdr:col>
      <xdr:colOff>229574</xdr:colOff>
      <xdr:row>49</xdr:row>
      <xdr:rowOff>47625</xdr:rowOff>
    </xdr:to>
    <xdr:sp macro="" textlink="">
      <xdr:nvSpPr>
        <xdr:cNvPr id="14" name="Rectangle: Rounded Corners 13">
          <a:extLst>
            <a:ext uri="{FF2B5EF4-FFF2-40B4-BE49-F238E27FC236}">
              <a16:creationId xmlns:a16="http://schemas.microsoft.com/office/drawing/2014/main" id="{00000000-0008-0000-0200-00000E000000}"/>
            </a:ext>
          </a:extLst>
        </xdr:cNvPr>
        <xdr:cNvSpPr/>
      </xdr:nvSpPr>
      <xdr:spPr>
        <a:xfrm>
          <a:off x="1019174" y="66198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Commune</a:t>
          </a:r>
        </a:p>
      </xdr:txBody>
    </xdr:sp>
    <xdr:clientData/>
  </xdr:twoCellAnchor>
  <xdr:twoCellAnchor>
    <xdr:from>
      <xdr:col>1</xdr:col>
      <xdr:colOff>409574</xdr:colOff>
      <xdr:row>41</xdr:row>
      <xdr:rowOff>142875</xdr:rowOff>
    </xdr:from>
    <xdr:to>
      <xdr:col>4</xdr:col>
      <xdr:colOff>229574</xdr:colOff>
      <xdr:row>43</xdr:row>
      <xdr:rowOff>66675</xdr:rowOff>
    </xdr:to>
    <xdr:sp macro="" textlink="">
      <xdr:nvSpPr>
        <xdr:cNvPr id="15" name="Rectangle: Rounded Corners 14">
          <a:extLst>
            <a:ext uri="{FF2B5EF4-FFF2-40B4-BE49-F238E27FC236}">
              <a16:creationId xmlns:a16="http://schemas.microsoft.com/office/drawing/2014/main" id="{00000000-0008-0000-0200-00000F000000}"/>
            </a:ext>
          </a:extLst>
        </xdr:cNvPr>
        <xdr:cNvSpPr/>
      </xdr:nvSpPr>
      <xdr:spPr>
        <a:xfrm>
          <a:off x="1019174" y="549592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a:t>
          </a:r>
        </a:p>
      </xdr:txBody>
    </xdr:sp>
    <xdr:clientData/>
  </xdr:twoCellAnchor>
  <xdr:twoCellAnchor>
    <xdr:from>
      <xdr:col>14</xdr:col>
      <xdr:colOff>114300</xdr:colOff>
      <xdr:row>43</xdr:row>
      <xdr:rowOff>107950</xdr:rowOff>
    </xdr:from>
    <xdr:to>
      <xdr:col>16</xdr:col>
      <xdr:colOff>543900</xdr:colOff>
      <xdr:row>45</xdr:row>
      <xdr:rowOff>31750</xdr:rowOff>
    </xdr:to>
    <xdr:sp macro="" textlink="">
      <xdr:nvSpPr>
        <xdr:cNvPr id="19" name="Rectangle: Rounded Corners 18">
          <a:extLst>
            <a:ext uri="{FF2B5EF4-FFF2-40B4-BE49-F238E27FC236}">
              <a16:creationId xmlns:a16="http://schemas.microsoft.com/office/drawing/2014/main" id="{00000000-0008-0000-0200-000013000000}"/>
            </a:ext>
          </a:extLst>
        </xdr:cNvPr>
        <xdr:cNvSpPr/>
      </xdr:nvSpPr>
      <xdr:spPr>
        <a:xfrm>
          <a:off x="8648700" y="584200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e-mail</a:t>
          </a:r>
        </a:p>
      </xdr:txBody>
    </xdr:sp>
    <xdr:clientData/>
  </xdr:twoCellAnchor>
  <xdr:twoCellAnchor>
    <xdr:from>
      <xdr:col>14</xdr:col>
      <xdr:colOff>114300</xdr:colOff>
      <xdr:row>45</xdr:row>
      <xdr:rowOff>101600</xdr:rowOff>
    </xdr:from>
    <xdr:to>
      <xdr:col>16</xdr:col>
      <xdr:colOff>543900</xdr:colOff>
      <xdr:row>47</xdr:row>
      <xdr:rowOff>25400</xdr:rowOff>
    </xdr:to>
    <xdr:sp macro="" textlink="">
      <xdr:nvSpPr>
        <xdr:cNvPr id="20" name="Rectangle: Rounded Corners 19">
          <a:extLst>
            <a:ext uri="{FF2B5EF4-FFF2-40B4-BE49-F238E27FC236}">
              <a16:creationId xmlns:a16="http://schemas.microsoft.com/office/drawing/2014/main" id="{00000000-0008-0000-0200-000014000000}"/>
            </a:ext>
          </a:extLst>
        </xdr:cNvPr>
        <xdr:cNvSpPr/>
      </xdr:nvSpPr>
      <xdr:spPr>
        <a:xfrm>
          <a:off x="8648700" y="621665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Site Internet</a:t>
          </a:r>
        </a:p>
      </xdr:txBody>
    </xdr:sp>
    <xdr:clientData/>
  </xdr:twoCellAnchor>
  <xdr:twoCellAnchor>
    <xdr:from>
      <xdr:col>14</xdr:col>
      <xdr:colOff>114299</xdr:colOff>
      <xdr:row>47</xdr:row>
      <xdr:rowOff>95250</xdr:rowOff>
    </xdr:from>
    <xdr:to>
      <xdr:col>19</xdr:col>
      <xdr:colOff>180974</xdr:colOff>
      <xdr:row>49</xdr:row>
      <xdr:rowOff>19050</xdr:rowOff>
    </xdr:to>
    <xdr:sp macro="" textlink="">
      <xdr:nvSpPr>
        <xdr:cNvPr id="21" name="Rectangle: Rounded Corners 20">
          <a:extLst>
            <a:ext uri="{FF2B5EF4-FFF2-40B4-BE49-F238E27FC236}">
              <a16:creationId xmlns:a16="http://schemas.microsoft.com/office/drawing/2014/main" id="{00000000-0008-0000-0200-000015000000}"/>
            </a:ext>
          </a:extLst>
        </xdr:cNvPr>
        <xdr:cNvSpPr/>
      </xdr:nvSpPr>
      <xdr:spPr>
        <a:xfrm>
          <a:off x="8648699" y="6591300"/>
          <a:ext cx="311467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Autorisation de référencement dans l'annuaire</a:t>
          </a:r>
        </a:p>
      </xdr:txBody>
    </xdr:sp>
    <xdr:clientData/>
  </xdr:twoCellAnchor>
  <xdr:twoCellAnchor>
    <xdr:from>
      <xdr:col>14</xdr:col>
      <xdr:colOff>112060</xdr:colOff>
      <xdr:row>41</xdr:row>
      <xdr:rowOff>114300</xdr:rowOff>
    </xdr:from>
    <xdr:to>
      <xdr:col>16</xdr:col>
      <xdr:colOff>541660</xdr:colOff>
      <xdr:row>43</xdr:row>
      <xdr:rowOff>38100</xdr:rowOff>
    </xdr:to>
    <xdr:sp macro="" textlink="">
      <xdr:nvSpPr>
        <xdr:cNvPr id="22" name="Rectangle: Rounded Corners 21">
          <a:extLst>
            <a:ext uri="{FF2B5EF4-FFF2-40B4-BE49-F238E27FC236}">
              <a16:creationId xmlns:a16="http://schemas.microsoft.com/office/drawing/2014/main" id="{00000000-0008-0000-0200-000016000000}"/>
            </a:ext>
          </a:extLst>
        </xdr:cNvPr>
        <xdr:cNvSpPr/>
      </xdr:nvSpPr>
      <xdr:spPr>
        <a:xfrm>
          <a:off x="8583707" y="6434418"/>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Numéro de téléphone </a:t>
          </a:r>
        </a:p>
      </xdr:txBody>
    </xdr:sp>
    <xdr:clientData/>
  </xdr:twoCellAnchor>
  <xdr:twoCellAnchor>
    <xdr:from>
      <xdr:col>1</xdr:col>
      <xdr:colOff>228600</xdr:colOff>
      <xdr:row>52</xdr:row>
      <xdr:rowOff>38100</xdr:rowOff>
    </xdr:from>
    <xdr:to>
      <xdr:col>5</xdr:col>
      <xdr:colOff>209550</xdr:colOff>
      <xdr:row>53</xdr:row>
      <xdr:rowOff>144075</xdr:rowOff>
    </xdr:to>
    <xdr:sp macro="" textlink="">
      <xdr:nvSpPr>
        <xdr:cNvPr id="23" name="Parallelogram 22">
          <a:extLst>
            <a:ext uri="{FF2B5EF4-FFF2-40B4-BE49-F238E27FC236}">
              <a16:creationId xmlns:a16="http://schemas.microsoft.com/office/drawing/2014/main" id="{00000000-0008-0000-0200-000017000000}"/>
            </a:ext>
          </a:extLst>
        </xdr:cNvPr>
        <xdr:cNvSpPr/>
      </xdr:nvSpPr>
      <xdr:spPr>
        <a:xfrm>
          <a:off x="833718" y="9988924"/>
          <a:ext cx="2401420" cy="3076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xdr:col>
      <xdr:colOff>523875</xdr:colOff>
      <xdr:row>54</xdr:row>
      <xdr:rowOff>152400</xdr:rowOff>
    </xdr:from>
    <xdr:to>
      <xdr:col>4</xdr:col>
      <xdr:colOff>343875</xdr:colOff>
      <xdr:row>56</xdr:row>
      <xdr:rowOff>76200</xdr:rowOff>
    </xdr:to>
    <xdr:sp macro="" textlink="">
      <xdr:nvSpPr>
        <xdr:cNvPr id="24" name="Rectangle: Rounded Corners 23">
          <a:extLst>
            <a:ext uri="{FF2B5EF4-FFF2-40B4-BE49-F238E27FC236}">
              <a16:creationId xmlns:a16="http://schemas.microsoft.com/office/drawing/2014/main" id="{00000000-0008-0000-0200-000018000000}"/>
            </a:ext>
          </a:extLst>
        </xdr:cNvPr>
        <xdr:cNvSpPr/>
      </xdr:nvSpPr>
      <xdr:spPr>
        <a:xfrm>
          <a:off x="1133475" y="8191500"/>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Statut juridique</a:t>
          </a:r>
        </a:p>
      </xdr:txBody>
    </xdr:sp>
    <xdr:clientData/>
  </xdr:twoCellAnchor>
  <xdr:twoCellAnchor>
    <xdr:from>
      <xdr:col>1</xdr:col>
      <xdr:colOff>523875</xdr:colOff>
      <xdr:row>57</xdr:row>
      <xdr:rowOff>66675</xdr:rowOff>
    </xdr:from>
    <xdr:to>
      <xdr:col>4</xdr:col>
      <xdr:colOff>343875</xdr:colOff>
      <xdr:row>58</xdr:row>
      <xdr:rowOff>180975</xdr:rowOff>
    </xdr:to>
    <xdr:sp macro="" textlink="">
      <xdr:nvSpPr>
        <xdr:cNvPr id="25" name="Rectangle: Rounded Corners 24">
          <a:extLst>
            <a:ext uri="{FF2B5EF4-FFF2-40B4-BE49-F238E27FC236}">
              <a16:creationId xmlns:a16="http://schemas.microsoft.com/office/drawing/2014/main" id="{00000000-0008-0000-0200-000019000000}"/>
            </a:ext>
          </a:extLst>
        </xdr:cNvPr>
        <xdr:cNvSpPr/>
      </xdr:nvSpPr>
      <xdr:spPr>
        <a:xfrm>
          <a:off x="1133475" y="86772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végétale</a:t>
          </a:r>
        </a:p>
      </xdr:txBody>
    </xdr:sp>
    <xdr:clientData/>
  </xdr:twoCellAnchor>
  <xdr:twoCellAnchor>
    <xdr:from>
      <xdr:col>3</xdr:col>
      <xdr:colOff>57150</xdr:colOff>
      <xdr:row>59</xdr:row>
      <xdr:rowOff>171450</xdr:rowOff>
    </xdr:from>
    <xdr:to>
      <xdr:col>5</xdr:col>
      <xdr:colOff>600075</xdr:colOff>
      <xdr:row>61</xdr:row>
      <xdr:rowOff>76200</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1885950" y="916305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3</xdr:col>
      <xdr:colOff>57150</xdr:colOff>
      <xdr:row>61</xdr:row>
      <xdr:rowOff>161925</xdr:rowOff>
    </xdr:from>
    <xdr:to>
      <xdr:col>5</xdr:col>
      <xdr:colOff>600075</xdr:colOff>
      <xdr:row>63</xdr:row>
      <xdr:rowOff>66675</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a:off x="1885950" y="9534525"/>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3</xdr:col>
      <xdr:colOff>57150</xdr:colOff>
      <xdr:row>63</xdr:row>
      <xdr:rowOff>152400</xdr:rowOff>
    </xdr:from>
    <xdr:to>
      <xdr:col>5</xdr:col>
      <xdr:colOff>600075</xdr:colOff>
      <xdr:row>65</xdr:row>
      <xdr:rowOff>57150</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1885950" y="990600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	</a:t>
          </a:r>
          <a:endParaRPr lang="fr-FR" sz="1100"/>
        </a:p>
      </xdr:txBody>
    </xdr:sp>
    <xdr:clientData/>
  </xdr:twoCellAnchor>
  <xdr:twoCellAnchor>
    <xdr:from>
      <xdr:col>13</xdr:col>
      <xdr:colOff>514350</xdr:colOff>
      <xdr:row>57</xdr:row>
      <xdr:rowOff>66675</xdr:rowOff>
    </xdr:from>
    <xdr:to>
      <xdr:col>16</xdr:col>
      <xdr:colOff>334350</xdr:colOff>
      <xdr:row>58</xdr:row>
      <xdr:rowOff>180975</xdr:rowOff>
    </xdr:to>
    <xdr:sp macro="" textlink="">
      <xdr:nvSpPr>
        <xdr:cNvPr id="29" name="Rectangle: Rounded Corners 28">
          <a:extLst>
            <a:ext uri="{FF2B5EF4-FFF2-40B4-BE49-F238E27FC236}">
              <a16:creationId xmlns:a16="http://schemas.microsoft.com/office/drawing/2014/main" id="{00000000-0008-0000-0200-00001D000000}"/>
            </a:ext>
          </a:extLst>
        </xdr:cNvPr>
        <xdr:cNvSpPr/>
      </xdr:nvSpPr>
      <xdr:spPr>
        <a:xfrm>
          <a:off x="8439150" y="8677275"/>
          <a:ext cx="16488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animale</a:t>
          </a:r>
        </a:p>
      </xdr:txBody>
    </xdr:sp>
    <xdr:clientData/>
  </xdr:twoCellAnchor>
  <xdr:twoCellAnchor>
    <xdr:from>
      <xdr:col>15</xdr:col>
      <xdr:colOff>47625</xdr:colOff>
      <xdr:row>59</xdr:row>
      <xdr:rowOff>171450</xdr:rowOff>
    </xdr:from>
    <xdr:to>
      <xdr:col>17</xdr:col>
      <xdr:colOff>590550</xdr:colOff>
      <xdr:row>61</xdr:row>
      <xdr:rowOff>76200</xdr:rowOff>
    </xdr:to>
    <xdr:sp macro="" textlink="">
      <xdr:nvSpPr>
        <xdr:cNvPr id="30" name="Rectangle 29">
          <a:extLst>
            <a:ext uri="{FF2B5EF4-FFF2-40B4-BE49-F238E27FC236}">
              <a16:creationId xmlns:a16="http://schemas.microsoft.com/office/drawing/2014/main" id="{00000000-0008-0000-0200-00001E000000}"/>
            </a:ext>
          </a:extLst>
        </xdr:cNvPr>
        <xdr:cNvSpPr/>
      </xdr:nvSpPr>
      <xdr:spPr>
        <a:xfrm>
          <a:off x="9191625" y="916305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15</xdr:col>
      <xdr:colOff>47625</xdr:colOff>
      <xdr:row>61</xdr:row>
      <xdr:rowOff>161925</xdr:rowOff>
    </xdr:from>
    <xdr:to>
      <xdr:col>17</xdr:col>
      <xdr:colOff>590550</xdr:colOff>
      <xdr:row>63</xdr:row>
      <xdr:rowOff>66675</xdr:rowOff>
    </xdr:to>
    <xdr:sp macro="" textlink="">
      <xdr:nvSpPr>
        <xdr:cNvPr id="31" name="Rectangle 30">
          <a:extLst>
            <a:ext uri="{FF2B5EF4-FFF2-40B4-BE49-F238E27FC236}">
              <a16:creationId xmlns:a16="http://schemas.microsoft.com/office/drawing/2014/main" id="{00000000-0008-0000-0200-00001F000000}"/>
            </a:ext>
          </a:extLst>
        </xdr:cNvPr>
        <xdr:cNvSpPr/>
      </xdr:nvSpPr>
      <xdr:spPr>
        <a:xfrm>
          <a:off x="9191625" y="9534525"/>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15</xdr:col>
      <xdr:colOff>47625</xdr:colOff>
      <xdr:row>63</xdr:row>
      <xdr:rowOff>152400</xdr:rowOff>
    </xdr:from>
    <xdr:to>
      <xdr:col>17</xdr:col>
      <xdr:colOff>590550</xdr:colOff>
      <xdr:row>65</xdr:row>
      <xdr:rowOff>57150</xdr:rowOff>
    </xdr:to>
    <xdr:sp macro="" textlink="">
      <xdr:nvSpPr>
        <xdr:cNvPr id="32" name="Rectangle 31">
          <a:extLst>
            <a:ext uri="{FF2B5EF4-FFF2-40B4-BE49-F238E27FC236}">
              <a16:creationId xmlns:a16="http://schemas.microsoft.com/office/drawing/2014/main" id="{00000000-0008-0000-0200-000020000000}"/>
            </a:ext>
          </a:extLst>
        </xdr:cNvPr>
        <xdr:cNvSpPr/>
      </xdr:nvSpPr>
      <xdr:spPr>
        <a:xfrm>
          <a:off x="9191625" y="9906000"/>
          <a:ext cx="1762125" cy="28575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	</a:t>
          </a:r>
          <a:endParaRPr lang="fr-FR" sz="1100"/>
        </a:p>
      </xdr:txBody>
    </xdr:sp>
    <xdr:clientData/>
  </xdr:twoCellAnchor>
  <xdr:twoCellAnchor editAs="absolute">
    <xdr:from>
      <xdr:col>2</xdr:col>
      <xdr:colOff>0</xdr:colOff>
      <xdr:row>67</xdr:row>
      <xdr:rowOff>98292</xdr:rowOff>
    </xdr:from>
    <xdr:to>
      <xdr:col>4</xdr:col>
      <xdr:colOff>439125</xdr:colOff>
      <xdr:row>69</xdr:row>
      <xdr:rowOff>22092</xdr:rowOff>
    </xdr:to>
    <xdr:sp macro="" textlink="">
      <xdr:nvSpPr>
        <xdr:cNvPr id="33" name="Rectangle: Rounded Corners 32">
          <a:extLst>
            <a:ext uri="{FF2B5EF4-FFF2-40B4-BE49-F238E27FC236}">
              <a16:creationId xmlns:a16="http://schemas.microsoft.com/office/drawing/2014/main" id="{00000000-0008-0000-0200-000021000000}"/>
            </a:ext>
          </a:extLst>
        </xdr:cNvPr>
        <xdr:cNvSpPr/>
      </xdr:nvSpPr>
      <xdr:spPr>
        <a:xfrm>
          <a:off x="1210235" y="12915916"/>
          <a:ext cx="1639836"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OTEX</a:t>
          </a:r>
        </a:p>
      </xdr:txBody>
    </xdr:sp>
    <xdr:clientData/>
  </xdr:twoCellAnchor>
  <xdr:twoCellAnchor>
    <xdr:from>
      <xdr:col>1</xdr:col>
      <xdr:colOff>200025</xdr:colOff>
      <xdr:row>76</xdr:row>
      <xdr:rowOff>39781</xdr:rowOff>
    </xdr:from>
    <xdr:to>
      <xdr:col>6</xdr:col>
      <xdr:colOff>238125</xdr:colOff>
      <xdr:row>77</xdr:row>
      <xdr:rowOff>145756</xdr:rowOff>
    </xdr:to>
    <xdr:sp macro="" textlink="">
      <xdr:nvSpPr>
        <xdr:cNvPr id="41" name="Parallelogram 40">
          <a:extLst>
            <a:ext uri="{FF2B5EF4-FFF2-40B4-BE49-F238E27FC236}">
              <a16:creationId xmlns:a16="http://schemas.microsoft.com/office/drawing/2014/main" id="{00000000-0008-0000-0200-000029000000}"/>
            </a:ext>
          </a:extLst>
        </xdr:cNvPr>
        <xdr:cNvSpPr/>
      </xdr:nvSpPr>
      <xdr:spPr>
        <a:xfrm>
          <a:off x="805143" y="14585016"/>
          <a:ext cx="3063688" cy="3076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Autres certifications de l'exploitation</a:t>
          </a:r>
        </a:p>
      </xdr:txBody>
    </xdr:sp>
    <xdr:clientData/>
  </xdr:twoCellAnchor>
  <xdr:twoCellAnchor>
    <xdr:from>
      <xdr:col>2</xdr:col>
      <xdr:colOff>91440</xdr:colOff>
      <xdr:row>79</xdr:row>
      <xdr:rowOff>140970</xdr:rowOff>
    </xdr:from>
    <xdr:to>
      <xdr:col>4</xdr:col>
      <xdr:colOff>515325</xdr:colOff>
      <xdr:row>81</xdr:row>
      <xdr:rowOff>64770</xdr:rowOff>
    </xdr:to>
    <xdr:sp macro="" textlink="">
      <xdr:nvSpPr>
        <xdr:cNvPr id="47" name="Rectangle: Rounded Corners 46">
          <a:extLst>
            <a:ext uri="{FF2B5EF4-FFF2-40B4-BE49-F238E27FC236}">
              <a16:creationId xmlns:a16="http://schemas.microsoft.com/office/drawing/2014/main" id="{00000000-0008-0000-0200-00002F000000}"/>
            </a:ext>
          </a:extLst>
        </xdr:cNvPr>
        <xdr:cNvSpPr/>
      </xdr:nvSpPr>
      <xdr:spPr>
        <a:xfrm>
          <a:off x="1348740" y="14504670"/>
          <a:ext cx="1681185" cy="28575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Equivalence</a:t>
          </a:r>
          <a:r>
            <a:rPr lang="fr-FR" sz="1100"/>
            <a:t> Niveau 2</a:t>
          </a:r>
        </a:p>
      </xdr:txBody>
    </xdr:sp>
    <xdr:clientData/>
  </xdr:twoCellAnchor>
  <xdr:twoCellAnchor>
    <xdr:from>
      <xdr:col>8</xdr:col>
      <xdr:colOff>97155</xdr:colOff>
      <xdr:row>79</xdr:row>
      <xdr:rowOff>131445</xdr:rowOff>
    </xdr:from>
    <xdr:to>
      <xdr:col>10</xdr:col>
      <xdr:colOff>522945</xdr:colOff>
      <xdr:row>81</xdr:row>
      <xdr:rowOff>55245</xdr:rowOff>
    </xdr:to>
    <xdr:sp macro="" textlink="">
      <xdr:nvSpPr>
        <xdr:cNvPr id="48" name="Rectangle: Rounded Corners 47">
          <a:extLst>
            <a:ext uri="{FF2B5EF4-FFF2-40B4-BE49-F238E27FC236}">
              <a16:creationId xmlns:a16="http://schemas.microsoft.com/office/drawing/2014/main" id="{00000000-0008-0000-0200-000030000000}"/>
            </a:ext>
          </a:extLst>
        </xdr:cNvPr>
        <xdr:cNvSpPr/>
      </xdr:nvSpPr>
      <xdr:spPr>
        <a:xfrm>
          <a:off x="5126355" y="14495145"/>
          <a:ext cx="1683090" cy="28575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démarche</a:t>
          </a:r>
        </a:p>
      </xdr:txBody>
    </xdr:sp>
    <xdr:clientData/>
  </xdr:twoCellAnchor>
  <xdr:twoCellAnchor editAs="absolute">
    <xdr:from>
      <xdr:col>2</xdr:col>
      <xdr:colOff>0</xdr:colOff>
      <xdr:row>70</xdr:row>
      <xdr:rowOff>131449</xdr:rowOff>
    </xdr:from>
    <xdr:to>
      <xdr:col>4</xdr:col>
      <xdr:colOff>439124</xdr:colOff>
      <xdr:row>72</xdr:row>
      <xdr:rowOff>55249</xdr:rowOff>
    </xdr:to>
    <xdr:sp macro="" textlink="">
      <xdr:nvSpPr>
        <xdr:cNvPr id="53" name="Rectangle: Rounded Corners 52">
          <a:extLst>
            <a:ext uri="{FF2B5EF4-FFF2-40B4-BE49-F238E27FC236}">
              <a16:creationId xmlns:a16="http://schemas.microsoft.com/office/drawing/2014/main" id="{00000000-0008-0000-0200-000035000000}"/>
            </a:ext>
          </a:extLst>
        </xdr:cNvPr>
        <xdr:cNvSpPr/>
      </xdr:nvSpPr>
      <xdr:spPr>
        <a:xfrm>
          <a:off x="1210235" y="13514858"/>
          <a:ext cx="163983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Vente directe</a:t>
          </a:r>
        </a:p>
      </xdr:txBody>
    </xdr:sp>
    <xdr:clientData/>
  </xdr:twoCellAnchor>
  <xdr:twoCellAnchor>
    <xdr:from>
      <xdr:col>2</xdr:col>
      <xdr:colOff>537878</xdr:colOff>
      <xdr:row>1</xdr:row>
      <xdr:rowOff>161925</xdr:rowOff>
    </xdr:from>
    <xdr:to>
      <xdr:col>6</xdr:col>
      <xdr:colOff>113735</xdr:colOff>
      <xdr:row>3</xdr:row>
      <xdr:rowOff>86925</xdr:rowOff>
    </xdr:to>
    <xdr:sp macro="" textlink="">
      <xdr:nvSpPr>
        <xdr:cNvPr id="56" name="Parallelogram 55">
          <a:hlinkClick xmlns:r="http://schemas.openxmlformats.org/officeDocument/2006/relationships" r:id="rId1"/>
          <a:extLst>
            <a:ext uri="{FF2B5EF4-FFF2-40B4-BE49-F238E27FC236}">
              <a16:creationId xmlns:a16="http://schemas.microsoft.com/office/drawing/2014/main" id="{00000000-0008-0000-0200-000038000000}"/>
            </a:ext>
          </a:extLst>
        </xdr:cNvPr>
        <xdr:cNvSpPr/>
      </xdr:nvSpPr>
      <xdr:spPr>
        <a:xfrm>
          <a:off x="1748113" y="352425"/>
          <a:ext cx="199632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Contexte de l'audit</a:t>
          </a:r>
        </a:p>
      </xdr:txBody>
    </xdr:sp>
    <xdr:clientData/>
  </xdr:twoCellAnchor>
  <xdr:twoCellAnchor>
    <xdr:from>
      <xdr:col>6</xdr:col>
      <xdr:colOff>250260</xdr:colOff>
      <xdr:row>1</xdr:row>
      <xdr:rowOff>161925</xdr:rowOff>
    </xdr:from>
    <xdr:to>
      <xdr:col>11</xdr:col>
      <xdr:colOff>145485</xdr:colOff>
      <xdr:row>3</xdr:row>
      <xdr:rowOff>86925</xdr:rowOff>
    </xdr:to>
    <xdr:sp macro="" textlink="">
      <xdr:nvSpPr>
        <xdr:cNvPr id="57" name="Parallelogram 56">
          <a:hlinkClick xmlns:r="http://schemas.openxmlformats.org/officeDocument/2006/relationships" r:id="rId2"/>
          <a:extLst>
            <a:ext uri="{FF2B5EF4-FFF2-40B4-BE49-F238E27FC236}">
              <a16:creationId xmlns:a16="http://schemas.microsoft.com/office/drawing/2014/main" id="{00000000-0008-0000-0200-000039000000}"/>
            </a:ext>
          </a:extLst>
        </xdr:cNvPr>
        <xdr:cNvSpPr/>
      </xdr:nvSpPr>
      <xdr:spPr>
        <a:xfrm>
          <a:off x="3880966" y="352425"/>
          <a:ext cx="2920813"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11</xdr:col>
      <xdr:colOff>282010</xdr:colOff>
      <xdr:row>1</xdr:row>
      <xdr:rowOff>161925</xdr:rowOff>
    </xdr:from>
    <xdr:to>
      <xdr:col>15</xdr:col>
      <xdr:colOff>262960</xdr:colOff>
      <xdr:row>3</xdr:row>
      <xdr:rowOff>86925</xdr:rowOff>
    </xdr:to>
    <xdr:sp macro="" textlink="">
      <xdr:nvSpPr>
        <xdr:cNvPr id="58" name="Parallelogram 57">
          <a:hlinkClick xmlns:r="http://schemas.openxmlformats.org/officeDocument/2006/relationships" r:id="rId3"/>
          <a:extLst>
            <a:ext uri="{FF2B5EF4-FFF2-40B4-BE49-F238E27FC236}">
              <a16:creationId xmlns:a16="http://schemas.microsoft.com/office/drawing/2014/main" id="{00000000-0008-0000-0200-00003A000000}"/>
            </a:ext>
          </a:extLst>
        </xdr:cNvPr>
        <xdr:cNvSpPr/>
      </xdr:nvSpPr>
      <xdr:spPr>
        <a:xfrm>
          <a:off x="6938304"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15</xdr:col>
      <xdr:colOff>399485</xdr:colOff>
      <xdr:row>1</xdr:row>
      <xdr:rowOff>161925</xdr:rowOff>
    </xdr:from>
    <xdr:to>
      <xdr:col>20</xdr:col>
      <xdr:colOff>437585</xdr:colOff>
      <xdr:row>3</xdr:row>
      <xdr:rowOff>86925</xdr:rowOff>
    </xdr:to>
    <xdr:sp macro="" textlink="">
      <xdr:nvSpPr>
        <xdr:cNvPr id="59" name="Parallelogram 58">
          <a:hlinkClick xmlns:r="http://schemas.openxmlformats.org/officeDocument/2006/relationships" r:id="rId4"/>
          <a:extLst>
            <a:ext uri="{FF2B5EF4-FFF2-40B4-BE49-F238E27FC236}">
              <a16:creationId xmlns:a16="http://schemas.microsoft.com/office/drawing/2014/main" id="{00000000-0008-0000-0200-00003B000000}"/>
            </a:ext>
          </a:extLst>
        </xdr:cNvPr>
        <xdr:cNvSpPr/>
      </xdr:nvSpPr>
      <xdr:spPr>
        <a:xfrm>
          <a:off x="9476250" y="352425"/>
          <a:ext cx="306368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Autres certifications de l'exploitation</a:t>
          </a:r>
        </a:p>
      </xdr:txBody>
    </xdr:sp>
    <xdr:clientData/>
  </xdr:twoCellAnchor>
  <xdr:twoCellAnchor editAs="absolute">
    <xdr:from>
      <xdr:col>1</xdr:col>
      <xdr:colOff>399375</xdr:colOff>
      <xdr:row>23</xdr:row>
      <xdr:rowOff>136377</xdr:rowOff>
    </xdr:from>
    <xdr:to>
      <xdr:col>4</xdr:col>
      <xdr:colOff>244140</xdr:colOff>
      <xdr:row>25</xdr:row>
      <xdr:rowOff>73512</xdr:rowOff>
    </xdr:to>
    <xdr:sp macro="" textlink="">
      <xdr:nvSpPr>
        <xdr:cNvPr id="60" name="Rectangle: Rounded Corners 59">
          <a:extLst>
            <a:ext uri="{FF2B5EF4-FFF2-40B4-BE49-F238E27FC236}">
              <a16:creationId xmlns:a16="http://schemas.microsoft.com/office/drawing/2014/main" id="{00000000-0008-0000-0200-00003C000000}"/>
            </a:ext>
          </a:extLst>
        </xdr:cNvPr>
        <xdr:cNvSpPr/>
      </xdr:nvSpPr>
      <xdr:spPr>
        <a:xfrm>
          <a:off x="1028025" y="4317852"/>
          <a:ext cx="1730715" cy="2895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Durée de l'audit</a:t>
          </a:r>
        </a:p>
      </xdr:txBody>
    </xdr:sp>
    <xdr:clientData/>
  </xdr:twoCellAnchor>
  <xdr:twoCellAnchor>
    <xdr:from>
      <xdr:col>14</xdr:col>
      <xdr:colOff>112060</xdr:colOff>
      <xdr:row>30</xdr:row>
      <xdr:rowOff>145676</xdr:rowOff>
    </xdr:from>
    <xdr:to>
      <xdr:col>16</xdr:col>
      <xdr:colOff>537178</xdr:colOff>
      <xdr:row>32</xdr:row>
      <xdr:rowOff>69476</xdr:rowOff>
    </xdr:to>
    <xdr:sp macro="" textlink="">
      <xdr:nvSpPr>
        <xdr:cNvPr id="63" name="Rectangle: Rounded Corners 62">
          <a:extLst>
            <a:ext uri="{FF2B5EF4-FFF2-40B4-BE49-F238E27FC236}">
              <a16:creationId xmlns:a16="http://schemas.microsoft.com/office/drawing/2014/main" id="{00000000-0008-0000-0200-00003F000000}"/>
            </a:ext>
          </a:extLst>
        </xdr:cNvPr>
        <xdr:cNvSpPr/>
      </xdr:nvSpPr>
      <xdr:spPr>
        <a:xfrm>
          <a:off x="8583707" y="5894294"/>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Département</a:t>
          </a:r>
        </a:p>
      </xdr:txBody>
    </xdr:sp>
    <xdr:clientData/>
  </xdr:twoCellAnchor>
  <xdr:twoCellAnchor>
    <xdr:from>
      <xdr:col>14</xdr:col>
      <xdr:colOff>112060</xdr:colOff>
      <xdr:row>34</xdr:row>
      <xdr:rowOff>136151</xdr:rowOff>
    </xdr:from>
    <xdr:to>
      <xdr:col>16</xdr:col>
      <xdr:colOff>537178</xdr:colOff>
      <xdr:row>36</xdr:row>
      <xdr:rowOff>59951</xdr:rowOff>
    </xdr:to>
    <xdr:sp macro="" textlink="">
      <xdr:nvSpPr>
        <xdr:cNvPr id="64" name="Rectangle: Rounded Corners 63">
          <a:extLst>
            <a:ext uri="{FF2B5EF4-FFF2-40B4-BE49-F238E27FC236}">
              <a16:creationId xmlns:a16="http://schemas.microsoft.com/office/drawing/2014/main" id="{00000000-0008-0000-0200-000040000000}"/>
            </a:ext>
          </a:extLst>
        </xdr:cNvPr>
        <xdr:cNvSpPr/>
      </xdr:nvSpPr>
      <xdr:spPr>
        <a:xfrm>
          <a:off x="8646460" y="6641726"/>
          <a:ext cx="1644318"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Région</a:t>
          </a:r>
        </a:p>
      </xdr:txBody>
    </xdr:sp>
    <xdr:clientData/>
  </xdr:twoCellAnchor>
  <xdr:twoCellAnchor>
    <xdr:from>
      <xdr:col>14</xdr:col>
      <xdr:colOff>112060</xdr:colOff>
      <xdr:row>36</xdr:row>
      <xdr:rowOff>136151</xdr:rowOff>
    </xdr:from>
    <xdr:to>
      <xdr:col>16</xdr:col>
      <xdr:colOff>537178</xdr:colOff>
      <xdr:row>38</xdr:row>
      <xdr:rowOff>59951</xdr:rowOff>
    </xdr:to>
    <xdr:sp macro="" textlink="">
      <xdr:nvSpPr>
        <xdr:cNvPr id="65" name="Rectangle: Rounded Corners 64">
          <a:extLst>
            <a:ext uri="{FF2B5EF4-FFF2-40B4-BE49-F238E27FC236}">
              <a16:creationId xmlns:a16="http://schemas.microsoft.com/office/drawing/2014/main" id="{00000000-0008-0000-0200-000041000000}"/>
            </a:ext>
          </a:extLst>
        </xdr:cNvPr>
        <xdr:cNvSpPr/>
      </xdr:nvSpPr>
      <xdr:spPr>
        <a:xfrm>
          <a:off x="8646460" y="7022726"/>
          <a:ext cx="1644318"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Bassin viticole</a:t>
          </a:r>
        </a:p>
      </xdr:txBody>
    </xdr:sp>
    <xdr:clientData/>
  </xdr:twoCellAnchor>
  <xdr:twoCellAnchor editAs="absolute">
    <xdr:from>
      <xdr:col>1</xdr:col>
      <xdr:colOff>403859</xdr:colOff>
      <xdr:row>21</xdr:row>
      <xdr:rowOff>135632</xdr:rowOff>
    </xdr:from>
    <xdr:to>
      <xdr:col>4</xdr:col>
      <xdr:colOff>244814</xdr:colOff>
      <xdr:row>23</xdr:row>
      <xdr:rowOff>59432</xdr:rowOff>
    </xdr:to>
    <xdr:sp macro="" textlink="">
      <xdr:nvSpPr>
        <xdr:cNvPr id="16" name="Rectangle: Rounded Corners 15">
          <a:extLst>
            <a:ext uri="{FF2B5EF4-FFF2-40B4-BE49-F238E27FC236}">
              <a16:creationId xmlns:a16="http://schemas.microsoft.com/office/drawing/2014/main" id="{00000000-0008-0000-0200-000010000000}"/>
            </a:ext>
          </a:extLst>
        </xdr:cNvPr>
        <xdr:cNvSpPr/>
      </xdr:nvSpPr>
      <xdr:spPr>
        <a:xfrm>
          <a:off x="1038224" y="3945632"/>
          <a:ext cx="1715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Campagne évaluée</a:t>
          </a:r>
        </a:p>
      </xdr:txBody>
    </xdr:sp>
    <xdr:clientData/>
  </xdr:twoCellAnchor>
  <xdr:twoCellAnchor>
    <xdr:from>
      <xdr:col>1</xdr:col>
      <xdr:colOff>409574</xdr:colOff>
      <xdr:row>36</xdr:row>
      <xdr:rowOff>124947</xdr:rowOff>
    </xdr:from>
    <xdr:to>
      <xdr:col>4</xdr:col>
      <xdr:colOff>229574</xdr:colOff>
      <xdr:row>38</xdr:row>
      <xdr:rowOff>48747</xdr:rowOff>
    </xdr:to>
    <xdr:sp macro="" textlink="">
      <xdr:nvSpPr>
        <xdr:cNvPr id="17" name="Rectangle: Rounded Corners 16">
          <a:extLst>
            <a:ext uri="{FF2B5EF4-FFF2-40B4-BE49-F238E27FC236}">
              <a16:creationId xmlns:a16="http://schemas.microsoft.com/office/drawing/2014/main" id="{00000000-0008-0000-0200-000011000000}"/>
            </a:ext>
          </a:extLst>
        </xdr:cNvPr>
        <xdr:cNvSpPr/>
      </xdr:nvSpPr>
      <xdr:spPr>
        <a:xfrm>
          <a:off x="1014692" y="6254565"/>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CVI</a:t>
          </a:r>
        </a:p>
      </xdr:txBody>
    </xdr:sp>
    <xdr:clientData/>
  </xdr:twoCellAnchor>
  <xdr:twoCellAnchor>
    <xdr:from>
      <xdr:col>1</xdr:col>
      <xdr:colOff>212912</xdr:colOff>
      <xdr:row>93</xdr:row>
      <xdr:rowOff>44824</xdr:rowOff>
    </xdr:from>
    <xdr:to>
      <xdr:col>6</xdr:col>
      <xdr:colOff>448235</xdr:colOff>
      <xdr:row>94</xdr:row>
      <xdr:rowOff>162005</xdr:rowOff>
    </xdr:to>
    <xdr:sp macro="" textlink="">
      <xdr:nvSpPr>
        <xdr:cNvPr id="49" name="Parallelogram 48">
          <a:extLst>
            <a:ext uri="{FF2B5EF4-FFF2-40B4-BE49-F238E27FC236}">
              <a16:creationId xmlns:a16="http://schemas.microsoft.com/office/drawing/2014/main" id="{00000000-0008-0000-0200-000031000000}"/>
            </a:ext>
          </a:extLst>
        </xdr:cNvPr>
        <xdr:cNvSpPr/>
      </xdr:nvSpPr>
      <xdr:spPr>
        <a:xfrm>
          <a:off x="818030" y="19374971"/>
          <a:ext cx="3260911" cy="318887"/>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Observations</a:t>
          </a:r>
          <a:r>
            <a:rPr lang="fr-FR" sz="1100" baseline="0"/>
            <a:t> générales sur l'exploitation</a:t>
          </a:r>
          <a:endParaRPr lang="fr-FR" sz="1100"/>
        </a:p>
      </xdr:txBody>
    </xdr:sp>
    <xdr:clientData/>
  </xdr:twoCellAnchor>
  <xdr:twoCellAnchor>
    <xdr:from>
      <xdr:col>21</xdr:col>
      <xdr:colOff>0</xdr:colOff>
      <xdr:row>1</xdr:row>
      <xdr:rowOff>161925</xdr:rowOff>
    </xdr:from>
    <xdr:to>
      <xdr:col>24</xdr:col>
      <xdr:colOff>586068</xdr:colOff>
      <xdr:row>3</xdr:row>
      <xdr:rowOff>86925</xdr:rowOff>
    </xdr:to>
    <xdr:sp macro="" textlink="">
      <xdr:nvSpPr>
        <xdr:cNvPr id="66" name="Parallelogram 65">
          <a:hlinkClick xmlns:r="http://schemas.openxmlformats.org/officeDocument/2006/relationships" r:id="rId5"/>
          <a:extLst>
            <a:ext uri="{FF2B5EF4-FFF2-40B4-BE49-F238E27FC236}">
              <a16:creationId xmlns:a16="http://schemas.microsoft.com/office/drawing/2014/main" id="{00000000-0008-0000-0200-000042000000}"/>
            </a:ext>
          </a:extLst>
        </xdr:cNvPr>
        <xdr:cNvSpPr/>
      </xdr:nvSpPr>
      <xdr:spPr>
        <a:xfrm>
          <a:off x="12707471"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Observations</a:t>
          </a:r>
        </a:p>
      </xdr:txBody>
    </xdr:sp>
    <xdr:clientData/>
  </xdr:twoCellAnchor>
  <xdr:twoCellAnchor editAs="absolute">
    <xdr:from>
      <xdr:col>1</xdr:col>
      <xdr:colOff>400049</xdr:colOff>
      <xdr:row>10</xdr:row>
      <xdr:rowOff>153147</xdr:rowOff>
    </xdr:from>
    <xdr:to>
      <xdr:col>4</xdr:col>
      <xdr:colOff>229574</xdr:colOff>
      <xdr:row>12</xdr:row>
      <xdr:rowOff>76947</xdr:rowOff>
    </xdr:to>
    <xdr:sp macro="" textlink="">
      <xdr:nvSpPr>
        <xdr:cNvPr id="67" name="Rectangle: Rounded Corners 66">
          <a:extLst>
            <a:ext uri="{FF2B5EF4-FFF2-40B4-BE49-F238E27FC236}">
              <a16:creationId xmlns:a16="http://schemas.microsoft.com/office/drawing/2014/main" id="{00000000-0008-0000-0200-000043000000}"/>
            </a:ext>
          </a:extLst>
        </xdr:cNvPr>
        <xdr:cNvSpPr/>
      </xdr:nvSpPr>
      <xdr:spPr>
        <a:xfrm>
          <a:off x="1014692" y="2069353"/>
          <a:ext cx="1635353"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Cadre de la certification</a:t>
          </a:r>
        </a:p>
      </xdr:txBody>
    </xdr:sp>
    <xdr:clientData/>
  </xdr:twoCellAnchor>
  <xdr:twoCellAnchor editAs="oneCell">
    <xdr:from>
      <xdr:col>0</xdr:col>
      <xdr:colOff>152324</xdr:colOff>
      <xdr:row>0</xdr:row>
      <xdr:rowOff>127183</xdr:rowOff>
    </xdr:from>
    <xdr:to>
      <xdr:col>2</xdr:col>
      <xdr:colOff>228524</xdr:colOff>
      <xdr:row>4</xdr:row>
      <xdr:rowOff>95285</xdr:rowOff>
    </xdr:to>
    <xdr:pic>
      <xdr:nvPicPr>
        <xdr:cNvPr id="69" name="Image 1">
          <a:hlinkClick xmlns:r="http://schemas.openxmlformats.org/officeDocument/2006/relationships" r:id="rId6"/>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7"/>
        <a:stretch>
          <a:fillRect/>
        </a:stretch>
      </xdr:blipFill>
      <xdr:spPr>
        <a:xfrm>
          <a:off x="152324" y="127183"/>
          <a:ext cx="1286435" cy="726292"/>
        </a:xfrm>
        <a:prstGeom prst="rect">
          <a:avLst/>
        </a:prstGeom>
      </xdr:spPr>
    </xdr:pic>
    <xdr:clientData/>
  </xdr:twoCellAnchor>
  <xdr:twoCellAnchor>
    <xdr:from>
      <xdr:col>14</xdr:col>
      <xdr:colOff>112060</xdr:colOff>
      <xdr:row>18</xdr:row>
      <xdr:rowOff>124946</xdr:rowOff>
    </xdr:from>
    <xdr:to>
      <xdr:col>16</xdr:col>
      <xdr:colOff>541660</xdr:colOff>
      <xdr:row>20</xdr:row>
      <xdr:rowOff>48746</xdr:rowOff>
    </xdr:to>
    <xdr:sp macro="" textlink="">
      <xdr:nvSpPr>
        <xdr:cNvPr id="70" name="Rectangle 69">
          <a:extLst>
            <a:ext uri="{FF2B5EF4-FFF2-40B4-BE49-F238E27FC236}">
              <a16:creationId xmlns:a16="http://schemas.microsoft.com/office/drawing/2014/main" id="{00000000-0008-0000-0200-000046000000}"/>
            </a:ext>
          </a:extLst>
        </xdr:cNvPr>
        <xdr:cNvSpPr/>
      </xdr:nvSpPr>
      <xdr:spPr>
        <a:xfrm>
          <a:off x="8583707" y="3565152"/>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Adresse complément</a:t>
          </a:r>
        </a:p>
      </xdr:txBody>
    </xdr:sp>
    <xdr:clientData/>
  </xdr:twoCellAnchor>
  <xdr:twoCellAnchor>
    <xdr:from>
      <xdr:col>14</xdr:col>
      <xdr:colOff>112060</xdr:colOff>
      <xdr:row>20</xdr:row>
      <xdr:rowOff>114581</xdr:rowOff>
    </xdr:from>
    <xdr:to>
      <xdr:col>16</xdr:col>
      <xdr:colOff>541660</xdr:colOff>
      <xdr:row>22</xdr:row>
      <xdr:rowOff>38381</xdr:rowOff>
    </xdr:to>
    <xdr:sp macro="" textlink="">
      <xdr:nvSpPr>
        <xdr:cNvPr id="71" name="Rectangle 70">
          <a:extLst>
            <a:ext uri="{FF2B5EF4-FFF2-40B4-BE49-F238E27FC236}">
              <a16:creationId xmlns:a16="http://schemas.microsoft.com/office/drawing/2014/main" id="{00000000-0008-0000-0200-000047000000}"/>
            </a:ext>
          </a:extLst>
        </xdr:cNvPr>
        <xdr:cNvSpPr/>
      </xdr:nvSpPr>
      <xdr:spPr>
        <a:xfrm>
          <a:off x="8583707" y="3935787"/>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Code postal</a:t>
          </a:r>
        </a:p>
      </xdr:txBody>
    </xdr:sp>
    <xdr:clientData/>
  </xdr:twoCellAnchor>
  <xdr:twoCellAnchor>
    <xdr:from>
      <xdr:col>14</xdr:col>
      <xdr:colOff>112060</xdr:colOff>
      <xdr:row>22</xdr:row>
      <xdr:rowOff>104215</xdr:rowOff>
    </xdr:from>
    <xdr:to>
      <xdr:col>16</xdr:col>
      <xdr:colOff>541660</xdr:colOff>
      <xdr:row>24</xdr:row>
      <xdr:rowOff>28015</xdr:rowOff>
    </xdr:to>
    <xdr:sp macro="" textlink="">
      <xdr:nvSpPr>
        <xdr:cNvPr id="72" name="Rectangle 71">
          <a:extLst>
            <a:ext uri="{FF2B5EF4-FFF2-40B4-BE49-F238E27FC236}">
              <a16:creationId xmlns:a16="http://schemas.microsoft.com/office/drawing/2014/main" id="{00000000-0008-0000-0200-000048000000}"/>
            </a:ext>
          </a:extLst>
        </xdr:cNvPr>
        <xdr:cNvSpPr/>
      </xdr:nvSpPr>
      <xdr:spPr>
        <a:xfrm>
          <a:off x="8583707" y="4306421"/>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Commune</a:t>
          </a:r>
        </a:p>
      </xdr:txBody>
    </xdr:sp>
    <xdr:clientData/>
  </xdr:twoCellAnchor>
  <xdr:twoCellAnchor>
    <xdr:from>
      <xdr:col>14</xdr:col>
      <xdr:colOff>112060</xdr:colOff>
      <xdr:row>16</xdr:row>
      <xdr:rowOff>135311</xdr:rowOff>
    </xdr:from>
    <xdr:to>
      <xdr:col>16</xdr:col>
      <xdr:colOff>541660</xdr:colOff>
      <xdr:row>18</xdr:row>
      <xdr:rowOff>59111</xdr:rowOff>
    </xdr:to>
    <xdr:sp macro="" textlink="">
      <xdr:nvSpPr>
        <xdr:cNvPr id="73" name="Rectangle 72">
          <a:extLst>
            <a:ext uri="{FF2B5EF4-FFF2-40B4-BE49-F238E27FC236}">
              <a16:creationId xmlns:a16="http://schemas.microsoft.com/office/drawing/2014/main" id="{00000000-0008-0000-0200-000049000000}"/>
            </a:ext>
          </a:extLst>
        </xdr:cNvPr>
        <xdr:cNvSpPr/>
      </xdr:nvSpPr>
      <xdr:spPr>
        <a:xfrm>
          <a:off x="8583707" y="3194517"/>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Adresse</a:t>
          </a:r>
        </a:p>
      </xdr:txBody>
    </xdr:sp>
    <xdr:clientData/>
  </xdr:twoCellAnchor>
  <xdr:twoCellAnchor>
    <xdr:from>
      <xdr:col>14</xdr:col>
      <xdr:colOff>112060</xdr:colOff>
      <xdr:row>14</xdr:row>
      <xdr:rowOff>145676</xdr:rowOff>
    </xdr:from>
    <xdr:to>
      <xdr:col>16</xdr:col>
      <xdr:colOff>541660</xdr:colOff>
      <xdr:row>16</xdr:row>
      <xdr:rowOff>69476</xdr:rowOff>
    </xdr:to>
    <xdr:sp macro="" textlink="">
      <xdr:nvSpPr>
        <xdr:cNvPr id="74" name="Rectangle 73">
          <a:extLst>
            <a:ext uri="{FF2B5EF4-FFF2-40B4-BE49-F238E27FC236}">
              <a16:creationId xmlns:a16="http://schemas.microsoft.com/office/drawing/2014/main" id="{00000000-0008-0000-0200-00004A000000}"/>
            </a:ext>
          </a:extLst>
        </xdr:cNvPr>
        <xdr:cNvSpPr/>
      </xdr:nvSpPr>
      <xdr:spPr>
        <a:xfrm>
          <a:off x="8583707" y="2823882"/>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Nom</a:t>
          </a:r>
        </a:p>
      </xdr:txBody>
    </xdr:sp>
    <xdr:clientData/>
  </xdr:twoCellAnchor>
  <xdr:twoCellAnchor>
    <xdr:from>
      <xdr:col>14</xdr:col>
      <xdr:colOff>114077</xdr:colOff>
      <xdr:row>12</xdr:row>
      <xdr:rowOff>143547</xdr:rowOff>
    </xdr:from>
    <xdr:to>
      <xdr:col>16</xdr:col>
      <xdr:colOff>545582</xdr:colOff>
      <xdr:row>14</xdr:row>
      <xdr:rowOff>67347</xdr:rowOff>
    </xdr:to>
    <xdr:sp macro="" textlink="">
      <xdr:nvSpPr>
        <xdr:cNvPr id="18" name="Rectangle 17">
          <a:extLst>
            <a:ext uri="{FF2B5EF4-FFF2-40B4-BE49-F238E27FC236}">
              <a16:creationId xmlns:a16="http://schemas.microsoft.com/office/drawing/2014/main" id="{8DC9F6F5-B84C-4FB5-9B27-BBF4B087DE14}"/>
            </a:ext>
          </a:extLst>
        </xdr:cNvPr>
        <xdr:cNvSpPr/>
      </xdr:nvSpPr>
      <xdr:spPr>
        <a:xfrm>
          <a:off x="8915177" y="2324772"/>
          <a:ext cx="168880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SIRET</a:t>
          </a:r>
        </a:p>
      </xdr:txBody>
    </xdr:sp>
    <xdr:clientData/>
  </xdr:twoCellAnchor>
  <xdr:twoCellAnchor>
    <xdr:from>
      <xdr:col>14</xdr:col>
      <xdr:colOff>114077</xdr:colOff>
      <xdr:row>10</xdr:row>
      <xdr:rowOff>141642</xdr:rowOff>
    </xdr:from>
    <xdr:to>
      <xdr:col>16</xdr:col>
      <xdr:colOff>549392</xdr:colOff>
      <xdr:row>12</xdr:row>
      <xdr:rowOff>65442</xdr:rowOff>
    </xdr:to>
    <xdr:sp macro="" textlink="">
      <xdr:nvSpPr>
        <xdr:cNvPr id="35" name="Rectangle 34">
          <a:extLst>
            <a:ext uri="{FF2B5EF4-FFF2-40B4-BE49-F238E27FC236}">
              <a16:creationId xmlns:a16="http://schemas.microsoft.com/office/drawing/2014/main" id="{8985E58F-5794-4F9F-88F7-0E735B9F4C6E}"/>
            </a:ext>
          </a:extLst>
        </xdr:cNvPr>
        <xdr:cNvSpPr/>
      </xdr:nvSpPr>
      <xdr:spPr>
        <a:xfrm>
          <a:off x="8915177" y="1960917"/>
          <a:ext cx="169261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Nature</a:t>
          </a:r>
          <a:r>
            <a:rPr lang="fr-FR" sz="1100" baseline="0">
              <a:solidFill>
                <a:sysClr val="windowText" lastClr="000000"/>
              </a:solidFill>
            </a:rPr>
            <a:t> de l'audit</a:t>
          </a:r>
          <a:endParaRPr lang="fr-FR" sz="1100">
            <a:solidFill>
              <a:sysClr val="windowText" lastClr="000000"/>
            </a:solidFill>
          </a:endParaRPr>
        </a:p>
      </xdr:txBody>
    </xdr:sp>
    <xdr:clientData/>
  </xdr:twoCellAnchor>
  <xdr:twoCellAnchor>
    <xdr:from>
      <xdr:col>14</xdr:col>
      <xdr:colOff>112580</xdr:colOff>
      <xdr:row>32</xdr:row>
      <xdr:rowOff>130994</xdr:rowOff>
    </xdr:from>
    <xdr:to>
      <xdr:col>16</xdr:col>
      <xdr:colOff>537698</xdr:colOff>
      <xdr:row>34</xdr:row>
      <xdr:rowOff>54794</xdr:rowOff>
    </xdr:to>
    <xdr:sp macro="" textlink="">
      <xdr:nvSpPr>
        <xdr:cNvPr id="36" name="Rectangle: Rounded Corners 62">
          <a:extLst>
            <a:ext uri="{FF2B5EF4-FFF2-40B4-BE49-F238E27FC236}">
              <a16:creationId xmlns:a16="http://schemas.microsoft.com/office/drawing/2014/main" id="{B6DB139A-C7F2-446F-A505-D343ACE6CD7D}"/>
            </a:ext>
          </a:extLst>
        </xdr:cNvPr>
        <xdr:cNvSpPr/>
      </xdr:nvSpPr>
      <xdr:spPr>
        <a:xfrm>
          <a:off x="8637455" y="6257610"/>
          <a:ext cx="1642957"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Précision</a:t>
          </a:r>
          <a:r>
            <a:rPr lang="fr-FR" sz="1100" baseline="0"/>
            <a:t> département</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55732</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219075</xdr:colOff>
      <xdr:row>17</xdr:row>
      <xdr:rowOff>45944</xdr:rowOff>
    </xdr:from>
    <xdr:to>
      <xdr:col>5</xdr:col>
      <xdr:colOff>600075</xdr:colOff>
      <xdr:row>18</xdr:row>
      <xdr:rowOff>161444</xdr:rowOff>
    </xdr:to>
    <xdr:sp macro="" textlink="">
      <xdr:nvSpPr>
        <xdr:cNvPr id="3" name="Parallelogram 2">
          <a:extLst>
            <a:ext uri="{FF2B5EF4-FFF2-40B4-BE49-F238E27FC236}">
              <a16:creationId xmlns:a16="http://schemas.microsoft.com/office/drawing/2014/main" id="{00000000-0008-0000-0300-000003000000}"/>
            </a:ext>
          </a:extLst>
        </xdr:cNvPr>
        <xdr:cNvSpPr/>
      </xdr:nvSpPr>
      <xdr:spPr>
        <a:xfrm>
          <a:off x="824193" y="3306856"/>
          <a:ext cx="2801470" cy="3172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Surface de l'exploitation</a:t>
          </a:r>
        </a:p>
      </xdr:txBody>
    </xdr:sp>
    <xdr:clientData/>
  </xdr:twoCellAnchor>
  <xdr:twoCellAnchor>
    <xdr:from>
      <xdr:col>3</xdr:col>
      <xdr:colOff>90764</xdr:colOff>
      <xdr:row>1</xdr:row>
      <xdr:rowOff>114300</xdr:rowOff>
    </xdr:from>
    <xdr:to>
      <xdr:col>6</xdr:col>
      <xdr:colOff>347939</xdr:colOff>
      <xdr:row>3</xdr:row>
      <xdr:rowOff>48825</xdr:rowOff>
    </xdr:to>
    <xdr:sp macro="" textlink="">
      <xdr:nvSpPr>
        <xdr:cNvPr id="4" name="Parallelogram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1906117" y="304800"/>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 de l'exploitation</a:t>
          </a:r>
        </a:p>
      </xdr:txBody>
    </xdr:sp>
    <xdr:clientData/>
  </xdr:twoCellAnchor>
  <xdr:twoCellAnchor>
    <xdr:from>
      <xdr:col>1</xdr:col>
      <xdr:colOff>466725</xdr:colOff>
      <xdr:row>69</xdr:row>
      <xdr:rowOff>47625</xdr:rowOff>
    </xdr:from>
    <xdr:to>
      <xdr:col>6</xdr:col>
      <xdr:colOff>238125</xdr:colOff>
      <xdr:row>70</xdr:row>
      <xdr:rowOff>172650</xdr:rowOff>
    </xdr:to>
    <xdr:sp macro="" textlink="">
      <xdr:nvSpPr>
        <xdr:cNvPr id="5" name="Parallelogram 4">
          <a:extLst>
            <a:ext uri="{FF2B5EF4-FFF2-40B4-BE49-F238E27FC236}">
              <a16:creationId xmlns:a16="http://schemas.microsoft.com/office/drawing/2014/main" id="{00000000-0008-0000-0300-000005000000}"/>
            </a:ext>
          </a:extLst>
        </xdr:cNvPr>
        <xdr:cNvSpPr/>
      </xdr:nvSpPr>
      <xdr:spPr>
        <a:xfrm>
          <a:off x="1076325" y="11010900"/>
          <a:ext cx="2819400" cy="31552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SAU de l'exploitation</a:t>
          </a:r>
        </a:p>
      </xdr:txBody>
    </xdr:sp>
    <xdr:clientData/>
  </xdr:twoCellAnchor>
  <xdr:twoCellAnchor>
    <xdr:from>
      <xdr:col>6</xdr:col>
      <xdr:colOff>525180</xdr:colOff>
      <xdr:row>1</xdr:row>
      <xdr:rowOff>114300</xdr:rowOff>
    </xdr:from>
    <xdr:to>
      <xdr:col>10</xdr:col>
      <xdr:colOff>172756</xdr:colOff>
      <xdr:row>3</xdr:row>
      <xdr:rowOff>48825</xdr:rowOff>
    </xdr:to>
    <xdr:sp macro="" textlink="">
      <xdr:nvSpPr>
        <xdr:cNvPr id="9" name="Parallelogram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4155886" y="304800"/>
          <a:ext cx="206804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 de l'exploitation</a:t>
          </a:r>
        </a:p>
      </xdr:txBody>
    </xdr:sp>
    <xdr:clientData/>
  </xdr:twoCellAnchor>
  <xdr:twoCellAnchor>
    <xdr:from>
      <xdr:col>10</xdr:col>
      <xdr:colOff>349997</xdr:colOff>
      <xdr:row>1</xdr:row>
      <xdr:rowOff>100852</xdr:rowOff>
    </xdr:from>
    <xdr:to>
      <xdr:col>14</xdr:col>
      <xdr:colOff>461495</xdr:colOff>
      <xdr:row>3</xdr:row>
      <xdr:rowOff>35377</xdr:rowOff>
    </xdr:to>
    <xdr:sp macro="" textlink="">
      <xdr:nvSpPr>
        <xdr:cNvPr id="7" name="Parallelogram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6401173" y="291352"/>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Annexe Horticulture</a:t>
          </a:r>
        </a:p>
      </xdr:txBody>
    </xdr:sp>
    <xdr:clientData/>
  </xdr:twoCellAnchor>
  <xdr:twoCellAnchor>
    <xdr:from>
      <xdr:col>1</xdr:col>
      <xdr:colOff>470647</xdr:colOff>
      <xdr:row>167</xdr:row>
      <xdr:rowOff>56030</xdr:rowOff>
    </xdr:from>
    <xdr:to>
      <xdr:col>6</xdr:col>
      <xdr:colOff>242047</xdr:colOff>
      <xdr:row>168</xdr:row>
      <xdr:rowOff>181055</xdr:rowOff>
    </xdr:to>
    <xdr:sp macro="" textlink="">
      <xdr:nvSpPr>
        <xdr:cNvPr id="8" name="Parallelogram 7">
          <a:extLst>
            <a:ext uri="{FF2B5EF4-FFF2-40B4-BE49-F238E27FC236}">
              <a16:creationId xmlns:a16="http://schemas.microsoft.com/office/drawing/2014/main" id="{00000000-0008-0000-0300-000008000000}"/>
            </a:ext>
          </a:extLst>
        </xdr:cNvPr>
        <xdr:cNvSpPr/>
      </xdr:nvSpPr>
      <xdr:spPr>
        <a:xfrm>
          <a:off x="1075765" y="30222265"/>
          <a:ext cx="2796988"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Annexe Horticulture</a:t>
          </a:r>
          <a:r>
            <a:rPr lang="fr-FR" sz="1100" baseline="0"/>
            <a:t> et pépinière</a:t>
          </a:r>
          <a:endParaRPr lang="fr-FR" sz="1100"/>
        </a:p>
      </xdr:txBody>
    </xdr:sp>
    <xdr:clientData/>
  </xdr:twoCellAnchor>
  <xdr:twoCellAnchor>
    <xdr:from>
      <xdr:col>1</xdr:col>
      <xdr:colOff>156882</xdr:colOff>
      <xdr:row>5</xdr:row>
      <xdr:rowOff>44824</xdr:rowOff>
    </xdr:from>
    <xdr:to>
      <xdr:col>5</xdr:col>
      <xdr:colOff>537882</xdr:colOff>
      <xdr:row>6</xdr:row>
      <xdr:rowOff>160324</xdr:rowOff>
    </xdr:to>
    <xdr:sp macro="" textlink="">
      <xdr:nvSpPr>
        <xdr:cNvPr id="6" name="Parallelogram 5">
          <a:extLst>
            <a:ext uri="{FF2B5EF4-FFF2-40B4-BE49-F238E27FC236}">
              <a16:creationId xmlns:a16="http://schemas.microsoft.com/office/drawing/2014/main" id="{00000000-0008-0000-0300-000006000000}"/>
            </a:ext>
          </a:extLst>
        </xdr:cNvPr>
        <xdr:cNvSpPr/>
      </xdr:nvSpPr>
      <xdr:spPr>
        <a:xfrm>
          <a:off x="762000" y="997324"/>
          <a:ext cx="2801470" cy="317206"/>
        </a:xfrm>
        <a:prstGeom prst="parallelogram">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 préalables</a:t>
          </a:r>
        </a:p>
      </xdr:txBody>
    </xdr:sp>
    <xdr:clientData/>
  </xdr:twoCellAnchor>
  <xdr:twoCellAnchor>
    <xdr:from>
      <xdr:col>14</xdr:col>
      <xdr:colOff>616323</xdr:colOff>
      <xdr:row>1</xdr:row>
      <xdr:rowOff>100852</xdr:rowOff>
    </xdr:from>
    <xdr:to>
      <xdr:col>18</xdr:col>
      <xdr:colOff>190499</xdr:colOff>
      <xdr:row>3</xdr:row>
      <xdr:rowOff>35377</xdr:rowOff>
    </xdr:to>
    <xdr:sp macro="" textlink="">
      <xdr:nvSpPr>
        <xdr:cNvPr id="10" name="Parallelogram 9">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a:xfrm>
          <a:off x="8628529" y="291352"/>
          <a:ext cx="205067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Remarques</a:t>
          </a:r>
        </a:p>
      </xdr:txBody>
    </xdr:sp>
    <xdr:clientData/>
  </xdr:twoCellAnchor>
  <xdr:twoCellAnchor>
    <xdr:from>
      <xdr:col>2</xdr:col>
      <xdr:colOff>0</xdr:colOff>
      <xdr:row>201</xdr:row>
      <xdr:rowOff>0</xdr:rowOff>
    </xdr:from>
    <xdr:to>
      <xdr:col>6</xdr:col>
      <xdr:colOff>0</xdr:colOff>
      <xdr:row>202</xdr:row>
      <xdr:rowOff>136231</xdr:rowOff>
    </xdr:to>
    <xdr:sp macro="" textlink="">
      <xdr:nvSpPr>
        <xdr:cNvPr id="11" name="Parallelogram 10">
          <a:extLst>
            <a:ext uri="{FF2B5EF4-FFF2-40B4-BE49-F238E27FC236}">
              <a16:creationId xmlns:a16="http://schemas.microsoft.com/office/drawing/2014/main" id="{00000000-0008-0000-0300-00000B000000}"/>
            </a:ext>
          </a:extLst>
        </xdr:cNvPr>
        <xdr:cNvSpPr/>
      </xdr:nvSpPr>
      <xdr:spPr>
        <a:xfrm>
          <a:off x="1210235" y="39556765"/>
          <a:ext cx="2420471"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0</xdr:col>
      <xdr:colOff>1447800</xdr:colOff>
      <xdr:row>4</xdr:row>
      <xdr:rowOff>69067</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55732</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226217</xdr:colOff>
      <xdr:row>6</xdr:row>
      <xdr:rowOff>45244</xdr:rowOff>
    </xdr:from>
    <xdr:to>
      <xdr:col>6</xdr:col>
      <xdr:colOff>219074</xdr:colOff>
      <xdr:row>7</xdr:row>
      <xdr:rowOff>170269</xdr:rowOff>
    </xdr:to>
    <xdr:sp macro="" textlink="">
      <xdr:nvSpPr>
        <xdr:cNvPr id="5" name="Parallelogram 4">
          <a:extLst>
            <a:ext uri="{FF2B5EF4-FFF2-40B4-BE49-F238E27FC236}">
              <a16:creationId xmlns:a16="http://schemas.microsoft.com/office/drawing/2014/main" id="{00000000-0008-0000-0500-000005000000}"/>
            </a:ext>
          </a:extLst>
        </xdr:cNvPr>
        <xdr:cNvSpPr/>
      </xdr:nvSpPr>
      <xdr:spPr>
        <a:xfrm>
          <a:off x="833436" y="1188244"/>
          <a:ext cx="3028951" cy="3274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Infrastructures agro-écologiques (IAE)</a:t>
          </a:r>
        </a:p>
      </xdr:txBody>
    </xdr:sp>
    <xdr:clientData/>
  </xdr:twoCellAnchor>
  <xdr:twoCellAnchor>
    <xdr:from>
      <xdr:col>1</xdr:col>
      <xdr:colOff>295275</xdr:colOff>
      <xdr:row>77</xdr:row>
      <xdr:rowOff>23812</xdr:rowOff>
    </xdr:from>
    <xdr:to>
      <xdr:col>5</xdr:col>
      <xdr:colOff>547687</xdr:colOff>
      <xdr:row>78</xdr:row>
      <xdr:rowOff>158362</xdr:rowOff>
    </xdr:to>
    <xdr:sp macro="" textlink="">
      <xdr:nvSpPr>
        <xdr:cNvPr id="6" name="Parallelogram 5">
          <a:extLst>
            <a:ext uri="{FF2B5EF4-FFF2-40B4-BE49-F238E27FC236}">
              <a16:creationId xmlns:a16="http://schemas.microsoft.com/office/drawing/2014/main" id="{00000000-0008-0000-0500-000006000000}"/>
            </a:ext>
          </a:extLst>
        </xdr:cNvPr>
        <xdr:cNvSpPr/>
      </xdr:nvSpPr>
      <xdr:spPr>
        <a:xfrm>
          <a:off x="902494" y="14716125"/>
          <a:ext cx="268128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Taille des parcelles</a:t>
          </a:r>
        </a:p>
      </xdr:txBody>
    </xdr:sp>
    <xdr:clientData/>
  </xdr:twoCellAnchor>
  <xdr:twoCellAnchor>
    <xdr:from>
      <xdr:col>1</xdr:col>
      <xdr:colOff>247650</xdr:colOff>
      <xdr:row>96</xdr:row>
      <xdr:rowOff>35718</xdr:rowOff>
    </xdr:from>
    <xdr:to>
      <xdr:col>6</xdr:col>
      <xdr:colOff>285750</xdr:colOff>
      <xdr:row>97</xdr:row>
      <xdr:rowOff>179793</xdr:rowOff>
    </xdr:to>
    <xdr:sp macro="" textlink="">
      <xdr:nvSpPr>
        <xdr:cNvPr id="7" name="Parallelogram 6">
          <a:extLst>
            <a:ext uri="{FF2B5EF4-FFF2-40B4-BE49-F238E27FC236}">
              <a16:creationId xmlns:a16="http://schemas.microsoft.com/office/drawing/2014/main" id="{00000000-0008-0000-0500-000007000000}"/>
            </a:ext>
          </a:extLst>
        </xdr:cNvPr>
        <xdr:cNvSpPr/>
      </xdr:nvSpPr>
      <xdr:spPr>
        <a:xfrm>
          <a:off x="854869" y="18371343"/>
          <a:ext cx="3074194"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Poids de la culture principale</a:t>
          </a:r>
        </a:p>
      </xdr:txBody>
    </xdr:sp>
    <xdr:clientData/>
  </xdr:twoCellAnchor>
  <xdr:twoCellAnchor>
    <xdr:from>
      <xdr:col>1</xdr:col>
      <xdr:colOff>228600</xdr:colOff>
      <xdr:row>124</xdr:row>
      <xdr:rowOff>30956</xdr:rowOff>
    </xdr:from>
    <xdr:to>
      <xdr:col>6</xdr:col>
      <xdr:colOff>266700</xdr:colOff>
      <xdr:row>125</xdr:row>
      <xdr:rowOff>184556</xdr:rowOff>
    </xdr:to>
    <xdr:sp macro="" textlink="">
      <xdr:nvSpPr>
        <xdr:cNvPr id="8" name="Parallelogram 7">
          <a:extLst>
            <a:ext uri="{FF2B5EF4-FFF2-40B4-BE49-F238E27FC236}">
              <a16:creationId xmlns:a16="http://schemas.microsoft.com/office/drawing/2014/main" id="{00000000-0008-0000-0500-000008000000}"/>
            </a:ext>
          </a:extLst>
        </xdr:cNvPr>
        <xdr:cNvSpPr/>
      </xdr:nvSpPr>
      <xdr:spPr>
        <a:xfrm>
          <a:off x="835819" y="23724394"/>
          <a:ext cx="30741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Nombre d'espèces végétales cultivées</a:t>
          </a:r>
        </a:p>
      </xdr:txBody>
    </xdr:sp>
    <xdr:clientData/>
  </xdr:twoCellAnchor>
  <xdr:twoCellAnchor>
    <xdr:from>
      <xdr:col>1</xdr:col>
      <xdr:colOff>257175</xdr:colOff>
      <xdr:row>166</xdr:row>
      <xdr:rowOff>19049</xdr:rowOff>
    </xdr:from>
    <xdr:to>
      <xdr:col>6</xdr:col>
      <xdr:colOff>295275</xdr:colOff>
      <xdr:row>167</xdr:row>
      <xdr:rowOff>182174</xdr:rowOff>
    </xdr:to>
    <xdr:sp macro="" textlink="">
      <xdr:nvSpPr>
        <xdr:cNvPr id="9" name="Parallelogram 8">
          <a:extLst>
            <a:ext uri="{FF2B5EF4-FFF2-40B4-BE49-F238E27FC236}">
              <a16:creationId xmlns:a16="http://schemas.microsoft.com/office/drawing/2014/main" id="{00000000-0008-0000-0500-000009000000}"/>
            </a:ext>
          </a:extLst>
        </xdr:cNvPr>
        <xdr:cNvSpPr/>
      </xdr:nvSpPr>
      <xdr:spPr>
        <a:xfrm>
          <a:off x="864394" y="3173729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Nombre d'espèces animales</a:t>
          </a:r>
          <a:r>
            <a:rPr lang="fr-FR" sz="1100" baseline="0"/>
            <a:t> élevées</a:t>
          </a:r>
          <a:endParaRPr lang="fr-FR" sz="1100"/>
        </a:p>
      </xdr:txBody>
    </xdr:sp>
    <xdr:clientData/>
  </xdr:twoCellAnchor>
  <xdr:twoCellAnchor>
    <xdr:from>
      <xdr:col>1</xdr:col>
      <xdr:colOff>261936</xdr:colOff>
      <xdr:row>192</xdr:row>
      <xdr:rowOff>14287</xdr:rowOff>
    </xdr:from>
    <xdr:to>
      <xdr:col>6</xdr:col>
      <xdr:colOff>209549</xdr:colOff>
      <xdr:row>193</xdr:row>
      <xdr:rowOff>186937</xdr:rowOff>
    </xdr:to>
    <xdr:sp macro="" textlink="">
      <xdr:nvSpPr>
        <xdr:cNvPr id="10" name="Parallelogram 9">
          <a:extLst>
            <a:ext uri="{FF2B5EF4-FFF2-40B4-BE49-F238E27FC236}">
              <a16:creationId xmlns:a16="http://schemas.microsoft.com/office/drawing/2014/main" id="{00000000-0008-0000-0500-00000A000000}"/>
            </a:ext>
          </a:extLst>
        </xdr:cNvPr>
        <xdr:cNvSpPr/>
      </xdr:nvSpPr>
      <xdr:spPr>
        <a:xfrm>
          <a:off x="869155" y="36709350"/>
          <a:ext cx="29837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Présence de ruches</a:t>
          </a:r>
        </a:p>
      </xdr:txBody>
    </xdr:sp>
    <xdr:clientData/>
  </xdr:twoCellAnchor>
  <xdr:twoCellAnchor>
    <xdr:from>
      <xdr:col>1</xdr:col>
      <xdr:colOff>228599</xdr:colOff>
      <xdr:row>211</xdr:row>
      <xdr:rowOff>11907</xdr:rowOff>
    </xdr:from>
    <xdr:to>
      <xdr:col>6</xdr:col>
      <xdr:colOff>266699</xdr:colOff>
      <xdr:row>213</xdr:row>
      <xdr:rowOff>3582</xdr:rowOff>
    </xdr:to>
    <xdr:sp macro="" textlink="">
      <xdr:nvSpPr>
        <xdr:cNvPr id="11" name="Parallelogram 10">
          <a:extLst>
            <a:ext uri="{FF2B5EF4-FFF2-40B4-BE49-F238E27FC236}">
              <a16:creationId xmlns:a16="http://schemas.microsoft.com/office/drawing/2014/main" id="{00000000-0008-0000-0500-00000B000000}"/>
            </a:ext>
          </a:extLst>
        </xdr:cNvPr>
        <xdr:cNvSpPr/>
      </xdr:nvSpPr>
      <xdr:spPr>
        <a:xfrm>
          <a:off x="835818" y="4035028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Variété, race ou espèce</a:t>
          </a:r>
          <a:r>
            <a:rPr lang="fr-FR" sz="1100" baseline="0"/>
            <a:t> menacée</a:t>
          </a:r>
          <a:endParaRPr lang="fr-FR" sz="1100"/>
        </a:p>
      </xdr:txBody>
    </xdr:sp>
    <xdr:clientData/>
  </xdr:twoCellAnchor>
  <xdr:twoCellAnchor>
    <xdr:from>
      <xdr:col>1</xdr:col>
      <xdr:colOff>266700</xdr:colOff>
      <xdr:row>235</xdr:row>
      <xdr:rowOff>16669</xdr:rowOff>
    </xdr:from>
    <xdr:to>
      <xdr:col>6</xdr:col>
      <xdr:colOff>304800</xdr:colOff>
      <xdr:row>237</xdr:row>
      <xdr:rowOff>17869</xdr:rowOff>
    </xdr:to>
    <xdr:sp macro="" textlink="">
      <xdr:nvSpPr>
        <xdr:cNvPr id="12" name="Parallelogram 11">
          <a:extLst>
            <a:ext uri="{FF2B5EF4-FFF2-40B4-BE49-F238E27FC236}">
              <a16:creationId xmlns:a16="http://schemas.microsoft.com/office/drawing/2014/main" id="{00000000-0008-0000-0500-00000C000000}"/>
            </a:ext>
          </a:extLst>
        </xdr:cNvPr>
        <xdr:cNvSpPr/>
      </xdr:nvSpPr>
      <xdr:spPr>
        <a:xfrm>
          <a:off x="873919" y="44950857"/>
          <a:ext cx="3074194"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Qualité biologique du sol</a:t>
          </a:r>
        </a:p>
      </xdr:txBody>
    </xdr:sp>
    <xdr:clientData/>
  </xdr:twoCellAnchor>
  <xdr:twoCellAnchor>
    <xdr:from>
      <xdr:col>13</xdr:col>
      <xdr:colOff>357188</xdr:colOff>
      <xdr:row>2</xdr:row>
      <xdr:rowOff>104775</xdr:rowOff>
    </xdr:from>
    <xdr:to>
      <xdr:col>16</xdr:col>
      <xdr:colOff>407532</xdr:colOff>
      <xdr:row>3</xdr:row>
      <xdr:rowOff>162675</xdr:rowOff>
    </xdr:to>
    <xdr:sp macro="" textlink="">
      <xdr:nvSpPr>
        <xdr:cNvPr id="13" name="Parallelogram 12">
          <a:hlinkClick xmlns:r="http://schemas.openxmlformats.org/officeDocument/2006/relationships" r:id="rId3"/>
          <a:extLst>
            <a:ext uri="{FF2B5EF4-FFF2-40B4-BE49-F238E27FC236}">
              <a16:creationId xmlns:a16="http://schemas.microsoft.com/office/drawing/2014/main" id="{00000000-0008-0000-0500-00000D000000}"/>
            </a:ext>
          </a:extLst>
        </xdr:cNvPr>
        <xdr:cNvSpPr/>
      </xdr:nvSpPr>
      <xdr:spPr>
        <a:xfrm>
          <a:off x="8251032"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Qualité biologique</a:t>
          </a:r>
        </a:p>
      </xdr:txBody>
    </xdr:sp>
    <xdr:clientData/>
  </xdr:twoCellAnchor>
  <xdr:twoCellAnchor>
    <xdr:from>
      <xdr:col>13</xdr:col>
      <xdr:colOff>357188</xdr:colOff>
      <xdr:row>0</xdr:row>
      <xdr:rowOff>142875</xdr:rowOff>
    </xdr:from>
    <xdr:to>
      <xdr:col>16</xdr:col>
      <xdr:colOff>407532</xdr:colOff>
      <xdr:row>2</xdr:row>
      <xdr:rowOff>10275</xdr:rowOff>
    </xdr:to>
    <xdr:sp macro="" textlink="">
      <xdr:nvSpPr>
        <xdr:cNvPr id="14" name="Parallelogram 13">
          <a:hlinkClick xmlns:r="http://schemas.openxmlformats.org/officeDocument/2006/relationships" r:id="rId4"/>
          <a:extLst>
            <a:ext uri="{FF2B5EF4-FFF2-40B4-BE49-F238E27FC236}">
              <a16:creationId xmlns:a16="http://schemas.microsoft.com/office/drawing/2014/main" id="{00000000-0008-0000-0500-00000E000000}"/>
            </a:ext>
          </a:extLst>
        </xdr:cNvPr>
        <xdr:cNvSpPr/>
      </xdr:nvSpPr>
      <xdr:spPr>
        <a:xfrm>
          <a:off x="8251032"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Espèces menacées</a:t>
          </a:r>
        </a:p>
      </xdr:txBody>
    </xdr:sp>
    <xdr:clientData/>
  </xdr:twoCellAnchor>
  <xdr:twoCellAnchor>
    <xdr:from>
      <xdr:col>10</xdr:col>
      <xdr:colOff>180978</xdr:colOff>
      <xdr:row>2</xdr:row>
      <xdr:rowOff>104775</xdr:rowOff>
    </xdr:from>
    <xdr:to>
      <xdr:col>13</xdr:col>
      <xdr:colOff>231322</xdr:colOff>
      <xdr:row>3</xdr:row>
      <xdr:rowOff>162675</xdr:rowOff>
    </xdr:to>
    <xdr:sp macro="" textlink="">
      <xdr:nvSpPr>
        <xdr:cNvPr id="15" name="Parallelogram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6253166"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Ruches</a:t>
          </a:r>
        </a:p>
      </xdr:txBody>
    </xdr:sp>
    <xdr:clientData/>
  </xdr:twoCellAnchor>
  <xdr:twoCellAnchor>
    <xdr:from>
      <xdr:col>10</xdr:col>
      <xdr:colOff>180978</xdr:colOff>
      <xdr:row>0</xdr:row>
      <xdr:rowOff>142875</xdr:rowOff>
    </xdr:from>
    <xdr:to>
      <xdr:col>13</xdr:col>
      <xdr:colOff>231322</xdr:colOff>
      <xdr:row>2</xdr:row>
      <xdr:rowOff>10275</xdr:rowOff>
    </xdr:to>
    <xdr:sp macro="" textlink="">
      <xdr:nvSpPr>
        <xdr:cNvPr id="16" name="Parallelogram 15">
          <a:hlinkClick xmlns:r="http://schemas.openxmlformats.org/officeDocument/2006/relationships" r:id="rId6"/>
          <a:extLst>
            <a:ext uri="{FF2B5EF4-FFF2-40B4-BE49-F238E27FC236}">
              <a16:creationId xmlns:a16="http://schemas.microsoft.com/office/drawing/2014/main" id="{00000000-0008-0000-0500-000010000000}"/>
            </a:ext>
          </a:extLst>
        </xdr:cNvPr>
        <xdr:cNvSpPr/>
      </xdr:nvSpPr>
      <xdr:spPr>
        <a:xfrm>
          <a:off x="6253166"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 espèces animales</a:t>
          </a:r>
        </a:p>
      </xdr:txBody>
    </xdr:sp>
    <xdr:clientData/>
  </xdr:twoCellAnchor>
  <xdr:twoCellAnchor>
    <xdr:from>
      <xdr:col>6</xdr:col>
      <xdr:colOff>585788</xdr:colOff>
      <xdr:row>2</xdr:row>
      <xdr:rowOff>104775</xdr:rowOff>
    </xdr:from>
    <xdr:to>
      <xdr:col>10</xdr:col>
      <xdr:colOff>28913</xdr:colOff>
      <xdr:row>3</xdr:row>
      <xdr:rowOff>162675</xdr:rowOff>
    </xdr:to>
    <xdr:sp macro="" textlink="">
      <xdr:nvSpPr>
        <xdr:cNvPr id="17" name="Parallelogram 16">
          <a:hlinkClick xmlns:r="http://schemas.openxmlformats.org/officeDocument/2006/relationships" r:id="rId7"/>
          <a:extLst>
            <a:ext uri="{FF2B5EF4-FFF2-40B4-BE49-F238E27FC236}">
              <a16:creationId xmlns:a16="http://schemas.microsoft.com/office/drawing/2014/main" id="{00000000-0008-0000-0500-000011000000}"/>
            </a:ext>
          </a:extLst>
        </xdr:cNvPr>
        <xdr:cNvSpPr/>
      </xdr:nvSpPr>
      <xdr:spPr>
        <a:xfrm>
          <a:off x="4229101"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a:t>
          </a:r>
          <a:r>
            <a:rPr lang="fr-FR" sz="1100" b="1" baseline="0">
              <a:solidFill>
                <a:schemeClr val="accent1">
                  <a:lumMod val="50000"/>
                </a:schemeClr>
              </a:solidFill>
            </a:rPr>
            <a:t> espèces végétales</a:t>
          </a:r>
          <a:endParaRPr lang="fr-FR" sz="1100" b="1">
            <a:solidFill>
              <a:schemeClr val="accent1">
                <a:lumMod val="50000"/>
              </a:schemeClr>
            </a:solidFill>
          </a:endParaRPr>
        </a:p>
      </xdr:txBody>
    </xdr:sp>
    <xdr:clientData/>
  </xdr:twoCellAnchor>
  <xdr:twoCellAnchor>
    <xdr:from>
      <xdr:col>6</xdr:col>
      <xdr:colOff>585788</xdr:colOff>
      <xdr:row>0</xdr:row>
      <xdr:rowOff>142875</xdr:rowOff>
    </xdr:from>
    <xdr:to>
      <xdr:col>10</xdr:col>
      <xdr:colOff>28913</xdr:colOff>
      <xdr:row>2</xdr:row>
      <xdr:rowOff>10275</xdr:rowOff>
    </xdr:to>
    <xdr:sp macro="" textlink="">
      <xdr:nvSpPr>
        <xdr:cNvPr id="18" name="Parallelogram 17">
          <a:hlinkClick xmlns:r="http://schemas.openxmlformats.org/officeDocument/2006/relationships" r:id="rId8"/>
          <a:extLst>
            <a:ext uri="{FF2B5EF4-FFF2-40B4-BE49-F238E27FC236}">
              <a16:creationId xmlns:a16="http://schemas.microsoft.com/office/drawing/2014/main" id="{00000000-0008-0000-0500-000012000000}"/>
            </a:ext>
          </a:extLst>
        </xdr:cNvPr>
        <xdr:cNvSpPr/>
      </xdr:nvSpPr>
      <xdr:spPr>
        <a:xfrm>
          <a:off x="4229101"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Culture principale</a:t>
          </a:r>
        </a:p>
      </xdr:txBody>
    </xdr:sp>
    <xdr:clientData/>
  </xdr:twoCellAnchor>
  <xdr:twoCellAnchor>
    <xdr:from>
      <xdr:col>3</xdr:col>
      <xdr:colOff>409573</xdr:colOff>
      <xdr:row>2</xdr:row>
      <xdr:rowOff>104775</xdr:rowOff>
    </xdr:from>
    <xdr:to>
      <xdr:col>6</xdr:col>
      <xdr:colOff>459916</xdr:colOff>
      <xdr:row>3</xdr:row>
      <xdr:rowOff>162675</xdr:rowOff>
    </xdr:to>
    <xdr:sp macro="" textlink="">
      <xdr:nvSpPr>
        <xdr:cNvPr id="19" name="Parallelogram 18">
          <a:hlinkClick xmlns:r="http://schemas.openxmlformats.org/officeDocument/2006/relationships" r:id="rId9"/>
          <a:extLst>
            <a:ext uri="{FF2B5EF4-FFF2-40B4-BE49-F238E27FC236}">
              <a16:creationId xmlns:a16="http://schemas.microsoft.com/office/drawing/2014/main" id="{00000000-0008-0000-0500-000013000000}"/>
            </a:ext>
          </a:extLst>
        </xdr:cNvPr>
        <xdr:cNvSpPr/>
      </xdr:nvSpPr>
      <xdr:spPr>
        <a:xfrm>
          <a:off x="2231229"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Taille parcelles</a:t>
          </a:r>
        </a:p>
      </xdr:txBody>
    </xdr:sp>
    <xdr:clientData/>
  </xdr:twoCellAnchor>
  <xdr:twoCellAnchor>
    <xdr:from>
      <xdr:col>3</xdr:col>
      <xdr:colOff>409573</xdr:colOff>
      <xdr:row>0</xdr:row>
      <xdr:rowOff>142875</xdr:rowOff>
    </xdr:from>
    <xdr:to>
      <xdr:col>6</xdr:col>
      <xdr:colOff>459916</xdr:colOff>
      <xdr:row>2</xdr:row>
      <xdr:rowOff>10275</xdr:rowOff>
    </xdr:to>
    <xdr:sp macro="" textlink="">
      <xdr:nvSpPr>
        <xdr:cNvPr id="20" name="Parallelogram 19">
          <a:hlinkClick xmlns:r="http://schemas.openxmlformats.org/officeDocument/2006/relationships" r:id="rId10"/>
          <a:extLst>
            <a:ext uri="{FF2B5EF4-FFF2-40B4-BE49-F238E27FC236}">
              <a16:creationId xmlns:a16="http://schemas.microsoft.com/office/drawing/2014/main" id="{00000000-0008-0000-0500-000014000000}"/>
            </a:ext>
          </a:extLst>
        </xdr:cNvPr>
        <xdr:cNvSpPr/>
      </xdr:nvSpPr>
      <xdr:spPr>
        <a:xfrm>
          <a:off x="2231229"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IAE</a:t>
          </a:r>
        </a:p>
      </xdr:txBody>
    </xdr:sp>
    <xdr:clientData/>
  </xdr:twoCellAnchor>
  <xdr:twoCellAnchor>
    <xdr:from>
      <xdr:col>1</xdr:col>
      <xdr:colOff>266700</xdr:colOff>
      <xdr:row>258</xdr:row>
      <xdr:rowOff>0</xdr:rowOff>
    </xdr:from>
    <xdr:to>
      <xdr:col>6</xdr:col>
      <xdr:colOff>304800</xdr:colOff>
      <xdr:row>260</xdr:row>
      <xdr:rowOff>12406</xdr:rowOff>
    </xdr:to>
    <xdr:sp macro="" textlink="">
      <xdr:nvSpPr>
        <xdr:cNvPr id="3" name="Parallelogram 2">
          <a:extLst>
            <a:ext uri="{FF2B5EF4-FFF2-40B4-BE49-F238E27FC236}">
              <a16:creationId xmlns:a16="http://schemas.microsoft.com/office/drawing/2014/main" id="{00000000-0008-0000-0500-000003000000}"/>
            </a:ext>
          </a:extLst>
        </xdr:cNvPr>
        <xdr:cNvSpPr/>
      </xdr:nvSpPr>
      <xdr:spPr>
        <a:xfrm>
          <a:off x="871818" y="48185294"/>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16</xdr:col>
      <xdr:colOff>554695</xdr:colOff>
      <xdr:row>0</xdr:row>
      <xdr:rowOff>149182</xdr:rowOff>
    </xdr:from>
    <xdr:to>
      <xdr:col>19</xdr:col>
      <xdr:colOff>353039</xdr:colOff>
      <xdr:row>2</xdr:row>
      <xdr:rowOff>16582</xdr:rowOff>
    </xdr:to>
    <xdr:sp macro="" textlink="">
      <xdr:nvSpPr>
        <xdr:cNvPr id="4" name="Parallelogram 3">
          <a:hlinkClick xmlns:r="http://schemas.openxmlformats.org/officeDocument/2006/relationships" r:id="rId11"/>
          <a:extLst>
            <a:ext uri="{FF2B5EF4-FFF2-40B4-BE49-F238E27FC236}">
              <a16:creationId xmlns:a16="http://schemas.microsoft.com/office/drawing/2014/main" id="{00000000-0008-0000-0500-000004000000}"/>
            </a:ext>
          </a:extLst>
        </xdr:cNvPr>
        <xdr:cNvSpPr/>
      </xdr:nvSpPr>
      <xdr:spPr>
        <a:xfrm>
          <a:off x="10270195" y="149182"/>
          <a:ext cx="162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59542</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309562</xdr:colOff>
      <xdr:row>6</xdr:row>
      <xdr:rowOff>38100</xdr:rowOff>
    </xdr:from>
    <xdr:to>
      <xdr:col>6</xdr:col>
      <xdr:colOff>1154905</xdr:colOff>
      <xdr:row>7</xdr:row>
      <xdr:rowOff>172650</xdr:rowOff>
    </xdr:to>
    <xdr:sp macro="" textlink="">
      <xdr:nvSpPr>
        <xdr:cNvPr id="3" name="Parallelogram 2">
          <a:extLst>
            <a:ext uri="{FF2B5EF4-FFF2-40B4-BE49-F238E27FC236}">
              <a16:creationId xmlns:a16="http://schemas.microsoft.com/office/drawing/2014/main" id="{00000000-0008-0000-0600-000003000000}"/>
            </a:ext>
          </a:extLst>
        </xdr:cNvPr>
        <xdr:cNvSpPr/>
      </xdr:nvSpPr>
      <xdr:spPr>
        <a:xfrm>
          <a:off x="916781" y="1181100"/>
          <a:ext cx="388143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Limitation de l'utilisation de produits classés CMR</a:t>
          </a:r>
          <a:endParaRPr lang="fr-FR" sz="1100"/>
        </a:p>
      </xdr:txBody>
    </xdr:sp>
    <xdr:clientData/>
  </xdr:twoCellAnchor>
  <xdr:twoCellAnchor>
    <xdr:from>
      <xdr:col>1</xdr:col>
      <xdr:colOff>285749</xdr:colOff>
      <xdr:row>36</xdr:row>
      <xdr:rowOff>33338</xdr:rowOff>
    </xdr:from>
    <xdr:to>
      <xdr:col>6</xdr:col>
      <xdr:colOff>221454</xdr:colOff>
      <xdr:row>37</xdr:row>
      <xdr:rowOff>177413</xdr:rowOff>
    </xdr:to>
    <xdr:sp macro="" textlink="">
      <xdr:nvSpPr>
        <xdr:cNvPr id="4" name="Parallelogram 3">
          <a:extLst>
            <a:ext uri="{FF2B5EF4-FFF2-40B4-BE49-F238E27FC236}">
              <a16:creationId xmlns:a16="http://schemas.microsoft.com/office/drawing/2014/main" id="{00000000-0008-0000-0600-000004000000}"/>
            </a:ext>
          </a:extLst>
        </xdr:cNvPr>
        <xdr:cNvSpPr/>
      </xdr:nvSpPr>
      <xdr:spPr>
        <a:xfrm>
          <a:off x="892968" y="5581651"/>
          <a:ext cx="2971799"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Surfaces non traitées</a:t>
          </a:r>
        </a:p>
      </xdr:txBody>
    </xdr:sp>
    <xdr:clientData/>
  </xdr:twoCellAnchor>
  <xdr:twoCellAnchor>
    <xdr:from>
      <xdr:col>1</xdr:col>
      <xdr:colOff>297656</xdr:colOff>
      <xdr:row>67</xdr:row>
      <xdr:rowOff>28575</xdr:rowOff>
    </xdr:from>
    <xdr:to>
      <xdr:col>7</xdr:col>
      <xdr:colOff>511969</xdr:colOff>
      <xdr:row>68</xdr:row>
      <xdr:rowOff>182175</xdr:rowOff>
    </xdr:to>
    <xdr:sp macro="" textlink="">
      <xdr:nvSpPr>
        <xdr:cNvPr id="5" name="Parallelogram 4">
          <a:extLst>
            <a:ext uri="{FF2B5EF4-FFF2-40B4-BE49-F238E27FC236}">
              <a16:creationId xmlns:a16="http://schemas.microsoft.com/office/drawing/2014/main" id="{00000000-0008-0000-0600-000005000000}"/>
            </a:ext>
          </a:extLst>
        </xdr:cNvPr>
        <xdr:cNvSpPr/>
      </xdr:nvSpPr>
      <xdr:spPr>
        <a:xfrm>
          <a:off x="904875" y="11506200"/>
          <a:ext cx="45600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Indicateur de fréquence de traitement phytosanitaire (IFT)</a:t>
          </a:r>
        </a:p>
      </xdr:txBody>
    </xdr:sp>
    <xdr:clientData/>
  </xdr:twoCellAnchor>
  <xdr:twoCellAnchor>
    <xdr:from>
      <xdr:col>1</xdr:col>
      <xdr:colOff>333374</xdr:colOff>
      <xdr:row>138</xdr:row>
      <xdr:rowOff>19046</xdr:rowOff>
    </xdr:from>
    <xdr:to>
      <xdr:col>6</xdr:col>
      <xdr:colOff>705969</xdr:colOff>
      <xdr:row>139</xdr:row>
      <xdr:rowOff>172646</xdr:rowOff>
    </xdr:to>
    <xdr:sp macro="" textlink="">
      <xdr:nvSpPr>
        <xdr:cNvPr id="6" name="Parallelogram 5">
          <a:extLst>
            <a:ext uri="{FF2B5EF4-FFF2-40B4-BE49-F238E27FC236}">
              <a16:creationId xmlns:a16="http://schemas.microsoft.com/office/drawing/2014/main" id="{00000000-0008-0000-0600-000006000000}"/>
            </a:ext>
          </a:extLst>
        </xdr:cNvPr>
        <xdr:cNvSpPr/>
      </xdr:nvSpPr>
      <xdr:spPr>
        <a:xfrm>
          <a:off x="940593" y="25165046"/>
          <a:ext cx="3408689"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Quantité de substances actives appliquée</a:t>
          </a:r>
        </a:p>
      </xdr:txBody>
    </xdr:sp>
    <xdr:clientData/>
  </xdr:twoCellAnchor>
  <xdr:twoCellAnchor>
    <xdr:from>
      <xdr:col>1</xdr:col>
      <xdr:colOff>304800</xdr:colOff>
      <xdr:row>168</xdr:row>
      <xdr:rowOff>11906</xdr:rowOff>
    </xdr:from>
    <xdr:to>
      <xdr:col>6</xdr:col>
      <xdr:colOff>342900</xdr:colOff>
      <xdr:row>169</xdr:row>
      <xdr:rowOff>175031</xdr:rowOff>
    </xdr:to>
    <xdr:sp macro="" textlink="">
      <xdr:nvSpPr>
        <xdr:cNvPr id="7" name="Parallelogram 6">
          <a:extLst>
            <a:ext uri="{FF2B5EF4-FFF2-40B4-BE49-F238E27FC236}">
              <a16:creationId xmlns:a16="http://schemas.microsoft.com/office/drawing/2014/main" id="{00000000-0008-0000-0600-000007000000}"/>
            </a:ext>
          </a:extLst>
        </xdr:cNvPr>
        <xdr:cNvSpPr/>
      </xdr:nvSpPr>
      <xdr:spPr>
        <a:xfrm>
          <a:off x="912019" y="3070621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Surveillance active des parcelles</a:t>
          </a:r>
        </a:p>
      </xdr:txBody>
    </xdr:sp>
    <xdr:clientData/>
  </xdr:twoCellAnchor>
  <xdr:twoCellAnchor>
    <xdr:from>
      <xdr:col>1</xdr:col>
      <xdr:colOff>276224</xdr:colOff>
      <xdr:row>209</xdr:row>
      <xdr:rowOff>26194</xdr:rowOff>
    </xdr:from>
    <xdr:to>
      <xdr:col>6</xdr:col>
      <xdr:colOff>1023937</xdr:colOff>
      <xdr:row>211</xdr:row>
      <xdr:rowOff>8344</xdr:rowOff>
    </xdr:to>
    <xdr:sp macro="" textlink="">
      <xdr:nvSpPr>
        <xdr:cNvPr id="8" name="Parallelogram 7">
          <a:extLst>
            <a:ext uri="{FF2B5EF4-FFF2-40B4-BE49-F238E27FC236}">
              <a16:creationId xmlns:a16="http://schemas.microsoft.com/office/drawing/2014/main" id="{00000000-0008-0000-0600-000008000000}"/>
            </a:ext>
          </a:extLst>
        </xdr:cNvPr>
        <xdr:cNvSpPr/>
      </xdr:nvSpPr>
      <xdr:spPr>
        <a:xfrm>
          <a:off x="883443" y="38554819"/>
          <a:ext cx="37838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Utilisation de méthodes alternatives</a:t>
          </a:r>
        </a:p>
      </xdr:txBody>
    </xdr:sp>
    <xdr:clientData/>
  </xdr:twoCellAnchor>
  <xdr:twoCellAnchor>
    <xdr:from>
      <xdr:col>1</xdr:col>
      <xdr:colOff>333375</xdr:colOff>
      <xdr:row>243</xdr:row>
      <xdr:rowOff>21432</xdr:rowOff>
    </xdr:from>
    <xdr:to>
      <xdr:col>6</xdr:col>
      <xdr:colOff>600075</xdr:colOff>
      <xdr:row>245</xdr:row>
      <xdr:rowOff>3582</xdr:rowOff>
    </xdr:to>
    <xdr:sp macro="" textlink="">
      <xdr:nvSpPr>
        <xdr:cNvPr id="9" name="Parallelogram 8">
          <a:extLst>
            <a:ext uri="{FF2B5EF4-FFF2-40B4-BE49-F238E27FC236}">
              <a16:creationId xmlns:a16="http://schemas.microsoft.com/office/drawing/2014/main" id="{00000000-0008-0000-0600-000009000000}"/>
            </a:ext>
          </a:extLst>
        </xdr:cNvPr>
        <xdr:cNvSpPr/>
      </xdr:nvSpPr>
      <xdr:spPr>
        <a:xfrm>
          <a:off x="940594" y="45050870"/>
          <a:ext cx="33027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Conditions</a:t>
          </a:r>
          <a:r>
            <a:rPr lang="fr-FR" sz="1100" baseline="0"/>
            <a:t> d'application des traitements</a:t>
          </a:r>
          <a:endParaRPr lang="fr-FR" sz="1100"/>
        </a:p>
      </xdr:txBody>
    </xdr:sp>
    <xdr:clientData/>
  </xdr:twoCellAnchor>
  <xdr:twoCellAnchor>
    <xdr:from>
      <xdr:col>1</xdr:col>
      <xdr:colOff>252411</xdr:colOff>
      <xdr:row>267</xdr:row>
      <xdr:rowOff>14288</xdr:rowOff>
    </xdr:from>
    <xdr:to>
      <xdr:col>6</xdr:col>
      <xdr:colOff>290511</xdr:colOff>
      <xdr:row>268</xdr:row>
      <xdr:rowOff>186938</xdr:rowOff>
    </xdr:to>
    <xdr:sp macro="" textlink="">
      <xdr:nvSpPr>
        <xdr:cNvPr id="10" name="Parallelogram 9">
          <a:extLst>
            <a:ext uri="{FF2B5EF4-FFF2-40B4-BE49-F238E27FC236}">
              <a16:creationId xmlns:a16="http://schemas.microsoft.com/office/drawing/2014/main" id="{00000000-0008-0000-0600-00000A000000}"/>
            </a:ext>
          </a:extLst>
        </xdr:cNvPr>
        <xdr:cNvSpPr/>
      </xdr:nvSpPr>
      <xdr:spPr>
        <a:xfrm>
          <a:off x="859630" y="49639538"/>
          <a:ext cx="30741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Diversité spécifique et variétale</a:t>
          </a:r>
        </a:p>
      </xdr:txBody>
    </xdr:sp>
    <xdr:clientData/>
  </xdr:twoCellAnchor>
  <xdr:twoCellAnchor editAs="oneCell">
    <xdr:from>
      <xdr:col>1</xdr:col>
      <xdr:colOff>295275</xdr:colOff>
      <xdr:row>308</xdr:row>
      <xdr:rowOff>16669</xdr:rowOff>
    </xdr:from>
    <xdr:to>
      <xdr:col>6</xdr:col>
      <xdr:colOff>321945</xdr:colOff>
      <xdr:row>310</xdr:row>
      <xdr:rowOff>19774</xdr:rowOff>
    </xdr:to>
    <xdr:sp macro="" textlink="">
      <xdr:nvSpPr>
        <xdr:cNvPr id="11" name="Parallelogram 10">
          <a:extLst>
            <a:ext uri="{FF2B5EF4-FFF2-40B4-BE49-F238E27FC236}">
              <a16:creationId xmlns:a16="http://schemas.microsoft.com/office/drawing/2014/main" id="{00000000-0008-0000-0600-00000B000000}"/>
            </a:ext>
          </a:extLst>
        </xdr:cNvPr>
        <xdr:cNvSpPr/>
      </xdr:nvSpPr>
      <xdr:spPr>
        <a:xfrm>
          <a:off x="902494" y="5747623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Couvert végétal inter-rang</a:t>
          </a:r>
        </a:p>
      </xdr:txBody>
    </xdr:sp>
    <xdr:clientData/>
  </xdr:twoCellAnchor>
  <xdr:twoCellAnchor>
    <xdr:from>
      <xdr:col>1</xdr:col>
      <xdr:colOff>271463</xdr:colOff>
      <xdr:row>341</xdr:row>
      <xdr:rowOff>2382</xdr:rowOff>
    </xdr:from>
    <xdr:to>
      <xdr:col>6</xdr:col>
      <xdr:colOff>1190625</xdr:colOff>
      <xdr:row>343</xdr:row>
      <xdr:rowOff>3582</xdr:rowOff>
    </xdr:to>
    <xdr:sp macro="" textlink="">
      <xdr:nvSpPr>
        <xdr:cNvPr id="12" name="Parallelogram 11">
          <a:extLst>
            <a:ext uri="{FF2B5EF4-FFF2-40B4-BE49-F238E27FC236}">
              <a16:creationId xmlns:a16="http://schemas.microsoft.com/office/drawing/2014/main" id="{00000000-0008-0000-0600-00000C000000}"/>
            </a:ext>
          </a:extLst>
        </xdr:cNvPr>
        <xdr:cNvSpPr/>
      </xdr:nvSpPr>
      <xdr:spPr>
        <a:xfrm>
          <a:off x="878682" y="63772257"/>
          <a:ext cx="3955256"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10. Recyclage et traitement des eaux d'irrigation</a:t>
          </a:r>
        </a:p>
      </xdr:txBody>
    </xdr:sp>
    <xdr:clientData/>
  </xdr:twoCellAnchor>
  <xdr:twoCellAnchor>
    <xdr:from>
      <xdr:col>15</xdr:col>
      <xdr:colOff>176225</xdr:colOff>
      <xdr:row>2</xdr:row>
      <xdr:rowOff>133351</xdr:rowOff>
    </xdr:from>
    <xdr:to>
      <xdr:col>18</xdr:col>
      <xdr:colOff>478569</xdr:colOff>
      <xdr:row>4</xdr:row>
      <xdr:rowOff>751</xdr:rowOff>
    </xdr:to>
    <xdr:sp macro="" textlink="">
      <xdr:nvSpPr>
        <xdr:cNvPr id="13" name="Parallelogram 12">
          <a:hlinkClick xmlns:r="http://schemas.openxmlformats.org/officeDocument/2006/relationships" r:id="rId3"/>
          <a:extLst>
            <a:ext uri="{FF2B5EF4-FFF2-40B4-BE49-F238E27FC236}">
              <a16:creationId xmlns:a16="http://schemas.microsoft.com/office/drawing/2014/main" id="{00000000-0008-0000-0600-00000D000000}"/>
            </a:ext>
          </a:extLst>
        </xdr:cNvPr>
        <xdr:cNvSpPr/>
      </xdr:nvSpPr>
      <xdr:spPr>
        <a:xfrm>
          <a:off x="9986975" y="514351"/>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 eaux</a:t>
          </a:r>
        </a:p>
      </xdr:txBody>
    </xdr:sp>
    <xdr:clientData/>
  </xdr:twoCellAnchor>
  <xdr:twoCellAnchor>
    <xdr:from>
      <xdr:col>2</xdr:col>
      <xdr:colOff>409575</xdr:colOff>
      <xdr:row>0</xdr:row>
      <xdr:rowOff>142875</xdr:rowOff>
    </xdr:from>
    <xdr:to>
      <xdr:col>6</xdr:col>
      <xdr:colOff>68700</xdr:colOff>
      <xdr:row>2</xdr:row>
      <xdr:rowOff>10275</xdr:rowOff>
    </xdr:to>
    <xdr:sp macro="" textlink="">
      <xdr:nvSpPr>
        <xdr:cNvPr id="14" name="Parallelogram 13">
          <a:hlinkClick xmlns:r="http://schemas.openxmlformats.org/officeDocument/2006/relationships" r:id="rId4"/>
          <a:extLst>
            <a:ext uri="{FF2B5EF4-FFF2-40B4-BE49-F238E27FC236}">
              <a16:creationId xmlns:a16="http://schemas.microsoft.com/office/drawing/2014/main" id="{00000000-0008-0000-0600-00000E000000}"/>
            </a:ext>
          </a:extLst>
        </xdr:cNvPr>
        <xdr:cNvSpPr/>
      </xdr:nvSpPr>
      <xdr:spPr>
        <a:xfrm>
          <a:off x="1624013"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CMR</a:t>
          </a:r>
        </a:p>
      </xdr:txBody>
    </xdr:sp>
    <xdr:clientData/>
  </xdr:twoCellAnchor>
  <xdr:twoCellAnchor>
    <xdr:from>
      <xdr:col>2</xdr:col>
      <xdr:colOff>409575</xdr:colOff>
      <xdr:row>2</xdr:row>
      <xdr:rowOff>133351</xdr:rowOff>
    </xdr:from>
    <xdr:to>
      <xdr:col>6</xdr:col>
      <xdr:colOff>68700</xdr:colOff>
      <xdr:row>4</xdr:row>
      <xdr:rowOff>751</xdr:rowOff>
    </xdr:to>
    <xdr:sp macro="" textlink="">
      <xdr:nvSpPr>
        <xdr:cNvPr id="15" name="Parallelogram 14">
          <a:hlinkClick xmlns:r="http://schemas.openxmlformats.org/officeDocument/2006/relationships" r:id="rId5"/>
          <a:extLst>
            <a:ext uri="{FF2B5EF4-FFF2-40B4-BE49-F238E27FC236}">
              <a16:creationId xmlns:a16="http://schemas.microsoft.com/office/drawing/2014/main" id="{00000000-0008-0000-0600-00000F000000}"/>
            </a:ext>
          </a:extLst>
        </xdr:cNvPr>
        <xdr:cNvSpPr/>
      </xdr:nvSpPr>
      <xdr:spPr>
        <a:xfrm>
          <a:off x="1624013"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Surfaces non traitées</a:t>
          </a:r>
        </a:p>
      </xdr:txBody>
    </xdr:sp>
    <xdr:clientData/>
  </xdr:twoCellAnchor>
  <xdr:twoCellAnchor>
    <xdr:from>
      <xdr:col>6</xdr:col>
      <xdr:colOff>83349</xdr:colOff>
      <xdr:row>0</xdr:row>
      <xdr:rowOff>142875</xdr:rowOff>
    </xdr:from>
    <xdr:to>
      <xdr:col>8</xdr:col>
      <xdr:colOff>254443</xdr:colOff>
      <xdr:row>2</xdr:row>
      <xdr:rowOff>10275</xdr:rowOff>
    </xdr:to>
    <xdr:sp macro="" textlink="">
      <xdr:nvSpPr>
        <xdr:cNvPr id="16" name="Parallelogram 15">
          <a:hlinkClick xmlns:r="http://schemas.openxmlformats.org/officeDocument/2006/relationships" r:id="rId6"/>
          <a:extLst>
            <a:ext uri="{FF2B5EF4-FFF2-40B4-BE49-F238E27FC236}">
              <a16:creationId xmlns:a16="http://schemas.microsoft.com/office/drawing/2014/main" id="{00000000-0008-0000-0600-000010000000}"/>
            </a:ext>
          </a:extLst>
        </xdr:cNvPr>
        <xdr:cNvSpPr/>
      </xdr:nvSpPr>
      <xdr:spPr>
        <a:xfrm>
          <a:off x="3726662"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IFT</a:t>
          </a:r>
        </a:p>
      </xdr:txBody>
    </xdr:sp>
    <xdr:clientData/>
  </xdr:twoCellAnchor>
  <xdr:twoCellAnchor>
    <xdr:from>
      <xdr:col>6</xdr:col>
      <xdr:colOff>83349</xdr:colOff>
      <xdr:row>2</xdr:row>
      <xdr:rowOff>133351</xdr:rowOff>
    </xdr:from>
    <xdr:to>
      <xdr:col>8</xdr:col>
      <xdr:colOff>254443</xdr:colOff>
      <xdr:row>4</xdr:row>
      <xdr:rowOff>751</xdr:rowOff>
    </xdr:to>
    <xdr:sp macro="" textlink="">
      <xdr:nvSpPr>
        <xdr:cNvPr id="17" name="Parallelogram 16">
          <a:hlinkClick xmlns:r="http://schemas.openxmlformats.org/officeDocument/2006/relationships" r:id="rId7"/>
          <a:extLst>
            <a:ext uri="{FF2B5EF4-FFF2-40B4-BE49-F238E27FC236}">
              <a16:creationId xmlns:a16="http://schemas.microsoft.com/office/drawing/2014/main" id="{00000000-0008-0000-0600-000011000000}"/>
            </a:ext>
          </a:extLst>
        </xdr:cNvPr>
        <xdr:cNvSpPr/>
      </xdr:nvSpPr>
      <xdr:spPr>
        <a:xfrm>
          <a:off x="3726662"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Quantité appliquée</a:t>
          </a:r>
        </a:p>
      </xdr:txBody>
    </xdr:sp>
    <xdr:clientData/>
  </xdr:twoCellAnchor>
  <xdr:twoCellAnchor>
    <xdr:from>
      <xdr:col>8</xdr:col>
      <xdr:colOff>245276</xdr:colOff>
      <xdr:row>0</xdr:row>
      <xdr:rowOff>142875</xdr:rowOff>
    </xdr:from>
    <xdr:to>
      <xdr:col>11</xdr:col>
      <xdr:colOff>511620</xdr:colOff>
      <xdr:row>2</xdr:row>
      <xdr:rowOff>10275</xdr:rowOff>
    </xdr:to>
    <xdr:sp macro="" textlink="">
      <xdr:nvSpPr>
        <xdr:cNvPr id="18" name="Parallelogram 17">
          <a:hlinkClick xmlns:r="http://schemas.openxmlformats.org/officeDocument/2006/relationships" r:id="rId8"/>
          <a:extLst>
            <a:ext uri="{FF2B5EF4-FFF2-40B4-BE49-F238E27FC236}">
              <a16:creationId xmlns:a16="http://schemas.microsoft.com/office/drawing/2014/main" id="{00000000-0008-0000-0600-000012000000}"/>
            </a:ext>
          </a:extLst>
        </xdr:cNvPr>
        <xdr:cNvSpPr/>
      </xdr:nvSpPr>
      <xdr:spPr>
        <a:xfrm>
          <a:off x="5805495"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Surveillance </a:t>
          </a:r>
        </a:p>
      </xdr:txBody>
    </xdr:sp>
    <xdr:clientData/>
  </xdr:twoCellAnchor>
  <xdr:twoCellAnchor>
    <xdr:from>
      <xdr:col>8</xdr:col>
      <xdr:colOff>245276</xdr:colOff>
      <xdr:row>2</xdr:row>
      <xdr:rowOff>133351</xdr:rowOff>
    </xdr:from>
    <xdr:to>
      <xdr:col>11</xdr:col>
      <xdr:colOff>511620</xdr:colOff>
      <xdr:row>4</xdr:row>
      <xdr:rowOff>751</xdr:rowOff>
    </xdr:to>
    <xdr:sp macro="" textlink="">
      <xdr:nvSpPr>
        <xdr:cNvPr id="19" name="Parallelogram 18">
          <a:hlinkClick xmlns:r="http://schemas.openxmlformats.org/officeDocument/2006/relationships" r:id="rId9"/>
          <a:extLst>
            <a:ext uri="{FF2B5EF4-FFF2-40B4-BE49-F238E27FC236}">
              <a16:creationId xmlns:a16="http://schemas.microsoft.com/office/drawing/2014/main" id="{00000000-0008-0000-0600-000013000000}"/>
            </a:ext>
          </a:extLst>
        </xdr:cNvPr>
        <xdr:cNvSpPr/>
      </xdr:nvSpPr>
      <xdr:spPr>
        <a:xfrm>
          <a:off x="5805495"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Méthodes alternatives</a:t>
          </a:r>
        </a:p>
      </xdr:txBody>
    </xdr:sp>
    <xdr:clientData/>
  </xdr:twoCellAnchor>
  <xdr:twoCellAnchor>
    <xdr:from>
      <xdr:col>11</xdr:col>
      <xdr:colOff>514355</xdr:colOff>
      <xdr:row>0</xdr:row>
      <xdr:rowOff>142875</xdr:rowOff>
    </xdr:from>
    <xdr:to>
      <xdr:col>15</xdr:col>
      <xdr:colOff>173480</xdr:colOff>
      <xdr:row>2</xdr:row>
      <xdr:rowOff>10275</xdr:rowOff>
    </xdr:to>
    <xdr:sp macro="" textlink="">
      <xdr:nvSpPr>
        <xdr:cNvPr id="20" name="Parallelogram 19">
          <a:hlinkClick xmlns:r="http://schemas.openxmlformats.org/officeDocument/2006/relationships" r:id="rId10"/>
          <a:extLst>
            <a:ext uri="{FF2B5EF4-FFF2-40B4-BE49-F238E27FC236}">
              <a16:creationId xmlns:a16="http://schemas.microsoft.com/office/drawing/2014/main" id="{00000000-0008-0000-0600-000014000000}"/>
            </a:ext>
          </a:extLst>
        </xdr:cNvPr>
        <xdr:cNvSpPr/>
      </xdr:nvSpPr>
      <xdr:spPr>
        <a:xfrm>
          <a:off x="7896230"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Application traitements</a:t>
          </a:r>
        </a:p>
      </xdr:txBody>
    </xdr:sp>
    <xdr:clientData/>
  </xdr:twoCellAnchor>
  <xdr:twoCellAnchor>
    <xdr:from>
      <xdr:col>11</xdr:col>
      <xdr:colOff>514355</xdr:colOff>
      <xdr:row>2</xdr:row>
      <xdr:rowOff>133351</xdr:rowOff>
    </xdr:from>
    <xdr:to>
      <xdr:col>15</xdr:col>
      <xdr:colOff>173480</xdr:colOff>
      <xdr:row>4</xdr:row>
      <xdr:rowOff>751</xdr:rowOff>
    </xdr:to>
    <xdr:sp macro="" textlink="">
      <xdr:nvSpPr>
        <xdr:cNvPr id="21" name="Parallelogram 20">
          <a:hlinkClick xmlns:r="http://schemas.openxmlformats.org/officeDocument/2006/relationships" r:id="rId11"/>
          <a:extLst>
            <a:ext uri="{FF2B5EF4-FFF2-40B4-BE49-F238E27FC236}">
              <a16:creationId xmlns:a16="http://schemas.microsoft.com/office/drawing/2014/main" id="{00000000-0008-0000-0600-000015000000}"/>
            </a:ext>
          </a:extLst>
        </xdr:cNvPr>
        <xdr:cNvSpPr/>
      </xdr:nvSpPr>
      <xdr:spPr>
        <a:xfrm>
          <a:off x="7896230"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Diversité variétale</a:t>
          </a:r>
        </a:p>
      </xdr:txBody>
    </xdr:sp>
    <xdr:clientData/>
  </xdr:twoCellAnchor>
  <xdr:twoCellAnchor>
    <xdr:from>
      <xdr:col>15</xdr:col>
      <xdr:colOff>176225</xdr:colOff>
      <xdr:row>0</xdr:row>
      <xdr:rowOff>142875</xdr:rowOff>
    </xdr:from>
    <xdr:to>
      <xdr:col>18</xdr:col>
      <xdr:colOff>478569</xdr:colOff>
      <xdr:row>2</xdr:row>
      <xdr:rowOff>10275</xdr:rowOff>
    </xdr:to>
    <xdr:sp macro="" textlink="">
      <xdr:nvSpPr>
        <xdr:cNvPr id="22" name="Parallelogram 21">
          <a:hlinkClick xmlns:r="http://schemas.openxmlformats.org/officeDocument/2006/relationships" r:id="rId12"/>
          <a:extLst>
            <a:ext uri="{FF2B5EF4-FFF2-40B4-BE49-F238E27FC236}">
              <a16:creationId xmlns:a16="http://schemas.microsoft.com/office/drawing/2014/main" id="{00000000-0008-0000-0600-000016000000}"/>
            </a:ext>
          </a:extLst>
        </xdr:cNvPr>
        <xdr:cNvSpPr/>
      </xdr:nvSpPr>
      <xdr:spPr>
        <a:xfrm>
          <a:off x="9986975" y="142875"/>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 végétal inter-rang</a:t>
          </a:r>
        </a:p>
      </xdr:txBody>
    </xdr:sp>
    <xdr:clientData/>
  </xdr:twoCellAnchor>
  <xdr:twoCellAnchor>
    <xdr:from>
      <xdr:col>1</xdr:col>
      <xdr:colOff>324116</xdr:colOff>
      <xdr:row>375</xdr:row>
      <xdr:rowOff>6615</xdr:rowOff>
    </xdr:from>
    <xdr:to>
      <xdr:col>6</xdr:col>
      <xdr:colOff>318637</xdr:colOff>
      <xdr:row>377</xdr:row>
      <xdr:rowOff>19644</xdr:rowOff>
    </xdr:to>
    <xdr:sp macro="" textlink="">
      <xdr:nvSpPr>
        <xdr:cNvPr id="23" name="Parallelogram 22">
          <a:extLst>
            <a:ext uri="{FF2B5EF4-FFF2-40B4-BE49-F238E27FC236}">
              <a16:creationId xmlns:a16="http://schemas.microsoft.com/office/drawing/2014/main" id="{00000000-0008-0000-0600-000017000000}"/>
            </a:ext>
          </a:extLst>
        </xdr:cNvPr>
        <xdr:cNvSpPr/>
      </xdr:nvSpPr>
      <xdr:spPr>
        <a:xfrm>
          <a:off x="931335" y="70277303"/>
          <a:ext cx="3030615" cy="4059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18</xdr:col>
      <xdr:colOff>470963</xdr:colOff>
      <xdr:row>0</xdr:row>
      <xdr:rowOff>137587</xdr:rowOff>
    </xdr:from>
    <xdr:to>
      <xdr:col>21</xdr:col>
      <xdr:colOff>449306</xdr:colOff>
      <xdr:row>2</xdr:row>
      <xdr:rowOff>4987</xdr:rowOff>
    </xdr:to>
    <xdr:sp macro="" textlink="">
      <xdr:nvSpPr>
        <xdr:cNvPr id="24" name="Parallelogram 23">
          <a:hlinkClick xmlns:r="http://schemas.openxmlformats.org/officeDocument/2006/relationships" r:id="rId13"/>
          <a:extLst>
            <a:ext uri="{FF2B5EF4-FFF2-40B4-BE49-F238E27FC236}">
              <a16:creationId xmlns:a16="http://schemas.microsoft.com/office/drawing/2014/main" id="{00000000-0008-0000-0600-000018000000}"/>
            </a:ext>
          </a:extLst>
        </xdr:cNvPr>
        <xdr:cNvSpPr/>
      </xdr:nvSpPr>
      <xdr:spPr>
        <a:xfrm>
          <a:off x="12103369" y="137587"/>
          <a:ext cx="1800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59542</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207310</xdr:colOff>
      <xdr:row>6</xdr:row>
      <xdr:rowOff>38100</xdr:rowOff>
    </xdr:from>
    <xdr:to>
      <xdr:col>6</xdr:col>
      <xdr:colOff>245410</xdr:colOff>
      <xdr:row>7</xdr:row>
      <xdr:rowOff>172650</xdr:rowOff>
    </xdr:to>
    <xdr:sp macro="" textlink="">
      <xdr:nvSpPr>
        <xdr:cNvPr id="3" name="Parallelogram 2">
          <a:extLst>
            <a:ext uri="{FF2B5EF4-FFF2-40B4-BE49-F238E27FC236}">
              <a16:creationId xmlns:a16="http://schemas.microsoft.com/office/drawing/2014/main" id="{00000000-0008-0000-0700-000003000000}"/>
            </a:ext>
          </a:extLst>
        </xdr:cNvPr>
        <xdr:cNvSpPr/>
      </xdr:nvSpPr>
      <xdr:spPr>
        <a:xfrm>
          <a:off x="812428" y="1181100"/>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Bilan azoté</a:t>
          </a:r>
        </a:p>
      </xdr:txBody>
    </xdr:sp>
    <xdr:clientData/>
  </xdr:twoCellAnchor>
  <xdr:twoCellAnchor>
    <xdr:from>
      <xdr:col>1</xdr:col>
      <xdr:colOff>285750</xdr:colOff>
      <xdr:row>81</xdr:row>
      <xdr:rowOff>25213</xdr:rowOff>
    </xdr:from>
    <xdr:to>
      <xdr:col>6</xdr:col>
      <xdr:colOff>323850</xdr:colOff>
      <xdr:row>82</xdr:row>
      <xdr:rowOff>169288</xdr:rowOff>
    </xdr:to>
    <xdr:sp macro="" textlink="">
      <xdr:nvSpPr>
        <xdr:cNvPr id="4" name="Parallelogram 3">
          <a:extLst>
            <a:ext uri="{FF2B5EF4-FFF2-40B4-BE49-F238E27FC236}">
              <a16:creationId xmlns:a16="http://schemas.microsoft.com/office/drawing/2014/main" id="{00000000-0008-0000-0700-000004000000}"/>
            </a:ext>
          </a:extLst>
        </xdr:cNvPr>
        <xdr:cNvSpPr/>
      </xdr:nvSpPr>
      <xdr:spPr>
        <a:xfrm>
          <a:off x="890868" y="15500537"/>
          <a:ext cx="3063688" cy="3457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Quantité d'azote apportée</a:t>
          </a:r>
        </a:p>
      </xdr:txBody>
    </xdr:sp>
    <xdr:clientData/>
  </xdr:twoCellAnchor>
  <xdr:twoCellAnchor>
    <xdr:from>
      <xdr:col>1</xdr:col>
      <xdr:colOff>295275</xdr:colOff>
      <xdr:row>112</xdr:row>
      <xdr:rowOff>33057</xdr:rowOff>
    </xdr:from>
    <xdr:to>
      <xdr:col>6</xdr:col>
      <xdr:colOff>333375</xdr:colOff>
      <xdr:row>113</xdr:row>
      <xdr:rowOff>186657</xdr:rowOff>
    </xdr:to>
    <xdr:sp macro="" textlink="">
      <xdr:nvSpPr>
        <xdr:cNvPr id="5" name="Parallelogram 4">
          <a:extLst>
            <a:ext uri="{FF2B5EF4-FFF2-40B4-BE49-F238E27FC236}">
              <a16:creationId xmlns:a16="http://schemas.microsoft.com/office/drawing/2014/main" id="{00000000-0008-0000-0700-000005000000}"/>
            </a:ext>
          </a:extLst>
        </xdr:cNvPr>
        <xdr:cNvSpPr/>
      </xdr:nvSpPr>
      <xdr:spPr>
        <a:xfrm>
          <a:off x="900393" y="21436292"/>
          <a:ext cx="3063688" cy="3553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Part de l'azote</a:t>
          </a:r>
          <a:r>
            <a:rPr lang="fr-FR" sz="1100" baseline="0"/>
            <a:t> organique apporté</a:t>
          </a:r>
          <a:endParaRPr lang="fr-FR" sz="1100"/>
        </a:p>
      </xdr:txBody>
    </xdr:sp>
    <xdr:clientData/>
  </xdr:twoCellAnchor>
  <xdr:twoCellAnchor>
    <xdr:from>
      <xdr:col>1</xdr:col>
      <xdr:colOff>342900</xdr:colOff>
      <xdr:row>134</xdr:row>
      <xdr:rowOff>25213</xdr:rowOff>
    </xdr:from>
    <xdr:to>
      <xdr:col>6</xdr:col>
      <xdr:colOff>381000</xdr:colOff>
      <xdr:row>135</xdr:row>
      <xdr:rowOff>188338</xdr:rowOff>
    </xdr:to>
    <xdr:sp macro="" textlink="">
      <xdr:nvSpPr>
        <xdr:cNvPr id="6" name="Parallelogram 5">
          <a:extLst>
            <a:ext uri="{FF2B5EF4-FFF2-40B4-BE49-F238E27FC236}">
              <a16:creationId xmlns:a16="http://schemas.microsoft.com/office/drawing/2014/main" id="{00000000-0008-0000-0700-000006000000}"/>
            </a:ext>
          </a:extLst>
        </xdr:cNvPr>
        <xdr:cNvSpPr/>
      </xdr:nvSpPr>
      <xdr:spPr>
        <a:xfrm>
          <a:off x="948018" y="25641860"/>
          <a:ext cx="3063688"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Utilisation d'OAD</a:t>
          </a:r>
        </a:p>
      </xdr:txBody>
    </xdr:sp>
    <xdr:clientData/>
  </xdr:twoCellAnchor>
  <xdr:twoCellAnchor>
    <xdr:from>
      <xdr:col>1</xdr:col>
      <xdr:colOff>381000</xdr:colOff>
      <xdr:row>203</xdr:row>
      <xdr:rowOff>12326</xdr:rowOff>
    </xdr:from>
    <xdr:to>
      <xdr:col>6</xdr:col>
      <xdr:colOff>419100</xdr:colOff>
      <xdr:row>204</xdr:row>
      <xdr:rowOff>184976</xdr:rowOff>
    </xdr:to>
    <xdr:sp macro="" textlink="">
      <xdr:nvSpPr>
        <xdr:cNvPr id="7" name="Parallelogram 6">
          <a:extLst>
            <a:ext uri="{FF2B5EF4-FFF2-40B4-BE49-F238E27FC236}">
              <a16:creationId xmlns:a16="http://schemas.microsoft.com/office/drawing/2014/main" id="{00000000-0008-0000-0700-000007000000}"/>
            </a:ext>
          </a:extLst>
        </xdr:cNvPr>
        <xdr:cNvSpPr/>
      </xdr:nvSpPr>
      <xdr:spPr>
        <a:xfrm>
          <a:off x="986118" y="38033885"/>
          <a:ext cx="30636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Pourcentage de la SAU non</a:t>
          </a:r>
          <a:r>
            <a:rPr lang="fr-FR" sz="1100" baseline="0"/>
            <a:t> fertilisée</a:t>
          </a:r>
          <a:endParaRPr lang="fr-FR" sz="1100"/>
        </a:p>
      </xdr:txBody>
    </xdr:sp>
    <xdr:clientData/>
  </xdr:twoCellAnchor>
  <xdr:twoCellAnchor>
    <xdr:from>
      <xdr:col>1</xdr:col>
      <xdr:colOff>419100</xdr:colOff>
      <xdr:row>227</xdr:row>
      <xdr:rowOff>15688</xdr:rowOff>
    </xdr:from>
    <xdr:to>
      <xdr:col>6</xdr:col>
      <xdr:colOff>457200</xdr:colOff>
      <xdr:row>229</xdr:row>
      <xdr:rowOff>7363</xdr:rowOff>
    </xdr:to>
    <xdr:sp macro="" textlink="">
      <xdr:nvSpPr>
        <xdr:cNvPr id="8" name="Parallelogram 7">
          <a:extLst>
            <a:ext uri="{FF2B5EF4-FFF2-40B4-BE49-F238E27FC236}">
              <a16:creationId xmlns:a16="http://schemas.microsoft.com/office/drawing/2014/main" id="{00000000-0008-0000-0700-000008000000}"/>
            </a:ext>
          </a:extLst>
        </xdr:cNvPr>
        <xdr:cNvSpPr/>
      </xdr:nvSpPr>
      <xdr:spPr>
        <a:xfrm>
          <a:off x="1024218" y="42631659"/>
          <a:ext cx="3063688" cy="3838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Part des légumineuses dans la SAU</a:t>
          </a:r>
        </a:p>
      </xdr:txBody>
    </xdr:sp>
    <xdr:clientData/>
  </xdr:twoCellAnchor>
  <xdr:twoCellAnchor>
    <xdr:from>
      <xdr:col>1</xdr:col>
      <xdr:colOff>361950</xdr:colOff>
      <xdr:row>255</xdr:row>
      <xdr:rowOff>10645</xdr:rowOff>
    </xdr:from>
    <xdr:to>
      <xdr:col>6</xdr:col>
      <xdr:colOff>400050</xdr:colOff>
      <xdr:row>257</xdr:row>
      <xdr:rowOff>11845</xdr:rowOff>
    </xdr:to>
    <xdr:sp macro="" textlink="">
      <xdr:nvSpPr>
        <xdr:cNvPr id="9" name="Parallelogram 8">
          <a:extLst>
            <a:ext uri="{FF2B5EF4-FFF2-40B4-BE49-F238E27FC236}">
              <a16:creationId xmlns:a16="http://schemas.microsoft.com/office/drawing/2014/main" id="{00000000-0008-0000-0700-000009000000}"/>
            </a:ext>
          </a:extLst>
        </xdr:cNvPr>
        <xdr:cNvSpPr/>
      </xdr:nvSpPr>
      <xdr:spPr>
        <a:xfrm>
          <a:off x="967068" y="47792527"/>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Couverture des sols</a:t>
          </a:r>
        </a:p>
      </xdr:txBody>
    </xdr:sp>
    <xdr:clientData/>
  </xdr:twoCellAnchor>
  <xdr:twoCellAnchor>
    <xdr:from>
      <xdr:col>1</xdr:col>
      <xdr:colOff>314323</xdr:colOff>
      <xdr:row>311</xdr:row>
      <xdr:rowOff>183776</xdr:rowOff>
    </xdr:from>
    <xdr:to>
      <xdr:col>9</xdr:col>
      <xdr:colOff>168087</xdr:colOff>
      <xdr:row>314</xdr:row>
      <xdr:rowOff>4001</xdr:rowOff>
    </xdr:to>
    <xdr:sp macro="" textlink="">
      <xdr:nvSpPr>
        <xdr:cNvPr id="10" name="Parallelogram 9">
          <a:extLst>
            <a:ext uri="{FF2B5EF4-FFF2-40B4-BE49-F238E27FC236}">
              <a16:creationId xmlns:a16="http://schemas.microsoft.com/office/drawing/2014/main" id="{00000000-0008-0000-0700-00000A000000}"/>
            </a:ext>
          </a:extLst>
        </xdr:cNvPr>
        <xdr:cNvSpPr/>
      </xdr:nvSpPr>
      <xdr:spPr>
        <a:xfrm>
          <a:off x="919441" y="56179570"/>
          <a:ext cx="4694705"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Utilisation de matériels optimisant les apports de</a:t>
          </a:r>
          <a:r>
            <a:rPr lang="fr-FR" sz="1100" baseline="0"/>
            <a:t> fertilisants</a:t>
          </a:r>
          <a:endParaRPr lang="fr-FR" sz="1100"/>
        </a:p>
      </xdr:txBody>
    </xdr:sp>
    <xdr:clientData/>
  </xdr:twoCellAnchor>
  <xdr:twoCellAnchor>
    <xdr:from>
      <xdr:col>1</xdr:col>
      <xdr:colOff>266700</xdr:colOff>
      <xdr:row>337</xdr:row>
      <xdr:rowOff>1120</xdr:rowOff>
    </xdr:from>
    <xdr:to>
      <xdr:col>7</xdr:col>
      <xdr:colOff>403411</xdr:colOff>
      <xdr:row>339</xdr:row>
      <xdr:rowOff>21370</xdr:rowOff>
    </xdr:to>
    <xdr:sp macro="" textlink="">
      <xdr:nvSpPr>
        <xdr:cNvPr id="11" name="Parallelogram 10">
          <a:extLst>
            <a:ext uri="{FF2B5EF4-FFF2-40B4-BE49-F238E27FC236}">
              <a16:creationId xmlns:a16="http://schemas.microsoft.com/office/drawing/2014/main" id="{00000000-0008-0000-0700-00000B000000}"/>
            </a:ext>
          </a:extLst>
        </xdr:cNvPr>
        <xdr:cNvSpPr/>
      </xdr:nvSpPr>
      <xdr:spPr>
        <a:xfrm>
          <a:off x="871818" y="60972326"/>
          <a:ext cx="3767417"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twoCellAnchor>
    <xdr:from>
      <xdr:col>14</xdr:col>
      <xdr:colOff>416292</xdr:colOff>
      <xdr:row>0</xdr:row>
      <xdr:rowOff>160249</xdr:rowOff>
    </xdr:from>
    <xdr:to>
      <xdr:col>17</xdr:col>
      <xdr:colOff>178692</xdr:colOff>
      <xdr:row>2</xdr:row>
      <xdr:rowOff>27649</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00000000-0008-0000-0700-00000C000000}"/>
            </a:ext>
          </a:extLst>
        </xdr:cNvPr>
        <xdr:cNvSpPr/>
      </xdr:nvSpPr>
      <xdr:spPr>
        <a:xfrm>
          <a:off x="8887939"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a:t>
          </a:r>
          <a:r>
            <a:rPr lang="fr-FR" sz="1100" b="1" baseline="0">
              <a:solidFill>
                <a:schemeClr val="accent1">
                  <a:lumMod val="50000"/>
                </a:schemeClr>
              </a:solidFill>
            </a:rPr>
            <a:t> eaux</a:t>
          </a:r>
          <a:endParaRPr lang="fr-FR" sz="1100" b="1">
            <a:solidFill>
              <a:schemeClr val="accent1">
                <a:lumMod val="50000"/>
              </a:schemeClr>
            </a:solidFill>
          </a:endParaRPr>
        </a:p>
      </xdr:txBody>
    </xdr:sp>
    <xdr:clientData/>
  </xdr:twoCellAnchor>
  <xdr:twoCellAnchor>
    <xdr:from>
      <xdr:col>11</xdr:col>
      <xdr:colOff>426519</xdr:colOff>
      <xdr:row>2</xdr:row>
      <xdr:rowOff>154081</xdr:rowOff>
    </xdr:from>
    <xdr:to>
      <xdr:col>14</xdr:col>
      <xdr:colOff>188919</xdr:colOff>
      <xdr:row>4</xdr:row>
      <xdr:rowOff>21481</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00000000-0008-0000-0700-00000D000000}"/>
            </a:ext>
          </a:extLst>
        </xdr:cNvPr>
        <xdr:cNvSpPr/>
      </xdr:nvSpPr>
      <xdr:spPr>
        <a:xfrm>
          <a:off x="7082813"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Mat. fertilisants</a:t>
          </a:r>
        </a:p>
      </xdr:txBody>
    </xdr:sp>
    <xdr:clientData/>
  </xdr:twoCellAnchor>
  <xdr:twoCellAnchor>
    <xdr:from>
      <xdr:col>8</xdr:col>
      <xdr:colOff>436746</xdr:colOff>
      <xdr:row>0</xdr:row>
      <xdr:rowOff>160249</xdr:rowOff>
    </xdr:from>
    <xdr:to>
      <xdr:col>11</xdr:col>
      <xdr:colOff>199146</xdr:colOff>
      <xdr:row>2</xdr:row>
      <xdr:rowOff>27649</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00000000-0008-0000-0700-00000E000000}"/>
            </a:ext>
          </a:extLst>
        </xdr:cNvPr>
        <xdr:cNvSpPr/>
      </xdr:nvSpPr>
      <xdr:spPr>
        <a:xfrm>
          <a:off x="5277687"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a:t>
          </a:r>
          <a:r>
            <a:rPr lang="fr-FR" sz="1100" b="1" baseline="0">
              <a:solidFill>
                <a:schemeClr val="accent1">
                  <a:lumMod val="50000"/>
                </a:schemeClr>
              </a:solidFill>
            </a:rPr>
            <a:t> non fertilisée</a:t>
          </a:r>
          <a:endParaRPr lang="fr-FR" sz="1100" b="1">
            <a:solidFill>
              <a:schemeClr val="accent1">
                <a:lumMod val="50000"/>
              </a:schemeClr>
            </a:solidFill>
          </a:endParaRPr>
        </a:p>
      </xdr:txBody>
    </xdr:sp>
    <xdr:clientData/>
  </xdr:twoCellAnchor>
  <xdr:twoCellAnchor>
    <xdr:from>
      <xdr:col>8</xdr:col>
      <xdr:colOff>436746</xdr:colOff>
      <xdr:row>2</xdr:row>
      <xdr:rowOff>154081</xdr:rowOff>
    </xdr:from>
    <xdr:to>
      <xdr:col>11</xdr:col>
      <xdr:colOff>199146</xdr:colOff>
      <xdr:row>4</xdr:row>
      <xdr:rowOff>21481</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0000000-0008-0000-0700-00000F000000}"/>
            </a:ext>
          </a:extLst>
        </xdr:cNvPr>
        <xdr:cNvSpPr/>
      </xdr:nvSpPr>
      <xdr:spPr>
        <a:xfrm>
          <a:off x="5277687"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Légumineuses</a:t>
          </a:r>
        </a:p>
      </xdr:txBody>
    </xdr:sp>
    <xdr:clientData/>
  </xdr:twoCellAnchor>
  <xdr:twoCellAnchor>
    <xdr:from>
      <xdr:col>11</xdr:col>
      <xdr:colOff>426519</xdr:colOff>
      <xdr:row>0</xdr:row>
      <xdr:rowOff>160249</xdr:rowOff>
    </xdr:from>
    <xdr:to>
      <xdr:col>14</xdr:col>
      <xdr:colOff>188919</xdr:colOff>
      <xdr:row>2</xdr:row>
      <xdr:rowOff>27649</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00000000-0008-0000-0700-000010000000}"/>
            </a:ext>
          </a:extLst>
        </xdr:cNvPr>
        <xdr:cNvSpPr/>
      </xdr:nvSpPr>
      <xdr:spPr>
        <a:xfrm>
          <a:off x="7082813"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Couverture</a:t>
          </a:r>
        </a:p>
      </xdr:txBody>
    </xdr:sp>
    <xdr:clientData/>
  </xdr:twoCellAnchor>
  <xdr:twoCellAnchor>
    <xdr:from>
      <xdr:col>2</xdr:col>
      <xdr:colOff>457200</xdr:colOff>
      <xdr:row>2</xdr:row>
      <xdr:rowOff>154081</xdr:rowOff>
    </xdr:from>
    <xdr:to>
      <xdr:col>5</xdr:col>
      <xdr:colOff>219600</xdr:colOff>
      <xdr:row>4</xdr:row>
      <xdr:rowOff>21481</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00000000-0008-0000-0700-000011000000}"/>
            </a:ext>
          </a:extLst>
        </xdr:cNvPr>
        <xdr:cNvSpPr/>
      </xdr:nvSpPr>
      <xdr:spPr>
        <a:xfrm>
          <a:off x="1667435"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Qté apportée</a:t>
          </a:r>
        </a:p>
      </xdr:txBody>
    </xdr:sp>
    <xdr:clientData/>
  </xdr:twoCellAnchor>
  <xdr:twoCellAnchor>
    <xdr:from>
      <xdr:col>5</xdr:col>
      <xdr:colOff>446973</xdr:colOff>
      <xdr:row>0</xdr:row>
      <xdr:rowOff>160249</xdr:rowOff>
    </xdr:from>
    <xdr:to>
      <xdr:col>8</xdr:col>
      <xdr:colOff>209373</xdr:colOff>
      <xdr:row>2</xdr:row>
      <xdr:rowOff>27649</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00000000-0008-0000-0700-000012000000}"/>
            </a:ext>
          </a:extLst>
        </xdr:cNvPr>
        <xdr:cNvSpPr/>
      </xdr:nvSpPr>
      <xdr:spPr>
        <a:xfrm>
          <a:off x="3472561"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Azote organique</a:t>
          </a:r>
        </a:p>
      </xdr:txBody>
    </xdr:sp>
    <xdr:clientData/>
  </xdr:twoCellAnchor>
  <xdr:twoCellAnchor>
    <xdr:from>
      <xdr:col>5</xdr:col>
      <xdr:colOff>446973</xdr:colOff>
      <xdr:row>2</xdr:row>
      <xdr:rowOff>154081</xdr:rowOff>
    </xdr:from>
    <xdr:to>
      <xdr:col>8</xdr:col>
      <xdr:colOff>209373</xdr:colOff>
      <xdr:row>4</xdr:row>
      <xdr:rowOff>21481</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00000000-0008-0000-0700-000013000000}"/>
            </a:ext>
          </a:extLst>
        </xdr:cNvPr>
        <xdr:cNvSpPr/>
      </xdr:nvSpPr>
      <xdr:spPr>
        <a:xfrm>
          <a:off x="3472561"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OAD</a:t>
          </a:r>
        </a:p>
      </xdr:txBody>
    </xdr:sp>
    <xdr:clientData/>
  </xdr:twoCellAnchor>
  <xdr:twoCellAnchor>
    <xdr:from>
      <xdr:col>2</xdr:col>
      <xdr:colOff>457200</xdr:colOff>
      <xdr:row>0</xdr:row>
      <xdr:rowOff>160249</xdr:rowOff>
    </xdr:from>
    <xdr:to>
      <xdr:col>5</xdr:col>
      <xdr:colOff>219600</xdr:colOff>
      <xdr:row>2</xdr:row>
      <xdr:rowOff>27649</xdr:rowOff>
    </xdr:to>
    <xdr:sp macro="" textlink="">
      <xdr:nvSpPr>
        <xdr:cNvPr id="20" name="Parallelogram 19">
          <a:hlinkClick xmlns:r="http://schemas.openxmlformats.org/officeDocument/2006/relationships" r:id="rId11"/>
          <a:extLst>
            <a:ext uri="{FF2B5EF4-FFF2-40B4-BE49-F238E27FC236}">
              <a16:creationId xmlns:a16="http://schemas.microsoft.com/office/drawing/2014/main" id="{00000000-0008-0000-0700-000014000000}"/>
            </a:ext>
          </a:extLst>
        </xdr:cNvPr>
        <xdr:cNvSpPr/>
      </xdr:nvSpPr>
      <xdr:spPr>
        <a:xfrm>
          <a:off x="1667435"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Bilan azoté</a:t>
          </a:r>
        </a:p>
      </xdr:txBody>
    </xdr:sp>
    <xdr:clientData/>
  </xdr:twoCellAnchor>
  <xdr:twoCellAnchor>
    <xdr:from>
      <xdr:col>1</xdr:col>
      <xdr:colOff>359834</xdr:colOff>
      <xdr:row>365</xdr:row>
      <xdr:rowOff>8715</xdr:rowOff>
    </xdr:from>
    <xdr:to>
      <xdr:col>6</xdr:col>
      <xdr:colOff>354355</xdr:colOff>
      <xdr:row>367</xdr:row>
      <xdr:rowOff>21744</xdr:rowOff>
    </xdr:to>
    <xdr:sp macro="" textlink="">
      <xdr:nvSpPr>
        <xdr:cNvPr id="21" name="Parallelogram 20">
          <a:extLst>
            <a:ext uri="{FF2B5EF4-FFF2-40B4-BE49-F238E27FC236}">
              <a16:creationId xmlns:a16="http://schemas.microsoft.com/office/drawing/2014/main" id="{00000000-0008-0000-0700-000015000000}"/>
            </a:ext>
          </a:extLst>
        </xdr:cNvPr>
        <xdr:cNvSpPr/>
      </xdr:nvSpPr>
      <xdr:spPr>
        <a:xfrm>
          <a:off x="964952" y="66336333"/>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14</xdr:col>
      <xdr:colOff>416292</xdr:colOff>
      <xdr:row>2</xdr:row>
      <xdr:rowOff>154081</xdr:rowOff>
    </xdr:from>
    <xdr:to>
      <xdr:col>17</xdr:col>
      <xdr:colOff>178692</xdr:colOff>
      <xdr:row>4</xdr:row>
      <xdr:rowOff>21481</xdr:rowOff>
    </xdr:to>
    <xdr:sp macro="" textlink="">
      <xdr:nvSpPr>
        <xdr:cNvPr id="22" name="Parallelogram 21">
          <a:hlinkClick xmlns:r="http://schemas.openxmlformats.org/officeDocument/2006/relationships" r:id="rId12"/>
          <a:extLst>
            <a:ext uri="{FF2B5EF4-FFF2-40B4-BE49-F238E27FC236}">
              <a16:creationId xmlns:a16="http://schemas.microsoft.com/office/drawing/2014/main" id="{00000000-0008-0000-0700-000016000000}"/>
            </a:ext>
          </a:extLst>
        </xdr:cNvPr>
        <xdr:cNvSpPr/>
      </xdr:nvSpPr>
      <xdr:spPr>
        <a:xfrm>
          <a:off x="8887939"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xdr:from>
      <xdr:col>1</xdr:col>
      <xdr:colOff>266700</xdr:colOff>
      <xdr:row>337</xdr:row>
      <xdr:rowOff>1120</xdr:rowOff>
    </xdr:from>
    <xdr:to>
      <xdr:col>7</xdr:col>
      <xdr:colOff>403411</xdr:colOff>
      <xdr:row>339</xdr:row>
      <xdr:rowOff>21370</xdr:rowOff>
    </xdr:to>
    <xdr:sp macro="" textlink="">
      <xdr:nvSpPr>
        <xdr:cNvPr id="23" name="Parallelogram 10">
          <a:extLst>
            <a:ext uri="{FF2B5EF4-FFF2-40B4-BE49-F238E27FC236}">
              <a16:creationId xmlns:a16="http://schemas.microsoft.com/office/drawing/2014/main" id="{256C415F-A84D-4064-A306-1677D034FD56}"/>
            </a:ext>
          </a:extLst>
        </xdr:cNvPr>
        <xdr:cNvSpPr/>
      </xdr:nvSpPr>
      <xdr:spPr>
        <a:xfrm>
          <a:off x="891540" y="60892540"/>
          <a:ext cx="3885751" cy="39363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59542</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1</xdr:col>
      <xdr:colOff>243729</xdr:colOff>
      <xdr:row>6</xdr:row>
      <xdr:rowOff>31376</xdr:rowOff>
    </xdr:from>
    <xdr:to>
      <xdr:col>6</xdr:col>
      <xdr:colOff>281829</xdr:colOff>
      <xdr:row>7</xdr:row>
      <xdr:rowOff>165926</xdr:rowOff>
    </xdr:to>
    <xdr:sp macro="" textlink="">
      <xdr:nvSpPr>
        <xdr:cNvPr id="3" name="Parallelogram 2">
          <a:extLst>
            <a:ext uri="{FF2B5EF4-FFF2-40B4-BE49-F238E27FC236}">
              <a16:creationId xmlns:a16="http://schemas.microsoft.com/office/drawing/2014/main" id="{00000000-0008-0000-0800-000003000000}"/>
            </a:ext>
          </a:extLst>
        </xdr:cNvPr>
        <xdr:cNvSpPr/>
      </xdr:nvSpPr>
      <xdr:spPr>
        <a:xfrm>
          <a:off x="848847" y="1174376"/>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Informations préalables</a:t>
          </a:r>
          <a:endParaRPr lang="fr-FR" sz="1100"/>
        </a:p>
      </xdr:txBody>
    </xdr:sp>
    <xdr:clientData/>
  </xdr:twoCellAnchor>
  <xdr:twoCellAnchor>
    <xdr:from>
      <xdr:col>1</xdr:col>
      <xdr:colOff>276224</xdr:colOff>
      <xdr:row>18</xdr:row>
      <xdr:rowOff>36419</xdr:rowOff>
    </xdr:from>
    <xdr:to>
      <xdr:col>7</xdr:col>
      <xdr:colOff>304799</xdr:colOff>
      <xdr:row>19</xdr:row>
      <xdr:rowOff>180494</xdr:rowOff>
    </xdr:to>
    <xdr:sp macro="" textlink="">
      <xdr:nvSpPr>
        <xdr:cNvPr id="4" name="Parallelogram 3">
          <a:extLst>
            <a:ext uri="{FF2B5EF4-FFF2-40B4-BE49-F238E27FC236}">
              <a16:creationId xmlns:a16="http://schemas.microsoft.com/office/drawing/2014/main" id="{00000000-0008-0000-0800-000004000000}"/>
            </a:ext>
          </a:extLst>
        </xdr:cNvPr>
        <xdr:cNvSpPr/>
      </xdr:nvSpPr>
      <xdr:spPr>
        <a:xfrm>
          <a:off x="881342" y="3487831"/>
          <a:ext cx="3659281" cy="3457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1. Enregistrement des pratiques d'irrigation</a:t>
          </a:r>
          <a:endParaRPr lang="fr-FR" sz="1100"/>
        </a:p>
      </xdr:txBody>
    </xdr:sp>
    <xdr:clientData/>
  </xdr:twoCellAnchor>
  <xdr:twoCellAnchor>
    <xdr:from>
      <xdr:col>1</xdr:col>
      <xdr:colOff>285750</xdr:colOff>
      <xdr:row>68</xdr:row>
      <xdr:rowOff>21851</xdr:rowOff>
    </xdr:from>
    <xdr:to>
      <xdr:col>10</xdr:col>
      <xdr:colOff>414618</xdr:colOff>
      <xdr:row>69</xdr:row>
      <xdr:rowOff>175451</xdr:rowOff>
    </xdr:to>
    <xdr:sp macro="" textlink="">
      <xdr:nvSpPr>
        <xdr:cNvPr id="5" name="Parallelogram 4">
          <a:extLst>
            <a:ext uri="{FF2B5EF4-FFF2-40B4-BE49-F238E27FC236}">
              <a16:creationId xmlns:a16="http://schemas.microsoft.com/office/drawing/2014/main" id="{00000000-0008-0000-0800-000005000000}"/>
            </a:ext>
          </a:extLst>
        </xdr:cNvPr>
        <xdr:cNvSpPr/>
      </xdr:nvSpPr>
      <xdr:spPr>
        <a:xfrm>
          <a:off x="890868" y="13020675"/>
          <a:ext cx="5574926" cy="3553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2. Utilisation d'outils de mesure fournissant des données pour la décision</a:t>
          </a:r>
          <a:endParaRPr lang="fr-FR" sz="1100"/>
        </a:p>
      </xdr:txBody>
    </xdr:sp>
    <xdr:clientData/>
  </xdr:twoCellAnchor>
  <xdr:twoCellAnchor>
    <xdr:from>
      <xdr:col>1</xdr:col>
      <xdr:colOff>314324</xdr:colOff>
      <xdr:row>104</xdr:row>
      <xdr:rowOff>23532</xdr:rowOff>
    </xdr:from>
    <xdr:to>
      <xdr:col>8</xdr:col>
      <xdr:colOff>280146</xdr:colOff>
      <xdr:row>105</xdr:row>
      <xdr:rowOff>186657</xdr:rowOff>
    </xdr:to>
    <xdr:sp macro="" textlink="">
      <xdr:nvSpPr>
        <xdr:cNvPr id="6" name="Parallelogram 5">
          <a:extLst>
            <a:ext uri="{FF2B5EF4-FFF2-40B4-BE49-F238E27FC236}">
              <a16:creationId xmlns:a16="http://schemas.microsoft.com/office/drawing/2014/main" id="{00000000-0008-0000-0800-000006000000}"/>
            </a:ext>
          </a:extLst>
        </xdr:cNvPr>
        <xdr:cNvSpPr/>
      </xdr:nvSpPr>
      <xdr:spPr>
        <a:xfrm>
          <a:off x="919442" y="19902767"/>
          <a:ext cx="4201645"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3. Utilisation de matériels optimisant les apports d'eau</a:t>
          </a:r>
          <a:endParaRPr lang="fr-FR" sz="1100"/>
        </a:p>
      </xdr:txBody>
    </xdr:sp>
    <xdr:clientData/>
  </xdr:twoCellAnchor>
  <xdr:twoCellAnchor>
    <xdr:from>
      <xdr:col>1</xdr:col>
      <xdr:colOff>238126</xdr:colOff>
      <xdr:row>128</xdr:row>
      <xdr:rowOff>20170</xdr:rowOff>
    </xdr:from>
    <xdr:to>
      <xdr:col>6</xdr:col>
      <xdr:colOff>542926</xdr:colOff>
      <xdr:row>130</xdr:row>
      <xdr:rowOff>2320</xdr:rowOff>
    </xdr:to>
    <xdr:sp macro="" textlink="">
      <xdr:nvSpPr>
        <xdr:cNvPr id="7" name="Parallelogram 6">
          <a:extLst>
            <a:ext uri="{FF2B5EF4-FFF2-40B4-BE49-F238E27FC236}">
              <a16:creationId xmlns:a16="http://schemas.microsoft.com/office/drawing/2014/main" id="{00000000-0008-0000-0800-000007000000}"/>
            </a:ext>
          </a:extLst>
        </xdr:cNvPr>
        <xdr:cNvSpPr/>
      </xdr:nvSpPr>
      <xdr:spPr>
        <a:xfrm>
          <a:off x="843244" y="24493817"/>
          <a:ext cx="33303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4. Adhésion à une démarche collective</a:t>
          </a:r>
          <a:endParaRPr lang="fr-FR" sz="1100"/>
        </a:p>
      </xdr:txBody>
    </xdr:sp>
    <xdr:clientData/>
  </xdr:twoCellAnchor>
  <xdr:twoCellAnchor>
    <xdr:from>
      <xdr:col>1</xdr:col>
      <xdr:colOff>257175</xdr:colOff>
      <xdr:row>149</xdr:row>
      <xdr:rowOff>19050</xdr:rowOff>
    </xdr:from>
    <xdr:to>
      <xdr:col>9</xdr:col>
      <xdr:colOff>447675</xdr:colOff>
      <xdr:row>151</xdr:row>
      <xdr:rowOff>10725</xdr:rowOff>
    </xdr:to>
    <xdr:sp macro="" textlink="">
      <xdr:nvSpPr>
        <xdr:cNvPr id="8" name="Parallelogram 7">
          <a:extLst>
            <a:ext uri="{FF2B5EF4-FFF2-40B4-BE49-F238E27FC236}">
              <a16:creationId xmlns:a16="http://schemas.microsoft.com/office/drawing/2014/main" id="{00000000-0008-0000-0800-000008000000}"/>
            </a:ext>
          </a:extLst>
        </xdr:cNvPr>
        <xdr:cNvSpPr/>
      </xdr:nvSpPr>
      <xdr:spPr>
        <a:xfrm>
          <a:off x="862293" y="22991109"/>
          <a:ext cx="5031441" cy="3838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5. Pratiques agronomiques mises en oeuvre pour économiser l'eau</a:t>
          </a:r>
          <a:endParaRPr lang="fr-FR" sz="1100"/>
        </a:p>
      </xdr:txBody>
    </xdr:sp>
    <xdr:clientData/>
  </xdr:twoCellAnchor>
  <xdr:twoCellAnchor>
    <xdr:from>
      <xdr:col>1</xdr:col>
      <xdr:colOff>361950</xdr:colOff>
      <xdr:row>171</xdr:row>
      <xdr:rowOff>7283</xdr:rowOff>
    </xdr:from>
    <xdr:to>
      <xdr:col>7</xdr:col>
      <xdr:colOff>361950</xdr:colOff>
      <xdr:row>173</xdr:row>
      <xdr:rowOff>8483</xdr:rowOff>
    </xdr:to>
    <xdr:sp macro="" textlink="">
      <xdr:nvSpPr>
        <xdr:cNvPr id="9" name="Parallelogram 8">
          <a:extLst>
            <a:ext uri="{FF2B5EF4-FFF2-40B4-BE49-F238E27FC236}">
              <a16:creationId xmlns:a16="http://schemas.microsoft.com/office/drawing/2014/main" id="{00000000-0008-0000-0800-000009000000}"/>
            </a:ext>
          </a:extLst>
        </xdr:cNvPr>
        <xdr:cNvSpPr/>
      </xdr:nvSpPr>
      <xdr:spPr>
        <a:xfrm>
          <a:off x="967068" y="31574254"/>
          <a:ext cx="3630706" cy="3934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6. Part des prélèvements en période d'étiage</a:t>
          </a:r>
          <a:endParaRPr lang="fr-FR" sz="1100"/>
        </a:p>
      </xdr:txBody>
    </xdr:sp>
    <xdr:clientData/>
  </xdr:twoCellAnchor>
  <xdr:twoCellAnchor>
    <xdr:from>
      <xdr:col>1</xdr:col>
      <xdr:colOff>247650</xdr:colOff>
      <xdr:row>202</xdr:row>
      <xdr:rowOff>19050</xdr:rowOff>
    </xdr:from>
    <xdr:to>
      <xdr:col>7</xdr:col>
      <xdr:colOff>247650</xdr:colOff>
      <xdr:row>204</xdr:row>
      <xdr:rowOff>29775</xdr:rowOff>
    </xdr:to>
    <xdr:sp macro="" textlink="">
      <xdr:nvSpPr>
        <xdr:cNvPr id="10" name="Parallelogram 9">
          <a:extLst>
            <a:ext uri="{FF2B5EF4-FFF2-40B4-BE49-F238E27FC236}">
              <a16:creationId xmlns:a16="http://schemas.microsoft.com/office/drawing/2014/main" id="{00000000-0008-0000-0800-00000A000000}"/>
            </a:ext>
          </a:extLst>
        </xdr:cNvPr>
        <xdr:cNvSpPr/>
      </xdr:nvSpPr>
      <xdr:spPr>
        <a:xfrm>
          <a:off x="852768" y="31608432"/>
          <a:ext cx="3630706"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7. Recyclage et traitement des eaux d'irrigation</a:t>
          </a:r>
          <a:endParaRPr lang="fr-FR" sz="1100"/>
        </a:p>
      </xdr:txBody>
    </xdr:sp>
    <xdr:clientData/>
  </xdr:twoCellAnchor>
  <xdr:twoCellAnchor>
    <xdr:from>
      <xdr:col>1</xdr:col>
      <xdr:colOff>333375</xdr:colOff>
      <xdr:row>230</xdr:row>
      <xdr:rowOff>189939</xdr:rowOff>
    </xdr:from>
    <xdr:to>
      <xdr:col>7</xdr:col>
      <xdr:colOff>38100</xdr:colOff>
      <xdr:row>233</xdr:row>
      <xdr:rowOff>19689</xdr:rowOff>
    </xdr:to>
    <xdr:sp macro="" textlink="">
      <xdr:nvSpPr>
        <xdr:cNvPr id="11" name="Parallelogram 10">
          <a:extLst>
            <a:ext uri="{FF2B5EF4-FFF2-40B4-BE49-F238E27FC236}">
              <a16:creationId xmlns:a16="http://schemas.microsoft.com/office/drawing/2014/main" id="{00000000-0008-0000-0800-00000B000000}"/>
            </a:ext>
          </a:extLst>
        </xdr:cNvPr>
        <xdr:cNvSpPr/>
      </xdr:nvSpPr>
      <xdr:spPr>
        <a:xfrm>
          <a:off x="938493" y="43041233"/>
          <a:ext cx="3335431"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8. Récupération des eaux de pluie</a:t>
          </a:r>
          <a:endParaRPr lang="fr-FR" sz="1100"/>
        </a:p>
      </xdr:txBody>
    </xdr:sp>
    <xdr:clientData/>
  </xdr:twoCellAnchor>
  <xdr:twoCellAnchor>
    <xdr:from>
      <xdr:col>2</xdr:col>
      <xdr:colOff>581024</xdr:colOff>
      <xdr:row>0</xdr:row>
      <xdr:rowOff>133350</xdr:rowOff>
    </xdr:from>
    <xdr:to>
      <xdr:col>5</xdr:col>
      <xdr:colOff>565671</xdr:colOff>
      <xdr:row>2</xdr:row>
      <xdr:rowOff>750</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1791259"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Enregistrement</a:t>
          </a:r>
          <a:endParaRPr lang="fr-FR" sz="1100" b="1">
            <a:solidFill>
              <a:schemeClr val="accent1">
                <a:lumMod val="50000"/>
              </a:schemeClr>
            </a:solidFill>
          </a:endParaRPr>
        </a:p>
      </xdr:txBody>
    </xdr:sp>
    <xdr:clientData/>
  </xdr:twoCellAnchor>
  <xdr:twoCellAnchor>
    <xdr:from>
      <xdr:col>2</xdr:col>
      <xdr:colOff>581024</xdr:colOff>
      <xdr:row>2</xdr:row>
      <xdr:rowOff>142875</xdr:rowOff>
    </xdr:from>
    <xdr:to>
      <xdr:col>5</xdr:col>
      <xdr:colOff>565671</xdr:colOff>
      <xdr:row>4</xdr:row>
      <xdr:rowOff>10275</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00000000-0008-0000-0800-00000D000000}"/>
            </a:ext>
          </a:extLst>
        </xdr:cNvPr>
        <xdr:cNvSpPr/>
      </xdr:nvSpPr>
      <xdr:spPr>
        <a:xfrm>
          <a:off x="1791259"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Outils de mesure</a:t>
          </a:r>
          <a:endParaRPr lang="fr-FR" sz="1100" b="1">
            <a:solidFill>
              <a:schemeClr val="accent1">
                <a:lumMod val="50000"/>
              </a:schemeClr>
            </a:solidFill>
          </a:endParaRPr>
        </a:p>
      </xdr:txBody>
    </xdr:sp>
    <xdr:clientData/>
  </xdr:twoCellAnchor>
  <xdr:twoCellAnchor>
    <xdr:from>
      <xdr:col>6</xdr:col>
      <xdr:colOff>371</xdr:colOff>
      <xdr:row>0</xdr:row>
      <xdr:rowOff>133350</xdr:rowOff>
    </xdr:from>
    <xdr:to>
      <xdr:col>8</xdr:col>
      <xdr:colOff>590136</xdr:colOff>
      <xdr:row>2</xdr:row>
      <xdr:rowOff>750</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00000000-0008-0000-0800-00000E000000}"/>
            </a:ext>
          </a:extLst>
        </xdr:cNvPr>
        <xdr:cNvSpPr/>
      </xdr:nvSpPr>
      <xdr:spPr>
        <a:xfrm>
          <a:off x="3631077"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Optimisation apports</a:t>
          </a:r>
          <a:endParaRPr lang="fr-FR" sz="1100" b="1">
            <a:solidFill>
              <a:schemeClr val="accent1">
                <a:lumMod val="50000"/>
              </a:schemeClr>
            </a:solidFill>
          </a:endParaRPr>
        </a:p>
      </xdr:txBody>
    </xdr:sp>
    <xdr:clientData/>
  </xdr:twoCellAnchor>
  <xdr:twoCellAnchor>
    <xdr:from>
      <xdr:col>6</xdr:col>
      <xdr:colOff>371</xdr:colOff>
      <xdr:row>2</xdr:row>
      <xdr:rowOff>142875</xdr:rowOff>
    </xdr:from>
    <xdr:to>
      <xdr:col>8</xdr:col>
      <xdr:colOff>590136</xdr:colOff>
      <xdr:row>4</xdr:row>
      <xdr:rowOff>10275</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0000000-0008-0000-0800-00000F000000}"/>
            </a:ext>
          </a:extLst>
        </xdr:cNvPr>
        <xdr:cNvSpPr/>
      </xdr:nvSpPr>
      <xdr:spPr>
        <a:xfrm>
          <a:off x="3631077"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Démarche collective</a:t>
          </a:r>
          <a:endParaRPr lang="fr-FR" sz="1100" b="1">
            <a:solidFill>
              <a:schemeClr val="accent1">
                <a:lumMod val="50000"/>
              </a:schemeClr>
            </a:solidFill>
          </a:endParaRPr>
        </a:p>
      </xdr:txBody>
    </xdr:sp>
    <xdr:clientData/>
  </xdr:twoCellAnchor>
  <xdr:twoCellAnchor>
    <xdr:from>
      <xdr:col>9</xdr:col>
      <xdr:colOff>24836</xdr:colOff>
      <xdr:row>0</xdr:row>
      <xdr:rowOff>133350</xdr:rowOff>
    </xdr:from>
    <xdr:to>
      <xdr:col>12</xdr:col>
      <xdr:colOff>225483</xdr:colOff>
      <xdr:row>2</xdr:row>
      <xdr:rowOff>750</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00000000-0008-0000-0800-000010000000}"/>
            </a:ext>
          </a:extLst>
        </xdr:cNvPr>
        <xdr:cNvSpPr/>
      </xdr:nvSpPr>
      <xdr:spPr>
        <a:xfrm>
          <a:off x="5470895" y="133350"/>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Pratiques agronomiques</a:t>
          </a:r>
          <a:endParaRPr lang="fr-FR" sz="1100" b="1">
            <a:solidFill>
              <a:schemeClr val="accent1">
                <a:lumMod val="50000"/>
              </a:schemeClr>
            </a:solidFill>
          </a:endParaRPr>
        </a:p>
      </xdr:txBody>
    </xdr:sp>
    <xdr:clientData/>
  </xdr:twoCellAnchor>
  <xdr:twoCellAnchor>
    <xdr:from>
      <xdr:col>9</xdr:col>
      <xdr:colOff>24836</xdr:colOff>
      <xdr:row>2</xdr:row>
      <xdr:rowOff>142875</xdr:rowOff>
    </xdr:from>
    <xdr:to>
      <xdr:col>12</xdr:col>
      <xdr:colOff>225483</xdr:colOff>
      <xdr:row>4</xdr:row>
      <xdr:rowOff>10275</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00000000-0008-0000-0800-000011000000}"/>
            </a:ext>
          </a:extLst>
        </xdr:cNvPr>
        <xdr:cNvSpPr/>
      </xdr:nvSpPr>
      <xdr:spPr>
        <a:xfrm>
          <a:off x="5470895" y="523875"/>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Prélèvements étiages</a:t>
          </a:r>
          <a:endParaRPr lang="fr-FR" sz="1100" b="1">
            <a:solidFill>
              <a:schemeClr val="accent1">
                <a:lumMod val="50000"/>
              </a:schemeClr>
            </a:solidFill>
          </a:endParaRPr>
        </a:p>
      </xdr:txBody>
    </xdr:sp>
    <xdr:clientData/>
  </xdr:twoCellAnchor>
  <xdr:twoCellAnchor>
    <xdr:from>
      <xdr:col>12</xdr:col>
      <xdr:colOff>251020</xdr:colOff>
      <xdr:row>0</xdr:row>
      <xdr:rowOff>133350</xdr:rowOff>
    </xdr:from>
    <xdr:to>
      <xdr:col>15</xdr:col>
      <xdr:colOff>235667</xdr:colOff>
      <xdr:row>2</xdr:row>
      <xdr:rowOff>750</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00000000-0008-0000-0800-000012000000}"/>
            </a:ext>
          </a:extLst>
        </xdr:cNvPr>
        <xdr:cNvSpPr/>
      </xdr:nvSpPr>
      <xdr:spPr>
        <a:xfrm>
          <a:off x="7512432"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Recyclage eaux</a:t>
          </a:r>
          <a:endParaRPr lang="fr-FR" sz="1100" b="1">
            <a:solidFill>
              <a:schemeClr val="accent1">
                <a:lumMod val="50000"/>
              </a:schemeClr>
            </a:solidFill>
          </a:endParaRPr>
        </a:p>
      </xdr:txBody>
    </xdr:sp>
    <xdr:clientData/>
  </xdr:twoCellAnchor>
  <xdr:twoCellAnchor>
    <xdr:from>
      <xdr:col>12</xdr:col>
      <xdr:colOff>251020</xdr:colOff>
      <xdr:row>2</xdr:row>
      <xdr:rowOff>142875</xdr:rowOff>
    </xdr:from>
    <xdr:to>
      <xdr:col>15</xdr:col>
      <xdr:colOff>235667</xdr:colOff>
      <xdr:row>4</xdr:row>
      <xdr:rowOff>10275</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00000000-0008-0000-0800-000013000000}"/>
            </a:ext>
          </a:extLst>
        </xdr:cNvPr>
        <xdr:cNvSpPr/>
      </xdr:nvSpPr>
      <xdr:spPr>
        <a:xfrm>
          <a:off x="7512432"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Récupération eaux</a:t>
          </a:r>
          <a:endParaRPr lang="fr-FR" sz="1100" b="1">
            <a:solidFill>
              <a:schemeClr val="accent1">
                <a:lumMod val="50000"/>
              </a:schemeClr>
            </a:solidFill>
          </a:endParaRPr>
        </a:p>
      </xdr:txBody>
    </xdr:sp>
    <xdr:clientData/>
  </xdr:twoCellAnchor>
  <xdr:twoCellAnchor>
    <xdr:from>
      <xdr:col>1</xdr:col>
      <xdr:colOff>359834</xdr:colOff>
      <xdr:row>254</xdr:row>
      <xdr:rowOff>8715</xdr:rowOff>
    </xdr:from>
    <xdr:to>
      <xdr:col>6</xdr:col>
      <xdr:colOff>354355</xdr:colOff>
      <xdr:row>256</xdr:row>
      <xdr:rowOff>21744</xdr:rowOff>
    </xdr:to>
    <xdr:sp macro="" textlink="">
      <xdr:nvSpPr>
        <xdr:cNvPr id="20" name="Parallelogram 19">
          <a:extLst>
            <a:ext uri="{FF2B5EF4-FFF2-40B4-BE49-F238E27FC236}">
              <a16:creationId xmlns:a16="http://schemas.microsoft.com/office/drawing/2014/main" id="{00000000-0008-0000-0800-000014000000}"/>
            </a:ext>
          </a:extLst>
        </xdr:cNvPr>
        <xdr:cNvSpPr/>
      </xdr:nvSpPr>
      <xdr:spPr>
        <a:xfrm>
          <a:off x="964952" y="47454421"/>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15</xdr:col>
      <xdr:colOff>246528</xdr:colOff>
      <xdr:row>0</xdr:row>
      <xdr:rowOff>134466</xdr:rowOff>
    </xdr:from>
    <xdr:to>
      <xdr:col>17</xdr:col>
      <xdr:colOff>476293</xdr:colOff>
      <xdr:row>2</xdr:row>
      <xdr:rowOff>1866</xdr:rowOff>
    </xdr:to>
    <xdr:sp macro="" textlink="">
      <xdr:nvSpPr>
        <xdr:cNvPr id="21" name="Parallelogram 20">
          <a:hlinkClick xmlns:r="http://schemas.openxmlformats.org/officeDocument/2006/relationships" r:id="rId11"/>
          <a:extLst>
            <a:ext uri="{FF2B5EF4-FFF2-40B4-BE49-F238E27FC236}">
              <a16:creationId xmlns:a16="http://schemas.microsoft.com/office/drawing/2014/main" id="{00000000-0008-0000-0800-000015000000}"/>
            </a:ext>
          </a:extLst>
        </xdr:cNvPr>
        <xdr:cNvSpPr/>
      </xdr:nvSpPr>
      <xdr:spPr>
        <a:xfrm>
          <a:off x="9323293" y="134466"/>
          <a:ext cx="144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Récapitulatif</a:t>
          </a:r>
          <a:endParaRPr lang="fr-FR" sz="1100" b="1">
            <a:solidFill>
              <a:schemeClr val="accent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2</xdr:col>
      <xdr:colOff>228600</xdr:colOff>
      <xdr:row>4</xdr:row>
      <xdr:rowOff>59542</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twoCellAnchor>
    <xdr:from>
      <xdr:col>0</xdr:col>
      <xdr:colOff>390525</xdr:colOff>
      <xdr:row>6</xdr:row>
      <xdr:rowOff>38100</xdr:rowOff>
    </xdr:from>
    <xdr:to>
      <xdr:col>6</xdr:col>
      <xdr:colOff>123825</xdr:colOff>
      <xdr:row>8</xdr:row>
      <xdr:rowOff>152400</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90525"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Biodiversité</a:t>
          </a:r>
        </a:p>
      </xdr:txBody>
    </xdr:sp>
    <xdr:clientData/>
  </xdr:twoCellAnchor>
  <xdr:twoCellAnchor>
    <xdr:from>
      <xdr:col>14</xdr:col>
      <xdr:colOff>381000</xdr:colOff>
      <xdr:row>6</xdr:row>
      <xdr:rowOff>38100</xdr:rowOff>
    </xdr:from>
    <xdr:to>
      <xdr:col>20</xdr:col>
      <xdr:colOff>114300</xdr:colOff>
      <xdr:row>8</xdr:row>
      <xdr:rowOff>152400</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Phytosanitaire</a:t>
          </a:r>
        </a:p>
      </xdr:txBody>
    </xdr:sp>
    <xdr:clientData/>
  </xdr:twoCellAnchor>
  <xdr:twoCellAnchor>
    <xdr:from>
      <xdr:col>0</xdr:col>
      <xdr:colOff>381000</xdr:colOff>
      <xdr:row>23</xdr:row>
      <xdr:rowOff>38100</xdr:rowOff>
    </xdr:from>
    <xdr:to>
      <xdr:col>6</xdr:col>
      <xdr:colOff>114300</xdr:colOff>
      <xdr:row>25</xdr:row>
      <xdr:rowOff>152400</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Fertilisation</a:t>
          </a:r>
        </a:p>
      </xdr:txBody>
    </xdr:sp>
    <xdr:clientData/>
  </xdr:twoCellAnchor>
  <xdr:twoCellAnchor>
    <xdr:from>
      <xdr:col>14</xdr:col>
      <xdr:colOff>409575</xdr:colOff>
      <xdr:row>23</xdr:row>
      <xdr:rowOff>38100</xdr:rowOff>
    </xdr:from>
    <xdr:to>
      <xdr:col>20</xdr:col>
      <xdr:colOff>142875</xdr:colOff>
      <xdr:row>25</xdr:row>
      <xdr:rowOff>152400</xdr:rowOff>
    </xdr:to>
    <xdr:sp macro="" textlink="">
      <xdr:nvSpPr>
        <xdr:cNvPr id="25" name="Rectangle 24">
          <a:extLst>
            <a:ext uri="{FF2B5EF4-FFF2-40B4-BE49-F238E27FC236}">
              <a16:creationId xmlns:a16="http://schemas.microsoft.com/office/drawing/2014/main" id="{00000000-0008-0000-0900-000019000000}"/>
            </a:ext>
          </a:extLst>
        </xdr:cNvPr>
        <xdr:cNvSpPr/>
      </xdr:nvSpPr>
      <xdr:spPr>
        <a:xfrm>
          <a:off x="7724775" y="443865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Irrigation</a:t>
          </a:r>
        </a:p>
      </xdr:txBody>
    </xdr:sp>
    <xdr:clientData/>
  </xdr:twoCellAnchor>
  <xdr:twoCellAnchor>
    <xdr:from>
      <xdr:col>0</xdr:col>
      <xdr:colOff>228600</xdr:colOff>
      <xdr:row>39</xdr:row>
      <xdr:rowOff>152400</xdr:rowOff>
    </xdr:from>
    <xdr:to>
      <xdr:col>3</xdr:col>
      <xdr:colOff>152400</xdr:colOff>
      <xdr:row>42</xdr:row>
      <xdr:rowOff>85725</xdr:rowOff>
    </xdr:to>
    <xdr:sp macro="" textlink="">
      <xdr:nvSpPr>
        <xdr:cNvPr id="26" name="Rectangle 25">
          <a:extLst>
            <a:ext uri="{FF2B5EF4-FFF2-40B4-BE49-F238E27FC236}">
              <a16:creationId xmlns:a16="http://schemas.microsoft.com/office/drawing/2014/main" id="{00000000-0008-0000-0900-00001A000000}"/>
            </a:ext>
          </a:extLst>
        </xdr:cNvPr>
        <xdr:cNvSpPr/>
      </xdr:nvSpPr>
      <xdr:spPr>
        <a:xfrm>
          <a:off x="228600" y="762000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Notes par indicateur</a:t>
          </a:r>
        </a:p>
      </xdr:txBody>
    </xdr:sp>
    <xdr:clientData/>
  </xdr:twoCellAnchor>
  <xdr:twoCellAnchor>
    <xdr:from>
      <xdr:col>14</xdr:col>
      <xdr:colOff>361950</xdr:colOff>
      <xdr:row>39</xdr:row>
      <xdr:rowOff>171450</xdr:rowOff>
    </xdr:from>
    <xdr:to>
      <xdr:col>17</xdr:col>
      <xdr:colOff>285750</xdr:colOff>
      <xdr:row>42</xdr:row>
      <xdr:rowOff>104775</xdr:rowOff>
    </xdr:to>
    <xdr:sp macro="" textlink="">
      <xdr:nvSpPr>
        <xdr:cNvPr id="27" name="Rectangle 26">
          <a:extLst>
            <a:ext uri="{FF2B5EF4-FFF2-40B4-BE49-F238E27FC236}">
              <a16:creationId xmlns:a16="http://schemas.microsoft.com/office/drawing/2014/main" id="{00000000-0008-0000-0900-00001B000000}"/>
            </a:ext>
          </a:extLst>
        </xdr:cNvPr>
        <xdr:cNvSpPr/>
      </xdr:nvSpPr>
      <xdr:spPr>
        <a:xfrm>
          <a:off x="7677150" y="76390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Résultat Audit</a:t>
          </a:r>
        </a:p>
      </xdr:txBody>
    </xdr:sp>
    <xdr:clientData/>
  </xdr:twoCellAnchor>
  <xdr:twoCellAnchor>
    <xdr:from>
      <xdr:col>0</xdr:col>
      <xdr:colOff>228600</xdr:colOff>
      <xdr:row>49</xdr:row>
      <xdr:rowOff>114300</xdr:rowOff>
    </xdr:from>
    <xdr:to>
      <xdr:col>3</xdr:col>
      <xdr:colOff>152400</xdr:colOff>
      <xdr:row>52</xdr:row>
      <xdr:rowOff>47625</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228600" y="95059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Bilan</a:t>
          </a:r>
        </a:p>
      </xdr:txBody>
    </xdr:sp>
    <xdr:clientData/>
  </xdr:twoCellAnchor>
  <xdr:twoCellAnchor>
    <xdr:from>
      <xdr:col>0</xdr:col>
      <xdr:colOff>228600</xdr:colOff>
      <xdr:row>78</xdr:row>
      <xdr:rowOff>84613</xdr:rowOff>
    </xdr:from>
    <xdr:to>
      <xdr:col>3</xdr:col>
      <xdr:colOff>152400</xdr:colOff>
      <xdr:row>80</xdr:row>
      <xdr:rowOff>122937</xdr:rowOff>
    </xdr:to>
    <xdr:sp macro="" textlink="">
      <xdr:nvSpPr>
        <xdr:cNvPr id="5" name="Rectangle 4">
          <a:extLst>
            <a:ext uri="{FF2B5EF4-FFF2-40B4-BE49-F238E27FC236}">
              <a16:creationId xmlns:a16="http://schemas.microsoft.com/office/drawing/2014/main" id="{74FB7D3C-16C4-496A-887B-D6B77EBF4005}"/>
            </a:ext>
          </a:extLst>
        </xdr:cNvPr>
        <xdr:cNvSpPr/>
      </xdr:nvSpPr>
      <xdr:spPr>
        <a:xfrm>
          <a:off x="228600" y="14181613"/>
          <a:ext cx="1806388" cy="408118"/>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Décision (réservé OC)</a:t>
          </a:r>
        </a:p>
      </xdr:txBody>
    </xdr:sp>
    <xdr:clientData/>
  </xdr:twoCellAnchor>
</xdr:wsDr>
</file>

<file path=xl/persons/person.xml><?xml version="1.0" encoding="utf-8"?>
<personList xmlns="http://schemas.microsoft.com/office/spreadsheetml/2018/threadedcomments" xmlns:x="http://schemas.openxmlformats.org/spreadsheetml/2006/main">
  <person displayName="JB BAYLE" id="{BA490E32-6737-47B3-A5BD-7A67C92B9F00}" userId="JB BAYLE" providerId="None"/>
  <person displayName="Relecture 23/01" id="{A9006740-C560-430C-9CB4-9DFAD23C092C}" userId="Relecture 23/01"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5" dT="2024-03-22T07:53:19.72" personId="{BA490E32-6737-47B3-A5BD-7A67C92B9F00}" id="{C5B10A67-BB70-4FD6-AB0B-635021FFF67B}">
    <text>Dès que les SC vont utiliser la nouvelle version de la trame de grille pour leurs audits internes, les informations identifiées ici ne seront plus fournies dans les synthèses de collectif. Cela ne devrait pas poser de problème mais il faut quand même s'en assurer.</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01-24T03:50:57.18" personId="{A9006740-C560-430C-9CB4-9DFAD23C092C}" id="{BD4AD48B-A435-4EFF-BEBF-6F1911D6BE0C}">
    <text>TODO : ajouter les liens vers les cellules.</text>
  </threadedComment>
  <threadedComment ref="J1" dT="2024-01-24T03:55:56.33" personId="{A9006740-C560-430C-9CB4-9DFAD23C092C}" id="{DD94EFDF-0BB6-437C-8305-ABDD9D7A943A}">
    <text>A renseigner en dur ou avec une formule si l'obligation est conditionnée selon la saisie d'une autre cellule.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adressemail@detest.fr"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greste.agriculture.gouv.fr/agreste-web/methodon/N.1/!searchurl/listeTypeMethodo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K46"/>
  <sheetViews>
    <sheetView zoomScaleNormal="100" workbookViewId="0">
      <pane xSplit="3" ySplit="6" topLeftCell="D40" activePane="bottomRight" state="frozen"/>
      <selection pane="topRight" activeCell="D1" sqref="D1"/>
      <selection pane="bottomLeft" activeCell="A7" sqref="A7"/>
      <selection pane="bottomRight" activeCell="B37" sqref="B37:B39"/>
    </sheetView>
  </sheetViews>
  <sheetFormatPr baseColWidth="10" defaultColWidth="11.42578125" defaultRowHeight="15" x14ac:dyDescent="0.25"/>
  <cols>
    <col min="1" max="1" width="10.7109375" style="423" customWidth="1"/>
    <col min="2" max="2" width="12.7109375" style="423" customWidth="1"/>
    <col min="3" max="3" width="25.7109375" style="423" customWidth="1"/>
    <col min="4" max="4" width="122.7109375" style="423" customWidth="1"/>
    <col min="5" max="16384" width="11.42578125" style="423"/>
  </cols>
  <sheetData>
    <row r="1" spans="1:4" s="425" customFormat="1" ht="18.75" x14ac:dyDescent="0.3">
      <c r="A1" s="424" t="s">
        <v>2611</v>
      </c>
    </row>
    <row r="3" spans="1:4" x14ac:dyDescent="0.25">
      <c r="A3" s="494" t="s">
        <v>2866</v>
      </c>
      <c r="B3" s="423" t="s">
        <v>2867</v>
      </c>
    </row>
    <row r="4" spans="1:4" x14ac:dyDescent="0.25">
      <c r="A4" s="495" t="s">
        <v>2869</v>
      </c>
      <c r="B4" s="496" t="s">
        <v>2868</v>
      </c>
    </row>
    <row r="5" spans="1:4" x14ac:dyDescent="0.25">
      <c r="A5" s="423" t="s">
        <v>4537</v>
      </c>
      <c r="B5" s="423" t="s">
        <v>5147</v>
      </c>
    </row>
    <row r="6" spans="1:4" x14ac:dyDescent="0.25">
      <c r="A6" s="462" t="s">
        <v>2612</v>
      </c>
      <c r="B6" s="462" t="s">
        <v>2520</v>
      </c>
      <c r="C6" s="462" t="s">
        <v>2820</v>
      </c>
      <c r="D6" s="462" t="s">
        <v>2613</v>
      </c>
    </row>
    <row r="7" spans="1:4" x14ac:dyDescent="0.25">
      <c r="A7" s="427" t="s">
        <v>2614</v>
      </c>
      <c r="B7" s="428">
        <v>44886</v>
      </c>
      <c r="C7" s="428"/>
      <c r="D7" s="426"/>
    </row>
    <row r="8" spans="1:4" x14ac:dyDescent="0.25">
      <c r="A8" s="427" t="s">
        <v>2615</v>
      </c>
      <c r="B8" s="428">
        <v>44888</v>
      </c>
      <c r="C8" s="429" t="s">
        <v>307</v>
      </c>
      <c r="D8" s="497" t="s">
        <v>2617</v>
      </c>
    </row>
    <row r="9" spans="1:4" ht="45" x14ac:dyDescent="0.25">
      <c r="A9" s="427" t="s">
        <v>2616</v>
      </c>
      <c r="B9" s="428">
        <v>44895</v>
      </c>
      <c r="C9" s="429" t="s">
        <v>347</v>
      </c>
      <c r="D9" s="497" t="s">
        <v>2618</v>
      </c>
    </row>
    <row r="10" spans="1:4" ht="30" x14ac:dyDescent="0.25">
      <c r="A10" s="427" t="s">
        <v>2620</v>
      </c>
      <c r="B10" s="428">
        <v>44897</v>
      </c>
      <c r="C10" s="429" t="s">
        <v>347</v>
      </c>
      <c r="D10" s="497" t="s">
        <v>2621</v>
      </c>
    </row>
    <row r="11" spans="1:4" x14ac:dyDescent="0.25">
      <c r="A11" s="581" t="s">
        <v>2749</v>
      </c>
      <c r="B11" s="588">
        <v>44938</v>
      </c>
      <c r="C11" s="429" t="s">
        <v>736</v>
      </c>
      <c r="D11" s="430" t="s">
        <v>2788</v>
      </c>
    </row>
    <row r="12" spans="1:4" ht="30" x14ac:dyDescent="0.25">
      <c r="A12" s="583"/>
      <c r="B12" s="590"/>
      <c r="C12" s="429" t="s">
        <v>2789</v>
      </c>
      <c r="D12" s="430" t="s">
        <v>2813</v>
      </c>
    </row>
    <row r="13" spans="1:4" ht="30" x14ac:dyDescent="0.25">
      <c r="A13" s="591" t="s">
        <v>2814</v>
      </c>
      <c r="B13" s="592">
        <v>44963</v>
      </c>
      <c r="C13" s="429" t="s">
        <v>2815</v>
      </c>
      <c r="D13" s="430" t="s">
        <v>2817</v>
      </c>
    </row>
    <row r="14" spans="1:4" ht="105" x14ac:dyDescent="0.25">
      <c r="A14" s="591"/>
      <c r="B14" s="592"/>
      <c r="C14" s="429" t="s">
        <v>307</v>
      </c>
      <c r="D14" s="430" t="s">
        <v>2871</v>
      </c>
    </row>
    <row r="15" spans="1:4" ht="30" x14ac:dyDescent="0.25">
      <c r="A15" s="591"/>
      <c r="B15" s="592"/>
      <c r="C15" s="429" t="s">
        <v>2816</v>
      </c>
      <c r="D15" s="430" t="s">
        <v>2823</v>
      </c>
    </row>
    <row r="16" spans="1:4" ht="75" x14ac:dyDescent="0.25">
      <c r="A16" s="581" t="s">
        <v>2834</v>
      </c>
      <c r="B16" s="588">
        <v>44993</v>
      </c>
      <c r="C16" s="429" t="s">
        <v>2815</v>
      </c>
      <c r="D16" s="430" t="s">
        <v>2870</v>
      </c>
    </row>
    <row r="17" spans="1:11" ht="30" x14ac:dyDescent="0.25">
      <c r="A17" s="582"/>
      <c r="B17" s="589"/>
      <c r="C17" s="498" t="s">
        <v>2840</v>
      </c>
      <c r="D17" s="497" t="s">
        <v>2855</v>
      </c>
    </row>
    <row r="18" spans="1:11" ht="30" x14ac:dyDescent="0.25">
      <c r="A18" s="583"/>
      <c r="B18" s="590"/>
      <c r="C18" s="499" t="s">
        <v>326</v>
      </c>
      <c r="D18" s="497" t="s">
        <v>2858</v>
      </c>
    </row>
    <row r="19" spans="1:11" x14ac:dyDescent="0.25">
      <c r="A19" s="581" t="s">
        <v>2860</v>
      </c>
      <c r="B19" s="588">
        <v>45048</v>
      </c>
      <c r="C19" s="429" t="s">
        <v>347</v>
      </c>
      <c r="D19" s="430" t="s">
        <v>2861</v>
      </c>
    </row>
    <row r="20" spans="1:11" x14ac:dyDescent="0.25">
      <c r="A20" s="582"/>
      <c r="B20" s="589"/>
      <c r="C20" s="429" t="s">
        <v>2862</v>
      </c>
      <c r="D20" s="430" t="s">
        <v>2865</v>
      </c>
    </row>
    <row r="21" spans="1:11" x14ac:dyDescent="0.25">
      <c r="A21" s="583"/>
      <c r="B21" s="590"/>
      <c r="C21" s="426" t="s">
        <v>2863</v>
      </c>
      <c r="D21" s="426" t="s">
        <v>2864</v>
      </c>
    </row>
    <row r="22" spans="1:11" ht="60" customHeight="1" x14ac:dyDescent="0.25">
      <c r="A22" s="581" t="s">
        <v>2874</v>
      </c>
      <c r="B22" s="584">
        <v>45159</v>
      </c>
      <c r="C22" s="501" t="s">
        <v>2873</v>
      </c>
      <c r="D22" s="430" t="s">
        <v>2875</v>
      </c>
      <c r="E22" s="587" t="s">
        <v>2880</v>
      </c>
      <c r="F22" s="587"/>
      <c r="G22" s="587"/>
      <c r="H22" s="587"/>
      <c r="I22" s="587"/>
      <c r="J22" s="587"/>
      <c r="K22" s="587"/>
    </row>
    <row r="23" spans="1:11" ht="30" x14ac:dyDescent="0.25">
      <c r="A23" s="582"/>
      <c r="B23" s="585"/>
      <c r="C23" s="501" t="s">
        <v>736</v>
      </c>
      <c r="D23" s="497" t="s">
        <v>2879</v>
      </c>
      <c r="E23" s="580" t="s">
        <v>2880</v>
      </c>
      <c r="F23" s="580"/>
      <c r="G23" s="580"/>
      <c r="H23" s="580"/>
      <c r="I23" s="580"/>
      <c r="J23" s="580"/>
      <c r="K23" s="580"/>
    </row>
    <row r="24" spans="1:11" ht="30" x14ac:dyDescent="0.25">
      <c r="A24" s="583"/>
      <c r="B24" s="586"/>
      <c r="C24" s="502" t="s">
        <v>2878</v>
      </c>
      <c r="D24" s="497" t="s">
        <v>2877</v>
      </c>
      <c r="E24" s="580" t="s">
        <v>2881</v>
      </c>
      <c r="F24" s="580"/>
      <c r="G24" s="580"/>
      <c r="H24" s="580"/>
      <c r="I24" s="580"/>
      <c r="J24" s="580"/>
      <c r="K24" s="580"/>
    </row>
    <row r="25" spans="1:11" x14ac:dyDescent="0.25">
      <c r="A25" s="581" t="s">
        <v>4939</v>
      </c>
      <c r="B25" s="588">
        <v>45435</v>
      </c>
      <c r="C25" s="502" t="s">
        <v>4940</v>
      </c>
      <c r="D25" s="501" t="s">
        <v>4941</v>
      </c>
    </row>
    <row r="26" spans="1:11" ht="30" x14ac:dyDescent="0.25">
      <c r="A26" s="582"/>
      <c r="B26" s="589"/>
      <c r="C26" s="502" t="s">
        <v>4801</v>
      </c>
      <c r="D26" s="501" t="s">
        <v>4803</v>
      </c>
    </row>
    <row r="27" spans="1:11" ht="345" x14ac:dyDescent="0.25">
      <c r="A27" s="582"/>
      <c r="B27" s="589"/>
      <c r="C27" s="502" t="s">
        <v>4802</v>
      </c>
      <c r="D27" s="501" t="s">
        <v>5124</v>
      </c>
    </row>
    <row r="28" spans="1:11" ht="75" x14ac:dyDescent="0.25">
      <c r="A28" s="582"/>
      <c r="B28" s="589"/>
      <c r="C28" s="502" t="s">
        <v>2815</v>
      </c>
      <c r="D28" s="501" t="s">
        <v>5136</v>
      </c>
    </row>
    <row r="29" spans="1:11" x14ac:dyDescent="0.25">
      <c r="A29" s="582"/>
      <c r="B29" s="589"/>
      <c r="C29" s="502" t="s">
        <v>2840</v>
      </c>
      <c r="D29" s="502" t="s">
        <v>4804</v>
      </c>
    </row>
    <row r="30" spans="1:11" x14ac:dyDescent="0.25">
      <c r="A30" s="582"/>
      <c r="B30" s="589"/>
      <c r="C30" s="502" t="s">
        <v>4805</v>
      </c>
      <c r="D30" s="502" t="s">
        <v>4804</v>
      </c>
    </row>
    <row r="31" spans="1:11" ht="139.5" customHeight="1" x14ac:dyDescent="0.25">
      <c r="A31" s="582"/>
      <c r="B31" s="589"/>
      <c r="C31" s="502" t="s">
        <v>2878</v>
      </c>
      <c r="D31" s="501" t="s">
        <v>5134</v>
      </c>
    </row>
    <row r="32" spans="1:11" ht="180.75" customHeight="1" x14ac:dyDescent="0.25">
      <c r="A32" s="582"/>
      <c r="B32" s="589"/>
      <c r="C32" s="502" t="s">
        <v>4806</v>
      </c>
      <c r="D32" s="501" t="s">
        <v>5141</v>
      </c>
    </row>
    <row r="33" spans="1:4" ht="105" x14ac:dyDescent="0.25">
      <c r="A33" s="582"/>
      <c r="B33" s="589"/>
      <c r="C33" s="502" t="s">
        <v>4807</v>
      </c>
      <c r="D33" s="501" t="s">
        <v>5142</v>
      </c>
    </row>
    <row r="34" spans="1:4" ht="135" x14ac:dyDescent="0.25">
      <c r="A34" s="582"/>
      <c r="B34" s="589"/>
      <c r="C34" s="502" t="s">
        <v>4809</v>
      </c>
      <c r="D34" s="501" t="s">
        <v>5140</v>
      </c>
    </row>
    <row r="35" spans="1:4" ht="165" x14ac:dyDescent="0.25">
      <c r="A35" s="582"/>
      <c r="B35" s="589"/>
      <c r="C35" s="502" t="s">
        <v>2862</v>
      </c>
      <c r="D35" s="501" t="s">
        <v>4895</v>
      </c>
    </row>
    <row r="36" spans="1:4" ht="30" x14ac:dyDescent="0.25">
      <c r="A36" s="582"/>
      <c r="B36" s="589"/>
      <c r="C36" s="502" t="s">
        <v>4875</v>
      </c>
      <c r="D36" s="430" t="s">
        <v>4876</v>
      </c>
    </row>
    <row r="37" spans="1:4" x14ac:dyDescent="0.25">
      <c r="A37" s="581" t="s">
        <v>5143</v>
      </c>
      <c r="B37" s="588">
        <v>45442</v>
      </c>
      <c r="C37" s="429" t="s">
        <v>4809</v>
      </c>
      <c r="D37" s="430" t="s">
        <v>5144</v>
      </c>
    </row>
    <row r="38" spans="1:4" x14ac:dyDescent="0.25">
      <c r="A38" s="582"/>
      <c r="B38" s="589"/>
      <c r="C38" s="429" t="s">
        <v>4806</v>
      </c>
      <c r="D38" s="497" t="s">
        <v>5146</v>
      </c>
    </row>
    <row r="39" spans="1:4" ht="45" x14ac:dyDescent="0.25">
      <c r="A39" s="593"/>
      <c r="B39" s="593"/>
      <c r="C39" s="429" t="s">
        <v>2878</v>
      </c>
      <c r="D39" s="497" t="s">
        <v>5145</v>
      </c>
    </row>
    <row r="40" spans="1:4" ht="75" x14ac:dyDescent="0.25">
      <c r="A40" s="591" t="s">
        <v>5147</v>
      </c>
      <c r="B40" s="592">
        <v>45485</v>
      </c>
      <c r="C40" s="502" t="s">
        <v>2878</v>
      </c>
      <c r="D40" s="497" t="s">
        <v>5178</v>
      </c>
    </row>
    <row r="41" spans="1:4" ht="45" x14ac:dyDescent="0.25">
      <c r="A41" s="591"/>
      <c r="B41" s="592"/>
      <c r="C41" s="426" t="s">
        <v>4806</v>
      </c>
      <c r="D41" s="497" t="s">
        <v>5179</v>
      </c>
    </row>
    <row r="42" spans="1:4" x14ac:dyDescent="0.25">
      <c r="A42" s="591"/>
      <c r="B42" s="592"/>
      <c r="C42" s="426" t="s">
        <v>4807</v>
      </c>
      <c r="D42" s="560" t="s">
        <v>5151</v>
      </c>
    </row>
    <row r="43" spans="1:4" ht="30" x14ac:dyDescent="0.25">
      <c r="A43" s="591"/>
      <c r="B43" s="592"/>
      <c r="C43" s="426" t="s">
        <v>5150</v>
      </c>
      <c r="D43" s="430" t="s">
        <v>5222</v>
      </c>
    </row>
    <row r="44" spans="1:4" ht="30" x14ac:dyDescent="0.25">
      <c r="A44" s="591"/>
      <c r="B44" s="592"/>
      <c r="C44" s="502" t="s">
        <v>5171</v>
      </c>
      <c r="D44" s="497" t="s">
        <v>5176</v>
      </c>
    </row>
    <row r="45" spans="1:4" ht="30" x14ac:dyDescent="0.25">
      <c r="A45" s="591"/>
      <c r="B45" s="592"/>
      <c r="C45" s="502" t="s">
        <v>4809</v>
      </c>
      <c r="D45" s="430" t="s">
        <v>5216</v>
      </c>
    </row>
    <row r="46" spans="1:4" x14ac:dyDescent="0.25">
      <c r="A46" s="591"/>
      <c r="B46" s="592"/>
      <c r="C46" s="502" t="s">
        <v>5191</v>
      </c>
      <c r="D46" s="430" t="s">
        <v>5189</v>
      </c>
    </row>
  </sheetData>
  <sheetProtection algorithmName="SHA-512" hashValue="fDx5Lb3rPfTBQzbkPx6y8OTuns0TX+zj40a/2e0u48M20WKnv4XgAFyETWwsDP51/Nf3z25GbhvIXfOCsI037A==" saltValue="cNB4lB+Bi0+Y+/oEJAMe6Q==" spinCount="100000" sheet="1" scenarios="1"/>
  <mergeCells count="19">
    <mergeCell ref="A37:A39"/>
    <mergeCell ref="B37:B39"/>
    <mergeCell ref="A25:A36"/>
    <mergeCell ref="B25:B36"/>
    <mergeCell ref="A40:A46"/>
    <mergeCell ref="B40:B46"/>
    <mergeCell ref="A19:A21"/>
    <mergeCell ref="B19:B21"/>
    <mergeCell ref="B11:B12"/>
    <mergeCell ref="A11:A12"/>
    <mergeCell ref="A13:A15"/>
    <mergeCell ref="B13:B15"/>
    <mergeCell ref="A16:A18"/>
    <mergeCell ref="B16:B18"/>
    <mergeCell ref="E23:K23"/>
    <mergeCell ref="A22:A24"/>
    <mergeCell ref="B22:B24"/>
    <mergeCell ref="E24:K24"/>
    <mergeCell ref="E22:K2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499984740745262"/>
    <pageSetUpPr fitToPage="1"/>
  </sheetPr>
  <dimension ref="C4:P44"/>
  <sheetViews>
    <sheetView showGridLines="0" tabSelected="1" workbookViewId="0">
      <selection activeCell="I7" sqref="I7:P7"/>
    </sheetView>
  </sheetViews>
  <sheetFormatPr baseColWidth="10" defaultColWidth="9.140625" defaultRowHeight="15" x14ac:dyDescent="0.25"/>
  <sheetData>
    <row r="4" spans="3:16" x14ac:dyDescent="0.25">
      <c r="I4" s="594" t="s">
        <v>706</v>
      </c>
      <c r="J4" s="594"/>
      <c r="K4" s="594"/>
      <c r="L4" s="594"/>
      <c r="M4" s="594"/>
      <c r="N4" s="594"/>
      <c r="O4" s="594"/>
      <c r="P4" s="594"/>
    </row>
    <row r="5" spans="3:16" x14ac:dyDescent="0.25">
      <c r="J5" s="594" t="s">
        <v>705</v>
      </c>
      <c r="K5" s="594"/>
      <c r="L5" s="594"/>
      <c r="M5" s="594"/>
      <c r="N5" s="594"/>
      <c r="O5" s="594"/>
      <c r="P5" s="594"/>
    </row>
    <row r="6" spans="3:16" x14ac:dyDescent="0.25">
      <c r="I6" s="595" t="str">
        <f>"Version "&amp;RIGHT('Suivi modif'!B5,LEN('Suivi modif'!B5)-1)</f>
        <v>Version 1.11</v>
      </c>
      <c r="J6" s="595"/>
      <c r="K6" s="595"/>
      <c r="L6" s="595"/>
      <c r="M6" s="595"/>
      <c r="N6" s="595"/>
      <c r="O6" s="595"/>
      <c r="P6" s="595"/>
    </row>
    <row r="7" spans="3:16" x14ac:dyDescent="0.25">
      <c r="I7" s="596" t="str">
        <f>"du "&amp;DAY(VLOOKUP('Suivi modif'!B5,'Suivi modif'!A:B,2))&amp;"/"&amp;MONTH(VLOOKUP('Suivi modif'!B5,'Suivi modif'!A:B,2))&amp;"/"&amp;YEAR(VLOOKUP('Suivi modif'!B5,'Suivi modif'!A:B,2))</f>
        <v>du 12/7/2024</v>
      </c>
      <c r="J7" s="596"/>
      <c r="K7" s="596"/>
      <c r="L7" s="596"/>
      <c r="M7" s="596"/>
      <c r="N7" s="596"/>
      <c r="O7" s="596"/>
      <c r="P7" s="596"/>
    </row>
    <row r="12" spans="3:16" ht="29.25" thickBot="1" x14ac:dyDescent="0.5">
      <c r="C12" s="27" t="s">
        <v>557</v>
      </c>
    </row>
    <row r="13" spans="3:16" x14ac:dyDescent="0.25">
      <c r="C13" s="28"/>
      <c r="D13" s="29"/>
      <c r="E13" s="29"/>
      <c r="F13" s="29"/>
      <c r="G13" s="29"/>
      <c r="H13" s="29"/>
      <c r="I13" s="29"/>
      <c r="J13" s="29"/>
      <c r="K13" s="29"/>
      <c r="L13" s="29"/>
      <c r="M13" s="29"/>
      <c r="N13" s="29"/>
      <c r="O13" s="30"/>
    </row>
    <row r="14" spans="3:16" x14ac:dyDescent="0.25">
      <c r="C14" s="31"/>
      <c r="O14" s="32"/>
    </row>
    <row r="15" spans="3:16" x14ac:dyDescent="0.25">
      <c r="C15" s="31"/>
      <c r="O15" s="32"/>
    </row>
    <row r="16" spans="3:16" x14ac:dyDescent="0.25">
      <c r="C16" s="31"/>
      <c r="O16" s="32"/>
    </row>
    <row r="17" spans="3:15" ht="15.75" thickBot="1" x14ac:dyDescent="0.3">
      <c r="C17" s="33"/>
      <c r="D17" s="34"/>
      <c r="E17" s="34"/>
      <c r="F17" s="34"/>
      <c r="G17" s="34"/>
      <c r="H17" s="34"/>
      <c r="I17" s="34"/>
      <c r="J17" s="34"/>
      <c r="K17" s="34"/>
      <c r="L17" s="34"/>
      <c r="M17" s="34"/>
      <c r="N17" s="34"/>
      <c r="O17" s="35"/>
    </row>
    <row r="21" spans="3:15" ht="29.25" thickBot="1" x14ac:dyDescent="0.5">
      <c r="C21" s="27" t="s">
        <v>558</v>
      </c>
    </row>
    <row r="22" spans="3:15" x14ac:dyDescent="0.25">
      <c r="C22" s="28"/>
      <c r="D22" s="29"/>
      <c r="E22" s="29"/>
      <c r="F22" s="29"/>
      <c r="G22" s="29"/>
      <c r="H22" s="29"/>
      <c r="I22" s="29"/>
      <c r="J22" s="29"/>
      <c r="K22" s="29"/>
      <c r="L22" s="29"/>
      <c r="M22" s="29"/>
      <c r="N22" s="29"/>
      <c r="O22" s="30"/>
    </row>
    <row r="23" spans="3:15" x14ac:dyDescent="0.25">
      <c r="C23" s="31"/>
      <c r="O23" s="32"/>
    </row>
    <row r="24" spans="3:15" x14ac:dyDescent="0.25">
      <c r="C24" s="31"/>
      <c r="O24" s="32"/>
    </row>
    <row r="25" spans="3:15" x14ac:dyDescent="0.25">
      <c r="C25" s="31"/>
      <c r="O25" s="32"/>
    </row>
    <row r="26" spans="3:15" ht="15.75" thickBot="1" x14ac:dyDescent="0.3">
      <c r="C26" s="33"/>
      <c r="D26" s="34"/>
      <c r="E26" s="34"/>
      <c r="F26" s="34"/>
      <c r="G26" s="34"/>
      <c r="H26" s="34"/>
      <c r="I26" s="34"/>
      <c r="J26" s="34"/>
      <c r="K26" s="34"/>
      <c r="L26" s="34"/>
      <c r="M26" s="34"/>
      <c r="N26" s="34"/>
      <c r="O26" s="35"/>
    </row>
    <row r="30" spans="3:15" ht="29.25" thickBot="1" x14ac:dyDescent="0.5">
      <c r="C30" s="27" t="s">
        <v>67</v>
      </c>
    </row>
    <row r="31" spans="3:15" x14ac:dyDescent="0.25">
      <c r="C31" s="28"/>
      <c r="D31" s="29"/>
      <c r="E31" s="29"/>
      <c r="F31" s="29"/>
      <c r="G31" s="29"/>
      <c r="H31" s="29"/>
      <c r="I31" s="29"/>
      <c r="J31" s="29"/>
      <c r="K31" s="29"/>
      <c r="L31" s="29"/>
      <c r="M31" s="29"/>
      <c r="N31" s="29"/>
      <c r="O31" s="30"/>
    </row>
    <row r="32" spans="3:15" x14ac:dyDescent="0.25">
      <c r="C32" s="31"/>
      <c r="O32" s="32"/>
    </row>
    <row r="33" spans="3:15" x14ac:dyDescent="0.25">
      <c r="C33" s="31"/>
      <c r="O33" s="32"/>
    </row>
    <row r="34" spans="3:15" x14ac:dyDescent="0.25">
      <c r="C34" s="31"/>
      <c r="O34" s="32"/>
    </row>
    <row r="35" spans="3:15" ht="15.75" thickBot="1" x14ac:dyDescent="0.3">
      <c r="C35" s="33"/>
      <c r="D35" s="34"/>
      <c r="E35" s="34"/>
      <c r="F35" s="34"/>
      <c r="G35" s="34"/>
      <c r="H35" s="34"/>
      <c r="I35" s="34"/>
      <c r="J35" s="34"/>
      <c r="K35" s="34"/>
      <c r="L35" s="34"/>
      <c r="M35" s="34"/>
      <c r="N35" s="34"/>
      <c r="O35" s="35"/>
    </row>
    <row r="38" spans="3:15" ht="29.25" thickBot="1" x14ac:dyDescent="0.5">
      <c r="C38" s="328" t="s">
        <v>2400</v>
      </c>
    </row>
    <row r="39" spans="3:15" x14ac:dyDescent="0.25">
      <c r="C39" s="81"/>
      <c r="D39" s="82"/>
      <c r="E39" s="82"/>
      <c r="F39" s="82"/>
      <c r="G39" s="82"/>
      <c r="H39" s="82"/>
      <c r="I39" s="82"/>
      <c r="J39" s="82"/>
      <c r="K39" s="82"/>
      <c r="L39" s="82"/>
      <c r="M39" s="82"/>
      <c r="N39" s="82"/>
      <c r="O39" s="83"/>
    </row>
    <row r="40" spans="3:15" x14ac:dyDescent="0.25">
      <c r="C40" s="84"/>
      <c r="D40" s="329"/>
      <c r="E40" t="s">
        <v>2303</v>
      </c>
      <c r="O40" s="51"/>
    </row>
    <row r="41" spans="3:15" x14ac:dyDescent="0.25">
      <c r="C41" s="84"/>
      <c r="D41" s="330"/>
      <c r="E41" t="s">
        <v>2304</v>
      </c>
      <c r="O41" s="51"/>
    </row>
    <row r="42" spans="3:15" x14ac:dyDescent="0.25">
      <c r="C42" s="84"/>
      <c r="D42" s="331"/>
      <c r="E42" t="s">
        <v>2305</v>
      </c>
      <c r="O42" s="51"/>
    </row>
    <row r="43" spans="3:15" x14ac:dyDescent="0.25">
      <c r="C43" s="84"/>
      <c r="D43" s="332"/>
      <c r="E43" t="s">
        <v>2306</v>
      </c>
      <c r="O43" s="51"/>
    </row>
    <row r="44" spans="3:15" ht="15.75" thickBot="1" x14ac:dyDescent="0.3">
      <c r="C44" s="85"/>
      <c r="D44" s="86"/>
      <c r="E44" s="86"/>
      <c r="F44" s="86"/>
      <c r="G44" s="86"/>
      <c r="H44" s="86"/>
      <c r="I44" s="86"/>
      <c r="J44" s="86"/>
      <c r="K44" s="86"/>
      <c r="L44" s="86"/>
      <c r="M44" s="86"/>
      <c r="N44" s="86"/>
      <c r="O44" s="50"/>
    </row>
  </sheetData>
  <sheetProtection algorithmName="SHA-512" hashValue="zjQjOXB7kKxK1WD9AgH7my2iHQ47qKPa2jwsaVbLCrZuTwPDYoqckwCHnbWiu9EfYJUUfrv55r21+NY/99O16g==" saltValue="aNU5U2EkdbSYfMRlbCJSKA==" spinCount="100000" sheet="1" objects="1" scenarios="1"/>
  <mergeCells count="4">
    <mergeCell ref="J5:P5"/>
    <mergeCell ref="I4:P4"/>
    <mergeCell ref="I6:P6"/>
    <mergeCell ref="I7:P7"/>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pageSetUpPr fitToPage="1"/>
  </sheetPr>
  <dimension ref="A1:Z113"/>
  <sheetViews>
    <sheetView showGridLines="0" zoomScaleNormal="100" workbookViewId="0">
      <pane ySplit="5" topLeftCell="A6" activePane="bottomLeft" state="frozen"/>
      <selection pane="bottomLeft" activeCell="F10" sqref="F10:G10"/>
    </sheetView>
  </sheetViews>
  <sheetFormatPr baseColWidth="10" defaultColWidth="9.140625" defaultRowHeight="15" x14ac:dyDescent="0.25"/>
  <cols>
    <col min="12" max="12" width="9.140625" customWidth="1"/>
  </cols>
  <sheetData>
    <row r="1" spans="1:26" x14ac:dyDescent="0.25">
      <c r="A1" s="26"/>
      <c r="B1" s="26"/>
      <c r="C1" s="26"/>
      <c r="D1" s="26"/>
      <c r="E1" s="26"/>
      <c r="F1" s="26"/>
      <c r="G1" s="26"/>
      <c r="H1" s="26"/>
      <c r="I1" s="26"/>
      <c r="J1" s="26"/>
      <c r="K1" s="26"/>
      <c r="L1" s="26"/>
      <c r="M1" s="26"/>
      <c r="N1" s="26"/>
      <c r="O1" s="26"/>
      <c r="P1" s="26"/>
      <c r="Q1" s="26"/>
      <c r="R1" s="26"/>
      <c r="S1" s="26"/>
      <c r="T1" s="26"/>
      <c r="U1" s="26"/>
      <c r="V1" s="26"/>
      <c r="W1" s="26"/>
      <c r="X1" s="26"/>
      <c r="Y1" s="602" t="str">
        <f>Accueil!I6</f>
        <v>Version 1.11</v>
      </c>
      <c r="Z1" s="602"/>
    </row>
    <row r="2" spans="1:26" x14ac:dyDescent="0.25">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x14ac:dyDescent="0.25">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75" thickBot="1" x14ac:dyDescent="0.3"/>
    <row r="8" spans="1:26" x14ac:dyDescent="0.25">
      <c r="B8" s="3"/>
      <c r="C8" s="4"/>
      <c r="D8" s="4"/>
      <c r="E8" s="4"/>
      <c r="F8" s="4"/>
      <c r="G8" s="4"/>
      <c r="H8" s="4"/>
      <c r="I8" s="4"/>
      <c r="J8" s="4"/>
      <c r="K8" s="4"/>
      <c r="L8" s="4"/>
      <c r="M8" s="9"/>
      <c r="N8" s="9"/>
      <c r="O8" s="535"/>
      <c r="P8" s="535"/>
      <c r="Q8" s="535"/>
      <c r="R8" s="535"/>
      <c r="S8" s="535"/>
      <c r="T8" s="535"/>
      <c r="U8" s="535"/>
      <c r="V8" s="535"/>
      <c r="W8" s="9"/>
      <c r="X8" s="9"/>
      <c r="Y8" s="10"/>
    </row>
    <row r="9" spans="1:26" x14ac:dyDescent="0.25">
      <c r="B9" s="5"/>
      <c r="O9" s="536" t="str">
        <f>IF(OR(F12="",GESCO_NATURE_AUDIT=""),"",IF(AND(TYPE_CERTIF=Listes!P5,GESCO_NATURE_AUDIT="Audit interne"),"Audit interne : pensez à reporter les données récapitulatives dans le fichier de synthèse du collectif.",""))</f>
        <v/>
      </c>
      <c r="Y9" s="12"/>
    </row>
    <row r="10" spans="1:26" x14ac:dyDescent="0.25">
      <c r="B10" s="5"/>
      <c r="F10" s="609"/>
      <c r="G10" s="610"/>
      <c r="O10" s="552" t="str">
        <f>IF(F12="","Cadre collectif :",IF(TYPE_CERTIF=Listes!P5,"Cadre collectif : Renseignez la nature de l'audit et les informations obligatoires sur la structure collective.","Cadre collectif : Ne pas compléter les informations ci-dessous pour une certification dans un cadre Individuel."))</f>
        <v>Cadre collectif :</v>
      </c>
      <c r="P10" s="553"/>
      <c r="Q10" s="546"/>
      <c r="R10" s="128"/>
      <c r="S10" s="128"/>
      <c r="T10" s="128"/>
      <c r="U10" s="128"/>
      <c r="V10" s="128"/>
      <c r="W10" s="128"/>
      <c r="Y10" s="12"/>
    </row>
    <row r="11" spans="1:26" x14ac:dyDescent="0.25">
      <c r="B11" s="5"/>
      <c r="O11" s="532"/>
      <c r="P11" s="125"/>
      <c r="Q11" s="125"/>
      <c r="R11" s="125"/>
      <c r="S11" s="125"/>
      <c r="T11" s="125"/>
      <c r="U11" s="125"/>
      <c r="V11" s="125"/>
      <c r="W11" s="125"/>
      <c r="X11" s="149"/>
      <c r="Y11" s="12"/>
    </row>
    <row r="12" spans="1:26" x14ac:dyDescent="0.25">
      <c r="B12" s="5"/>
      <c r="F12" s="599"/>
      <c r="G12" s="600"/>
      <c r="H12" s="600"/>
      <c r="I12" s="600"/>
      <c r="J12" s="600"/>
      <c r="K12" s="601"/>
      <c r="L12" s="510" t="str">
        <f>IF(F12="","",VLOOKUP(F12,Listes!O4:P5,2,FALSE))</f>
        <v/>
      </c>
      <c r="O12" s="533"/>
      <c r="Q12" s="91"/>
      <c r="R12" s="599"/>
      <c r="S12" s="600"/>
      <c r="T12" s="601"/>
      <c r="U12" s="597" t="str">
        <f>IF(AND(ISBLANK(GESCO_NATURE_AUDIT),TYPE_CERTIF="Collectif"),"Donnée obligatoire","")</f>
        <v/>
      </c>
      <c r="V12" s="598"/>
      <c r="W12" s="598"/>
      <c r="X12" s="147"/>
      <c r="Y12" s="12"/>
    </row>
    <row r="13" spans="1:26" x14ac:dyDescent="0.25">
      <c r="B13" s="5"/>
      <c r="O13" s="146"/>
      <c r="X13" s="147"/>
      <c r="Y13" s="12"/>
    </row>
    <row r="14" spans="1:26" x14ac:dyDescent="0.25">
      <c r="B14" s="5"/>
      <c r="F14" s="606"/>
      <c r="G14" s="607"/>
      <c r="H14" s="608"/>
      <c r="I14" s="614" t="str">
        <f>IF(OR(F12="",TYPE_AUDIT=""),"",IF(AND(TYPE_CERTIF=Listes!P4,TYPE_AUDIT=Listes!M7),"Incohérence type audit / type certif",""))</f>
        <v/>
      </c>
      <c r="J14" s="615"/>
      <c r="K14" s="615"/>
      <c r="L14" s="615"/>
      <c r="O14" s="146"/>
      <c r="R14" s="603"/>
      <c r="S14" s="604"/>
      <c r="T14" s="605"/>
      <c r="U14" s="597" t="str">
        <f>IF(AND(ISBLANK(GESCO_SIRET_SC),GESCO_NATURE_AUDIT="Audit externe"),"Donnée obligatoire",IF(RIGHT(Ctrl_Siret!Q15,1)="0","","Siret non valide"))</f>
        <v/>
      </c>
      <c r="V14" s="598"/>
      <c r="W14" s="598"/>
      <c r="X14" s="534"/>
      <c r="Y14" s="531"/>
    </row>
    <row r="15" spans="1:26" x14ac:dyDescent="0.25">
      <c r="B15" s="5"/>
      <c r="O15" s="146"/>
      <c r="X15" s="147"/>
      <c r="Y15" s="12"/>
    </row>
    <row r="16" spans="1:26" x14ac:dyDescent="0.25">
      <c r="B16" s="5"/>
      <c r="F16" s="599"/>
      <c r="G16" s="600"/>
      <c r="H16" s="600"/>
      <c r="I16" s="600"/>
      <c r="J16" s="600"/>
      <c r="K16" s="600"/>
      <c r="L16" s="601"/>
      <c r="M16" s="511" t="e">
        <f>VLOOKUP(F16,Listes!R4:S20,2,FALSE)</f>
        <v>#N/A</v>
      </c>
      <c r="O16" s="146"/>
      <c r="R16" s="599"/>
      <c r="S16" s="600"/>
      <c r="T16" s="600"/>
      <c r="U16" s="600"/>
      <c r="V16" s="601"/>
      <c r="X16" s="147"/>
      <c r="Y16" s="12"/>
    </row>
    <row r="17" spans="2:25" x14ac:dyDescent="0.25">
      <c r="B17" s="5"/>
      <c r="F17" s="530" t="str">
        <f>IF(GESCO_NATURE_AUDIT="Audit interne","Inutile de renseigner l'organisme certificateur en cas d'audit interne d'un collectif","")</f>
        <v/>
      </c>
      <c r="O17" s="146"/>
      <c r="X17" s="147"/>
      <c r="Y17" s="12"/>
    </row>
    <row r="18" spans="2:25" x14ac:dyDescent="0.25">
      <c r="B18" s="5"/>
      <c r="O18" s="146"/>
      <c r="R18" s="599"/>
      <c r="S18" s="600"/>
      <c r="T18" s="600"/>
      <c r="U18" s="600"/>
      <c r="V18" s="601"/>
      <c r="X18" s="147"/>
      <c r="Y18" s="12"/>
    </row>
    <row r="19" spans="2:25" x14ac:dyDescent="0.25">
      <c r="B19" s="5"/>
      <c r="F19" s="606"/>
      <c r="G19" s="607"/>
      <c r="H19" s="607"/>
      <c r="I19" s="607"/>
      <c r="J19" s="607"/>
      <c r="K19" s="607"/>
      <c r="L19" s="608"/>
      <c r="O19" s="146"/>
      <c r="X19" s="147"/>
      <c r="Y19" s="12"/>
    </row>
    <row r="20" spans="2:25" x14ac:dyDescent="0.25">
      <c r="B20" s="5"/>
      <c r="N20" s="143"/>
      <c r="O20" s="146"/>
      <c r="R20" s="599"/>
      <c r="S20" s="600"/>
      <c r="T20" s="600"/>
      <c r="U20" s="600"/>
      <c r="V20" s="601"/>
      <c r="X20" s="147"/>
      <c r="Y20" s="12"/>
    </row>
    <row r="21" spans="2:25" x14ac:dyDescent="0.25">
      <c r="B21" s="5"/>
      <c r="C21" s="613" t="s">
        <v>4942</v>
      </c>
      <c r="D21" s="613"/>
      <c r="E21" s="613"/>
      <c r="F21" s="613"/>
      <c r="G21" s="613"/>
      <c r="H21" s="613"/>
      <c r="I21" s="613"/>
      <c r="J21" s="613"/>
      <c r="K21" s="613"/>
      <c r="L21" s="613"/>
      <c r="N21" s="143"/>
      <c r="O21" s="146"/>
      <c r="X21" s="147"/>
      <c r="Y21" s="12"/>
    </row>
    <row r="22" spans="2:25" x14ac:dyDescent="0.25">
      <c r="B22" s="5"/>
      <c r="H22" s="156"/>
      <c r="J22" s="156"/>
      <c r="K22" s="156"/>
      <c r="L22" s="156"/>
      <c r="O22" s="146"/>
      <c r="R22" s="616"/>
      <c r="S22" s="617"/>
      <c r="X22" s="147"/>
      <c r="Y22" s="12"/>
    </row>
    <row r="23" spans="2:25" x14ac:dyDescent="0.25">
      <c r="B23" s="5"/>
      <c r="F23" s="611"/>
      <c r="G23" s="612"/>
      <c r="H23" s="156"/>
      <c r="I23" s="529" t="s">
        <v>2307</v>
      </c>
      <c r="J23" s="156"/>
      <c r="K23" s="156"/>
      <c r="L23" s="156"/>
      <c r="O23" s="146"/>
      <c r="X23" s="147"/>
      <c r="Y23" s="12"/>
    </row>
    <row r="24" spans="2:25" x14ac:dyDescent="0.25">
      <c r="B24" s="5"/>
      <c r="O24" s="146"/>
      <c r="R24" s="599"/>
      <c r="S24" s="600"/>
      <c r="T24" s="600"/>
      <c r="U24" s="600"/>
      <c r="V24" s="601"/>
      <c r="X24" s="147"/>
      <c r="Y24" s="12"/>
    </row>
    <row r="25" spans="2:25" x14ac:dyDescent="0.25">
      <c r="B25" s="5"/>
      <c r="F25" s="606"/>
      <c r="G25" s="607"/>
      <c r="H25" s="607"/>
      <c r="I25" s="607"/>
      <c r="J25" s="607"/>
      <c r="K25" s="607"/>
      <c r="L25" s="608"/>
      <c r="O25" s="148"/>
      <c r="P25" s="128"/>
      <c r="Q25" s="128"/>
      <c r="R25" s="128"/>
      <c r="S25" s="128"/>
      <c r="T25" s="128"/>
      <c r="U25" s="128"/>
      <c r="V25" s="128"/>
      <c r="W25" s="128"/>
      <c r="X25" s="150"/>
      <c r="Y25" s="12"/>
    </row>
    <row r="26" spans="2:25" ht="15.75" thickBot="1" x14ac:dyDescent="0.3">
      <c r="B26" s="6"/>
      <c r="C26" s="7"/>
      <c r="D26" s="7"/>
      <c r="E26" s="7"/>
      <c r="F26" s="7"/>
      <c r="G26" s="7"/>
      <c r="H26" s="7"/>
      <c r="I26" s="7"/>
      <c r="J26" s="7"/>
      <c r="K26" s="7"/>
      <c r="L26" s="7"/>
      <c r="M26" s="14"/>
      <c r="N26" s="14"/>
      <c r="O26" s="14"/>
      <c r="P26" s="14"/>
      <c r="Q26" s="14"/>
      <c r="R26" s="14"/>
      <c r="S26" s="14"/>
      <c r="T26" s="14"/>
      <c r="U26" s="14"/>
      <c r="V26" s="14"/>
      <c r="W26" s="14"/>
      <c r="X26" s="14"/>
      <c r="Y26" s="15"/>
    </row>
    <row r="29" spans="2:25" ht="15.75" thickBot="1" x14ac:dyDescent="0.3"/>
    <row r="30" spans="2:25" x14ac:dyDescent="0.25">
      <c r="B30" s="8"/>
      <c r="C30" s="9"/>
      <c r="D30" s="9"/>
      <c r="E30" s="9"/>
      <c r="F30" s="9"/>
      <c r="G30" s="9"/>
      <c r="H30" s="9"/>
      <c r="I30" s="9"/>
      <c r="J30" s="9"/>
      <c r="K30" s="9"/>
      <c r="L30" s="9"/>
      <c r="M30" s="9"/>
      <c r="N30" s="9"/>
      <c r="O30" s="9"/>
      <c r="P30" s="9"/>
      <c r="Q30" s="9"/>
      <c r="R30" s="9"/>
      <c r="S30" s="9"/>
      <c r="T30" s="9"/>
      <c r="U30" s="9"/>
      <c r="V30" s="9"/>
      <c r="W30" s="9"/>
      <c r="X30" s="9"/>
      <c r="Y30" s="10"/>
    </row>
    <row r="31" spans="2:25" x14ac:dyDescent="0.25">
      <c r="B31" s="11"/>
      <c r="Y31" s="12"/>
    </row>
    <row r="32" spans="2:25" x14ac:dyDescent="0.25">
      <c r="B32" s="11"/>
      <c r="F32" s="630"/>
      <c r="G32" s="631"/>
      <c r="H32" s="631"/>
      <c r="I32" s="631"/>
      <c r="J32" s="631"/>
      <c r="K32" s="631"/>
      <c r="L32" s="632"/>
      <c r="R32" s="606"/>
      <c r="S32" s="607"/>
      <c r="T32" s="607"/>
      <c r="U32" s="607"/>
      <c r="V32" s="608"/>
      <c r="W32" s="548"/>
      <c r="Y32" s="12"/>
    </row>
    <row r="33" spans="2:25" x14ac:dyDescent="0.25">
      <c r="B33" s="11"/>
      <c r="Y33" s="12"/>
    </row>
    <row r="34" spans="2:25" x14ac:dyDescent="0.25">
      <c r="B34" s="11"/>
      <c r="F34" s="606"/>
      <c r="G34" s="607"/>
      <c r="H34" s="607"/>
      <c r="I34" s="607"/>
      <c r="J34" s="607"/>
      <c r="K34" s="607"/>
      <c r="L34" s="608"/>
      <c r="R34" s="606"/>
      <c r="S34" s="607"/>
      <c r="T34" s="607"/>
      <c r="U34" s="607"/>
      <c r="V34" s="608"/>
      <c r="W34" s="643" t="str">
        <f>IF(AND(OR(R32="Ardèche",R32="Drôme",R32="Rhône",R32="Saône-et-Loire"),R34=""),"Donnée obligatoire",IF(AND(OR(R32="Ardèche",R32="Drôme",R32="Rhône",R32="Saône-et-Loire"),R34&lt;&gt;""),"","Ne pas renseigner"))</f>
        <v>Ne pas renseigner</v>
      </c>
      <c r="X34" s="644"/>
      <c r="Y34" s="645"/>
    </row>
    <row r="35" spans="2:25" x14ac:dyDescent="0.25">
      <c r="B35" s="11"/>
      <c r="S35" s="285"/>
      <c r="Y35" s="12"/>
    </row>
    <row r="36" spans="2:25" x14ac:dyDescent="0.25">
      <c r="B36" s="11"/>
      <c r="F36" s="640"/>
      <c r="G36" s="641"/>
      <c r="H36" s="641"/>
      <c r="I36" s="642"/>
      <c r="J36" s="614" t="str">
        <f>IF(RIGHT(Ctrl_Siret!Q7,1)="0","","Siret non valide")</f>
        <v/>
      </c>
      <c r="K36" s="615"/>
      <c r="L36" s="615"/>
      <c r="R36" s="634" t="str">
        <f>IFERROR(INDEX(Paramètres!BF:BF,MATCH(R32,Paramètres!BC:BC,0)),"")</f>
        <v/>
      </c>
      <c r="S36" s="635"/>
      <c r="T36" s="635"/>
      <c r="U36" s="635"/>
      <c r="V36" s="636"/>
      <c r="Y36" s="12"/>
    </row>
    <row r="37" spans="2:25" x14ac:dyDescent="0.25">
      <c r="B37" s="11"/>
      <c r="Y37" s="12"/>
    </row>
    <row r="38" spans="2:25" x14ac:dyDescent="0.25">
      <c r="B38" s="11"/>
      <c r="F38" s="637"/>
      <c r="G38" s="638"/>
      <c r="H38" s="638"/>
      <c r="I38" s="639"/>
      <c r="R38" s="634" t="str">
        <f>IFERROR(INDEX(Paramètres!BH:BH,MATCH(TRIM(R32&amp;" "&amp;R34),Paramètres!BI:BI,0)),"")</f>
        <v/>
      </c>
      <c r="S38" s="635"/>
      <c r="T38" s="635"/>
      <c r="U38" s="635"/>
      <c r="V38" s="636"/>
      <c r="W38" s="643"/>
      <c r="X38" s="644"/>
      <c r="Y38" s="645"/>
    </row>
    <row r="39" spans="2:25" x14ac:dyDescent="0.25">
      <c r="B39" s="11"/>
      <c r="Y39" s="12"/>
    </row>
    <row r="40" spans="2:25" x14ac:dyDescent="0.25">
      <c r="B40" s="11"/>
      <c r="F40" s="507"/>
      <c r="Y40" s="12"/>
    </row>
    <row r="41" spans="2:25" x14ac:dyDescent="0.25">
      <c r="B41" s="11"/>
      <c r="Y41" s="12"/>
    </row>
    <row r="42" spans="2:25" x14ac:dyDescent="0.25">
      <c r="B42" s="11"/>
      <c r="Y42" s="12"/>
    </row>
    <row r="43" spans="2:25" x14ac:dyDescent="0.25">
      <c r="B43" s="11"/>
      <c r="F43" s="606"/>
      <c r="G43" s="607"/>
      <c r="H43" s="607"/>
      <c r="I43" s="607"/>
      <c r="J43" s="607"/>
      <c r="K43" s="607"/>
      <c r="L43" s="608"/>
      <c r="R43" s="646"/>
      <c r="S43" s="646"/>
      <c r="T43" s="646"/>
      <c r="U43" s="646"/>
      <c r="Y43" s="12"/>
    </row>
    <row r="44" spans="2:25" x14ac:dyDescent="0.25">
      <c r="B44" s="11"/>
      <c r="Y44" s="12"/>
    </row>
    <row r="45" spans="2:25" x14ac:dyDescent="0.25">
      <c r="B45" s="11"/>
      <c r="F45" s="630"/>
      <c r="G45" s="631"/>
      <c r="H45" s="631"/>
      <c r="I45" s="631"/>
      <c r="J45" s="631"/>
      <c r="K45" s="631"/>
      <c r="L45" s="632"/>
      <c r="R45" s="648"/>
      <c r="S45" s="649"/>
      <c r="T45" s="649"/>
      <c r="U45" s="649"/>
      <c r="V45" s="649"/>
      <c r="W45" s="649"/>
      <c r="X45" s="649"/>
      <c r="Y45" s="12"/>
    </row>
    <row r="46" spans="2:25" x14ac:dyDescent="0.25">
      <c r="B46" s="11"/>
      <c r="Y46" s="12"/>
    </row>
    <row r="47" spans="2:25" x14ac:dyDescent="0.25">
      <c r="B47" s="11"/>
      <c r="F47" s="637"/>
      <c r="G47" s="639"/>
      <c r="R47" s="650"/>
      <c r="S47" s="650"/>
      <c r="T47" s="650"/>
      <c r="U47" s="650"/>
      <c r="V47" s="650"/>
      <c r="W47" s="650"/>
      <c r="X47" s="650"/>
      <c r="Y47" s="12"/>
    </row>
    <row r="48" spans="2:25" x14ac:dyDescent="0.25">
      <c r="B48" s="11"/>
      <c r="Y48" s="12"/>
    </row>
    <row r="49" spans="2:25" x14ac:dyDescent="0.25">
      <c r="B49" s="11"/>
      <c r="F49" s="606"/>
      <c r="G49" s="607"/>
      <c r="H49" s="607"/>
      <c r="I49" s="607"/>
      <c r="J49" s="607"/>
      <c r="K49" s="607"/>
      <c r="L49" s="608"/>
      <c r="V49" s="633"/>
      <c r="W49" s="633"/>
      <c r="Y49" s="12"/>
    </row>
    <row r="50" spans="2:25" ht="15.75" thickBot="1" x14ac:dyDescent="0.3">
      <c r="B50" s="13"/>
      <c r="C50" s="14"/>
      <c r="D50" s="14"/>
      <c r="E50" s="14"/>
      <c r="F50" s="14"/>
      <c r="G50" s="14"/>
      <c r="H50" s="14"/>
      <c r="I50" s="14"/>
      <c r="J50" s="14"/>
      <c r="K50" s="14"/>
      <c r="L50" s="14"/>
      <c r="M50" s="14"/>
      <c r="N50" s="14"/>
      <c r="O50" s="14"/>
      <c r="P50" s="14"/>
      <c r="Q50" s="14"/>
      <c r="R50" s="14"/>
      <c r="S50" s="14"/>
      <c r="T50" s="14"/>
      <c r="U50" s="14"/>
      <c r="V50" s="14"/>
      <c r="W50" s="14"/>
      <c r="X50" s="14"/>
      <c r="Y50" s="15"/>
    </row>
    <row r="53" spans="2:25" ht="15.75" thickBot="1" x14ac:dyDescent="0.3"/>
    <row r="54" spans="2:25" x14ac:dyDescent="0.25">
      <c r="B54" s="16"/>
      <c r="C54" s="17"/>
      <c r="D54" s="17"/>
      <c r="E54" s="17"/>
      <c r="F54" s="17"/>
      <c r="G54" s="17"/>
      <c r="H54" s="17"/>
      <c r="I54" s="17"/>
      <c r="J54" s="17"/>
      <c r="K54" s="17"/>
      <c r="L54" s="17"/>
      <c r="M54" s="17"/>
      <c r="N54" s="17"/>
      <c r="O54" s="17"/>
      <c r="P54" s="17"/>
      <c r="Q54" s="17"/>
      <c r="R54" s="17"/>
      <c r="S54" s="17"/>
      <c r="T54" s="17"/>
      <c r="U54" s="17"/>
      <c r="V54" s="17"/>
      <c r="W54" s="17"/>
      <c r="X54" s="17"/>
      <c r="Y54" s="18"/>
    </row>
    <row r="55" spans="2:25" x14ac:dyDescent="0.25">
      <c r="B55" s="19"/>
      <c r="Y55" s="20"/>
    </row>
    <row r="56" spans="2:25" x14ac:dyDescent="0.25">
      <c r="B56" s="19"/>
      <c r="F56" s="606"/>
      <c r="G56" s="607"/>
      <c r="H56" s="607"/>
      <c r="I56" s="608"/>
      <c r="J56" s="511" t="e">
        <f>VLOOKUP(STATUT_JURIDIQUE,Listes!B4:C12,2,FALSE)</f>
        <v>#N/A</v>
      </c>
      <c r="Y56" s="20"/>
    </row>
    <row r="57" spans="2:25" x14ac:dyDescent="0.25">
      <c r="B57" s="19"/>
      <c r="Y57" s="20"/>
    </row>
    <row r="58" spans="2:25" x14ac:dyDescent="0.25">
      <c r="B58" s="19"/>
      <c r="Y58" s="20"/>
    </row>
    <row r="59" spans="2:25" x14ac:dyDescent="0.25">
      <c r="B59" s="19"/>
      <c r="Y59" s="20"/>
    </row>
    <row r="60" spans="2:25" x14ac:dyDescent="0.25">
      <c r="B60" s="19"/>
      <c r="Y60" s="20"/>
    </row>
    <row r="61" spans="2:25" x14ac:dyDescent="0.25">
      <c r="B61" s="19"/>
      <c r="H61" s="630"/>
      <c r="I61" s="631"/>
      <c r="J61" s="631"/>
      <c r="K61" s="631"/>
      <c r="L61" s="632"/>
      <c r="M61" s="511" t="e">
        <f>VLOOKUP(V_ACTIVITE_PRINCIPALE,Listes!G4:H12,2,FALSE)</f>
        <v>#N/A</v>
      </c>
      <c r="T61" s="606"/>
      <c r="U61" s="607"/>
      <c r="V61" s="607"/>
      <c r="W61" s="607"/>
      <c r="X61" s="608"/>
      <c r="Y61" s="579" t="e">
        <f>VLOOKUP(A_ACTIVITE_PRINCIPALE,Listes!J4:K14,2,FALSE)</f>
        <v>#N/A</v>
      </c>
    </row>
    <row r="62" spans="2:25" x14ac:dyDescent="0.25">
      <c r="B62" s="19"/>
      <c r="Y62" s="20"/>
    </row>
    <row r="63" spans="2:25" x14ac:dyDescent="0.25">
      <c r="B63" s="19"/>
      <c r="H63" s="630"/>
      <c r="I63" s="631"/>
      <c r="J63" s="631"/>
      <c r="K63" s="631"/>
      <c r="L63" s="632"/>
      <c r="M63" s="511" t="e">
        <f>VLOOKUP(V_ACTIVITE_SECOND,Listes!G4:H12,2,FALSE)</f>
        <v>#N/A</v>
      </c>
      <c r="T63" s="606"/>
      <c r="U63" s="607"/>
      <c r="V63" s="607"/>
      <c r="W63" s="607"/>
      <c r="X63" s="608"/>
      <c r="Y63" s="579" t="e">
        <f>VLOOKUP(A_ACTIVITE_SECOND,Listes!J4:K14,2,FALSE)</f>
        <v>#N/A</v>
      </c>
    </row>
    <row r="64" spans="2:25" x14ac:dyDescent="0.25">
      <c r="B64" s="19"/>
      <c r="Y64" s="20"/>
    </row>
    <row r="65" spans="2:25" x14ac:dyDescent="0.25">
      <c r="B65" s="19"/>
      <c r="H65" s="630"/>
      <c r="I65" s="631"/>
      <c r="J65" s="631"/>
      <c r="K65" s="631"/>
      <c r="L65" s="632"/>
      <c r="M65" s="511" t="e">
        <f>VLOOKUP(V_AUTRE_ACTIVITE,Listes!G4:H12,2,FALSE)</f>
        <v>#N/A</v>
      </c>
      <c r="T65" s="630"/>
      <c r="U65" s="631"/>
      <c r="V65" s="631"/>
      <c r="W65" s="631"/>
      <c r="X65" s="632"/>
      <c r="Y65" s="579" t="e">
        <f>VLOOKUP(A_AUTRE_ACTIVITE,Listes!J4:K14,2,FALSE)</f>
        <v>#N/A</v>
      </c>
    </row>
    <row r="66" spans="2:25" x14ac:dyDescent="0.25">
      <c r="B66" s="19"/>
      <c r="Y66" s="20"/>
    </row>
    <row r="67" spans="2:25" x14ac:dyDescent="0.25">
      <c r="B67" s="19"/>
      <c r="Y67" s="20"/>
    </row>
    <row r="68" spans="2:25" x14ac:dyDescent="0.25">
      <c r="B68" s="19"/>
      <c r="Y68" s="20"/>
    </row>
    <row r="69" spans="2:25" x14ac:dyDescent="0.25">
      <c r="B69" s="19"/>
      <c r="F69" s="630"/>
      <c r="G69" s="631"/>
      <c r="H69" s="631"/>
      <c r="I69" s="632"/>
      <c r="Y69" s="20"/>
    </row>
    <row r="70" spans="2:25" x14ac:dyDescent="0.25">
      <c r="B70" s="19"/>
      <c r="F70" s="156"/>
      <c r="G70" s="156"/>
      <c r="H70" s="156"/>
      <c r="I70" s="156"/>
      <c r="R70" s="160"/>
      <c r="S70" s="160"/>
      <c r="Y70" s="20"/>
    </row>
    <row r="71" spans="2:25" x14ac:dyDescent="0.25">
      <c r="B71" s="19"/>
      <c r="Y71" s="20"/>
    </row>
    <row r="72" spans="2:25" x14ac:dyDescent="0.25">
      <c r="B72" s="19"/>
      <c r="F72" s="647"/>
      <c r="G72" s="647"/>
      <c r="H72" s="285"/>
      <c r="I72" s="285"/>
      <c r="J72" s="285"/>
      <c r="K72" s="285"/>
      <c r="L72" s="285"/>
      <c r="Y72" s="20"/>
    </row>
    <row r="73" spans="2:25" x14ac:dyDescent="0.25">
      <c r="B73" s="19"/>
      <c r="Y73" s="20"/>
    </row>
    <row r="74" spans="2:25" ht="15.75" thickBot="1" x14ac:dyDescent="0.3">
      <c r="B74" s="22"/>
      <c r="C74" s="23"/>
      <c r="D74" s="23"/>
      <c r="E74" s="23"/>
      <c r="F74" s="23"/>
      <c r="G74" s="23"/>
      <c r="H74" s="23"/>
      <c r="I74" s="23"/>
      <c r="J74" s="23"/>
      <c r="K74" s="23"/>
      <c r="L74" s="23"/>
      <c r="M74" s="23"/>
      <c r="N74" s="23"/>
      <c r="O74" s="23"/>
      <c r="P74" s="23"/>
      <c r="Q74" s="23"/>
      <c r="R74" s="23"/>
      <c r="S74" s="23"/>
      <c r="T74" s="23"/>
      <c r="U74" s="23"/>
      <c r="V74" s="23"/>
      <c r="W74" s="23"/>
      <c r="X74" s="23"/>
      <c r="Y74" s="24"/>
    </row>
    <row r="77" spans="2:25" ht="15.75" thickBot="1" x14ac:dyDescent="0.3"/>
    <row r="78" spans="2:25" x14ac:dyDescent="0.25">
      <c r="B78" s="16"/>
      <c r="C78" s="17"/>
      <c r="D78" s="17"/>
      <c r="E78" s="17"/>
      <c r="F78" s="17"/>
      <c r="G78" s="17"/>
      <c r="H78" s="17"/>
      <c r="I78" s="17"/>
      <c r="J78" s="17"/>
      <c r="K78" s="17"/>
      <c r="L78" s="17"/>
      <c r="M78" s="17"/>
      <c r="N78" s="17"/>
      <c r="O78" s="17"/>
      <c r="P78" s="17"/>
      <c r="Q78" s="17"/>
      <c r="R78" s="17"/>
      <c r="S78" s="17"/>
      <c r="T78" s="17"/>
      <c r="U78" s="17"/>
      <c r="V78" s="17"/>
      <c r="W78" s="17"/>
      <c r="X78" s="17"/>
      <c r="Y78" s="18"/>
    </row>
    <row r="79" spans="2:25" x14ac:dyDescent="0.25">
      <c r="B79" s="19"/>
      <c r="Y79" s="20"/>
    </row>
    <row r="80" spans="2:25" x14ac:dyDescent="0.25">
      <c r="B80" s="19"/>
      <c r="Y80" s="20"/>
    </row>
    <row r="81" spans="2:25" x14ac:dyDescent="0.25">
      <c r="B81" s="19"/>
      <c r="F81" s="633"/>
      <c r="G81" s="633"/>
      <c r="L81" s="606"/>
      <c r="M81" s="607"/>
      <c r="N81" s="607"/>
      <c r="O81" s="607"/>
      <c r="P81" s="607"/>
      <c r="Q81" s="607"/>
      <c r="R81" s="607"/>
      <c r="S81" s="607"/>
      <c r="T81" s="607"/>
      <c r="U81" s="607"/>
      <c r="V81" s="607"/>
      <c r="W81" s="608"/>
      <c r="X81" s="511" t="e">
        <f>VLOOKUP(DEMARCHE_NIV2,Listes!AO4:AP76,2,FALSE)</f>
        <v>#N/A</v>
      </c>
      <c r="Y81" s="20"/>
    </row>
    <row r="82" spans="2:25" x14ac:dyDescent="0.25">
      <c r="B82" s="19"/>
      <c r="Y82" s="20"/>
    </row>
    <row r="83" spans="2:25" x14ac:dyDescent="0.25">
      <c r="B83" s="19"/>
      <c r="Y83" s="20"/>
    </row>
    <row r="84" spans="2:25" x14ac:dyDescent="0.25">
      <c r="B84" s="19"/>
      <c r="C84" t="s">
        <v>562</v>
      </c>
      <c r="Y84" s="20"/>
    </row>
    <row r="85" spans="2:25" x14ac:dyDescent="0.25">
      <c r="B85" s="19"/>
      <c r="Y85" s="20"/>
    </row>
    <row r="86" spans="2:25" x14ac:dyDescent="0.25">
      <c r="B86" s="19"/>
      <c r="C86" t="s">
        <v>718</v>
      </c>
      <c r="G86" s="627"/>
      <c r="H86" s="628"/>
      <c r="I86" s="629"/>
      <c r="Y86" s="25"/>
    </row>
    <row r="87" spans="2:25" x14ac:dyDescent="0.25">
      <c r="B87" s="19"/>
      <c r="F87" s="157"/>
      <c r="G87" s="157"/>
      <c r="H87" s="157"/>
      <c r="I87" s="157"/>
      <c r="J87" s="157"/>
      <c r="K87" s="157"/>
      <c r="L87" s="157"/>
      <c r="M87" s="157"/>
      <c r="N87" s="157"/>
      <c r="O87" s="157"/>
      <c r="P87" s="157"/>
      <c r="Q87" s="157"/>
      <c r="R87" s="157"/>
      <c r="S87" s="157"/>
      <c r="T87" s="157"/>
      <c r="U87" s="157"/>
      <c r="V87" s="157"/>
      <c r="W87" s="157"/>
      <c r="X87" s="157"/>
      <c r="Y87" s="25"/>
    </row>
    <row r="88" spans="2:25" x14ac:dyDescent="0.25">
      <c r="B88" s="19"/>
      <c r="C88" t="s">
        <v>719</v>
      </c>
      <c r="G88" s="627"/>
      <c r="H88" s="628"/>
      <c r="I88" s="629"/>
      <c r="Y88" s="25"/>
    </row>
    <row r="89" spans="2:25" x14ac:dyDescent="0.25">
      <c r="B89" s="19"/>
      <c r="F89" s="157"/>
      <c r="G89" s="157"/>
      <c r="H89" s="157"/>
      <c r="I89" s="157"/>
      <c r="J89" s="157"/>
      <c r="K89" s="157"/>
      <c r="L89" s="157"/>
      <c r="M89" s="157"/>
      <c r="N89" s="157"/>
      <c r="O89" s="157"/>
      <c r="P89" s="157"/>
      <c r="Q89" s="157"/>
      <c r="R89" s="157"/>
      <c r="S89" s="157"/>
      <c r="T89" s="157"/>
      <c r="U89" s="157"/>
      <c r="V89" s="157"/>
      <c r="W89" s="157"/>
      <c r="X89" s="157"/>
      <c r="Y89" s="25"/>
    </row>
    <row r="90" spans="2:25" x14ac:dyDescent="0.25">
      <c r="B90" s="19"/>
      <c r="C90" t="s">
        <v>559</v>
      </c>
      <c r="F90" s="157"/>
      <c r="G90" s="627"/>
      <c r="H90" s="628"/>
      <c r="I90" s="629"/>
      <c r="J90" s="157"/>
      <c r="K90" s="157"/>
      <c r="L90" s="157"/>
      <c r="M90" s="157"/>
      <c r="N90" s="157"/>
      <c r="O90" s="157"/>
      <c r="P90" s="157"/>
      <c r="Q90" s="157"/>
      <c r="R90" s="157"/>
      <c r="S90" s="157"/>
      <c r="T90" s="157"/>
      <c r="U90" s="157"/>
      <c r="V90" s="157"/>
      <c r="W90" s="157"/>
      <c r="X90" s="157"/>
      <c r="Y90" s="25"/>
    </row>
    <row r="91" spans="2:25" x14ac:dyDescent="0.25">
      <c r="B91" s="19"/>
      <c r="C91" s="157"/>
      <c r="D91" s="157"/>
      <c r="E91" s="157"/>
      <c r="F91" s="157"/>
      <c r="G91" s="157"/>
      <c r="H91" s="157"/>
      <c r="I91" s="157"/>
      <c r="J91" s="157"/>
      <c r="K91" s="157"/>
      <c r="L91" s="157"/>
      <c r="M91" s="157"/>
      <c r="N91" s="157"/>
      <c r="O91" s="157"/>
      <c r="P91" s="157"/>
      <c r="Q91" s="157"/>
      <c r="R91" s="157"/>
      <c r="S91" s="157"/>
      <c r="T91" s="157"/>
      <c r="U91" s="157"/>
      <c r="V91" s="157"/>
      <c r="W91" s="157"/>
      <c r="X91" s="157"/>
      <c r="Y91" s="25"/>
    </row>
    <row r="92" spans="2:25" ht="15.75" thickBot="1" x14ac:dyDescent="0.3">
      <c r="B92" s="22"/>
      <c r="C92" s="158"/>
      <c r="D92" s="158"/>
      <c r="E92" s="158"/>
      <c r="F92" s="158"/>
      <c r="G92" s="158"/>
      <c r="H92" s="158"/>
      <c r="I92" s="158"/>
      <c r="J92" s="158"/>
      <c r="K92" s="158"/>
      <c r="L92" s="158"/>
      <c r="M92" s="158"/>
      <c r="N92" s="158"/>
      <c r="O92" s="158"/>
      <c r="P92" s="158"/>
      <c r="Q92" s="158"/>
      <c r="R92" s="158"/>
      <c r="S92" s="158"/>
      <c r="T92" s="158"/>
      <c r="U92" s="158"/>
      <c r="V92" s="158"/>
      <c r="W92" s="158"/>
      <c r="X92" s="158"/>
      <c r="Y92" s="24"/>
    </row>
    <row r="94" spans="2:25" ht="15.75" thickBot="1" x14ac:dyDescent="0.3"/>
    <row r="95" spans="2:25" x14ac:dyDescent="0.25">
      <c r="B95" s="8"/>
      <c r="C95" s="9"/>
      <c r="D95" s="9"/>
      <c r="E95" s="9"/>
      <c r="F95" s="9"/>
      <c r="G95" s="9"/>
      <c r="H95" s="9"/>
      <c r="I95" s="9"/>
      <c r="J95" s="9"/>
      <c r="K95" s="9"/>
      <c r="L95" s="9"/>
      <c r="M95" s="9"/>
      <c r="N95" s="9"/>
      <c r="O95" s="9"/>
      <c r="P95" s="9"/>
      <c r="Q95" s="9"/>
      <c r="R95" s="9"/>
      <c r="S95" s="9"/>
      <c r="T95" s="9"/>
      <c r="U95" s="9"/>
      <c r="V95" s="9"/>
      <c r="W95" s="9"/>
      <c r="X95" s="9"/>
      <c r="Y95" s="10"/>
    </row>
    <row r="96" spans="2:25" x14ac:dyDescent="0.25">
      <c r="B96" s="11"/>
      <c r="Y96" s="12"/>
    </row>
    <row r="97" spans="2:25" x14ac:dyDescent="0.25">
      <c r="B97" s="11"/>
      <c r="C97" s="618"/>
      <c r="D97" s="619"/>
      <c r="E97" s="619"/>
      <c r="F97" s="619"/>
      <c r="G97" s="619"/>
      <c r="H97" s="619"/>
      <c r="I97" s="619"/>
      <c r="J97" s="619"/>
      <c r="K97" s="619"/>
      <c r="L97" s="619"/>
      <c r="M97" s="619"/>
      <c r="N97" s="619"/>
      <c r="O97" s="619"/>
      <c r="P97" s="619"/>
      <c r="Q97" s="619"/>
      <c r="R97" s="619"/>
      <c r="S97" s="619"/>
      <c r="T97" s="619"/>
      <c r="U97" s="619"/>
      <c r="V97" s="619"/>
      <c r="W97" s="619"/>
      <c r="X97" s="620"/>
      <c r="Y97" s="12"/>
    </row>
    <row r="98" spans="2:25" x14ac:dyDescent="0.25">
      <c r="B98" s="11"/>
      <c r="C98" s="621"/>
      <c r="D98" s="622"/>
      <c r="E98" s="622"/>
      <c r="F98" s="622"/>
      <c r="G98" s="622"/>
      <c r="H98" s="622"/>
      <c r="I98" s="622"/>
      <c r="J98" s="622"/>
      <c r="K98" s="622"/>
      <c r="L98" s="622"/>
      <c r="M98" s="622"/>
      <c r="N98" s="622"/>
      <c r="O98" s="622"/>
      <c r="P98" s="622"/>
      <c r="Q98" s="622"/>
      <c r="R98" s="622"/>
      <c r="S98" s="622"/>
      <c r="T98" s="622"/>
      <c r="U98" s="622"/>
      <c r="V98" s="622"/>
      <c r="W98" s="622"/>
      <c r="X98" s="623"/>
      <c r="Y98" s="12"/>
    </row>
    <row r="99" spans="2:25" x14ac:dyDescent="0.25">
      <c r="B99" s="11"/>
      <c r="C99" s="621"/>
      <c r="D99" s="622"/>
      <c r="E99" s="622"/>
      <c r="F99" s="622"/>
      <c r="G99" s="622"/>
      <c r="H99" s="622"/>
      <c r="I99" s="622"/>
      <c r="J99" s="622"/>
      <c r="K99" s="622"/>
      <c r="L99" s="622"/>
      <c r="M99" s="622"/>
      <c r="N99" s="622"/>
      <c r="O99" s="622"/>
      <c r="P99" s="622"/>
      <c r="Q99" s="622"/>
      <c r="R99" s="622"/>
      <c r="S99" s="622"/>
      <c r="T99" s="622"/>
      <c r="U99" s="622"/>
      <c r="V99" s="622"/>
      <c r="W99" s="622"/>
      <c r="X99" s="623"/>
      <c r="Y99" s="12"/>
    </row>
    <row r="100" spans="2:25" x14ac:dyDescent="0.25">
      <c r="B100" s="11"/>
      <c r="C100" s="621"/>
      <c r="D100" s="622"/>
      <c r="E100" s="622"/>
      <c r="F100" s="622"/>
      <c r="G100" s="622"/>
      <c r="H100" s="622"/>
      <c r="I100" s="622"/>
      <c r="J100" s="622"/>
      <c r="K100" s="622"/>
      <c r="L100" s="622"/>
      <c r="M100" s="622"/>
      <c r="N100" s="622"/>
      <c r="O100" s="622"/>
      <c r="P100" s="622"/>
      <c r="Q100" s="622"/>
      <c r="R100" s="622"/>
      <c r="S100" s="622"/>
      <c r="T100" s="622"/>
      <c r="U100" s="622"/>
      <c r="V100" s="622"/>
      <c r="W100" s="622"/>
      <c r="X100" s="623"/>
      <c r="Y100" s="12"/>
    </row>
    <row r="101" spans="2:25" x14ac:dyDescent="0.25">
      <c r="B101" s="11"/>
      <c r="C101" s="621"/>
      <c r="D101" s="622"/>
      <c r="E101" s="622"/>
      <c r="F101" s="622"/>
      <c r="G101" s="622"/>
      <c r="H101" s="622"/>
      <c r="I101" s="622"/>
      <c r="J101" s="622"/>
      <c r="K101" s="622"/>
      <c r="L101" s="622"/>
      <c r="M101" s="622"/>
      <c r="N101" s="622"/>
      <c r="O101" s="622"/>
      <c r="P101" s="622"/>
      <c r="Q101" s="622"/>
      <c r="R101" s="622"/>
      <c r="S101" s="622"/>
      <c r="T101" s="622"/>
      <c r="U101" s="622"/>
      <c r="V101" s="622"/>
      <c r="W101" s="622"/>
      <c r="X101" s="623"/>
      <c r="Y101" s="12"/>
    </row>
    <row r="102" spans="2:25" x14ac:dyDescent="0.25">
      <c r="B102" s="11"/>
      <c r="C102" s="621"/>
      <c r="D102" s="622"/>
      <c r="E102" s="622"/>
      <c r="F102" s="622"/>
      <c r="G102" s="622"/>
      <c r="H102" s="622"/>
      <c r="I102" s="622"/>
      <c r="J102" s="622"/>
      <c r="K102" s="622"/>
      <c r="L102" s="622"/>
      <c r="M102" s="622"/>
      <c r="N102" s="622"/>
      <c r="O102" s="622"/>
      <c r="P102" s="622"/>
      <c r="Q102" s="622"/>
      <c r="R102" s="622"/>
      <c r="S102" s="622"/>
      <c r="T102" s="622"/>
      <c r="U102" s="622"/>
      <c r="V102" s="622"/>
      <c r="W102" s="622"/>
      <c r="X102" s="623"/>
      <c r="Y102" s="12"/>
    </row>
    <row r="103" spans="2:25" x14ac:dyDescent="0.25">
      <c r="B103" s="11"/>
      <c r="C103" s="621"/>
      <c r="D103" s="622"/>
      <c r="E103" s="622"/>
      <c r="F103" s="622"/>
      <c r="G103" s="622"/>
      <c r="H103" s="622"/>
      <c r="I103" s="622"/>
      <c r="J103" s="622"/>
      <c r="K103" s="622"/>
      <c r="L103" s="622"/>
      <c r="M103" s="622"/>
      <c r="N103" s="622"/>
      <c r="O103" s="622"/>
      <c r="P103" s="622"/>
      <c r="Q103" s="622"/>
      <c r="R103" s="622"/>
      <c r="S103" s="622"/>
      <c r="T103" s="622"/>
      <c r="U103" s="622"/>
      <c r="V103" s="622"/>
      <c r="W103" s="622"/>
      <c r="X103" s="623"/>
      <c r="Y103" s="12"/>
    </row>
    <row r="104" spans="2:25" x14ac:dyDescent="0.25">
      <c r="B104" s="11"/>
      <c r="C104" s="621"/>
      <c r="D104" s="622"/>
      <c r="E104" s="622"/>
      <c r="F104" s="622"/>
      <c r="G104" s="622"/>
      <c r="H104" s="622"/>
      <c r="I104" s="622"/>
      <c r="J104" s="622"/>
      <c r="K104" s="622"/>
      <c r="L104" s="622"/>
      <c r="M104" s="622"/>
      <c r="N104" s="622"/>
      <c r="O104" s="622"/>
      <c r="P104" s="622"/>
      <c r="Q104" s="622"/>
      <c r="R104" s="622"/>
      <c r="S104" s="622"/>
      <c r="T104" s="622"/>
      <c r="U104" s="622"/>
      <c r="V104" s="622"/>
      <c r="W104" s="622"/>
      <c r="X104" s="623"/>
      <c r="Y104" s="12"/>
    </row>
    <row r="105" spans="2:25" x14ac:dyDescent="0.25">
      <c r="B105" s="11"/>
      <c r="C105" s="621"/>
      <c r="D105" s="622"/>
      <c r="E105" s="622"/>
      <c r="F105" s="622"/>
      <c r="G105" s="622"/>
      <c r="H105" s="622"/>
      <c r="I105" s="622"/>
      <c r="J105" s="622"/>
      <c r="K105" s="622"/>
      <c r="L105" s="622"/>
      <c r="M105" s="622"/>
      <c r="N105" s="622"/>
      <c r="O105" s="622"/>
      <c r="P105" s="622"/>
      <c r="Q105" s="622"/>
      <c r="R105" s="622"/>
      <c r="S105" s="622"/>
      <c r="T105" s="622"/>
      <c r="U105" s="622"/>
      <c r="V105" s="622"/>
      <c r="W105" s="622"/>
      <c r="X105" s="623"/>
      <c r="Y105" s="12"/>
    </row>
    <row r="106" spans="2:25" x14ac:dyDescent="0.25">
      <c r="B106" s="11"/>
      <c r="C106" s="621"/>
      <c r="D106" s="622"/>
      <c r="E106" s="622"/>
      <c r="F106" s="622"/>
      <c r="G106" s="622"/>
      <c r="H106" s="622"/>
      <c r="I106" s="622"/>
      <c r="J106" s="622"/>
      <c r="K106" s="622"/>
      <c r="L106" s="622"/>
      <c r="M106" s="622"/>
      <c r="N106" s="622"/>
      <c r="O106" s="622"/>
      <c r="P106" s="622"/>
      <c r="Q106" s="622"/>
      <c r="R106" s="622"/>
      <c r="S106" s="622"/>
      <c r="T106" s="622"/>
      <c r="U106" s="622"/>
      <c r="V106" s="622"/>
      <c r="W106" s="622"/>
      <c r="X106" s="623"/>
      <c r="Y106" s="12"/>
    </row>
    <row r="107" spans="2:25" x14ac:dyDescent="0.25">
      <c r="B107" s="11"/>
      <c r="C107" s="621"/>
      <c r="D107" s="622"/>
      <c r="E107" s="622"/>
      <c r="F107" s="622"/>
      <c r="G107" s="622"/>
      <c r="H107" s="622"/>
      <c r="I107" s="622"/>
      <c r="J107" s="622"/>
      <c r="K107" s="622"/>
      <c r="L107" s="622"/>
      <c r="M107" s="622"/>
      <c r="N107" s="622"/>
      <c r="O107" s="622"/>
      <c r="P107" s="622"/>
      <c r="Q107" s="622"/>
      <c r="R107" s="622"/>
      <c r="S107" s="622"/>
      <c r="T107" s="622"/>
      <c r="U107" s="622"/>
      <c r="V107" s="622"/>
      <c r="W107" s="622"/>
      <c r="X107" s="623"/>
      <c r="Y107" s="12"/>
    </row>
    <row r="108" spans="2:25" x14ac:dyDescent="0.25">
      <c r="B108" s="11"/>
      <c r="C108" s="621"/>
      <c r="D108" s="622"/>
      <c r="E108" s="622"/>
      <c r="F108" s="622"/>
      <c r="G108" s="622"/>
      <c r="H108" s="622"/>
      <c r="I108" s="622"/>
      <c r="J108" s="622"/>
      <c r="K108" s="622"/>
      <c r="L108" s="622"/>
      <c r="M108" s="622"/>
      <c r="N108" s="622"/>
      <c r="O108" s="622"/>
      <c r="P108" s="622"/>
      <c r="Q108" s="622"/>
      <c r="R108" s="622"/>
      <c r="S108" s="622"/>
      <c r="T108" s="622"/>
      <c r="U108" s="622"/>
      <c r="V108" s="622"/>
      <c r="W108" s="622"/>
      <c r="X108" s="623"/>
      <c r="Y108" s="12"/>
    </row>
    <row r="109" spans="2:25" x14ac:dyDescent="0.25">
      <c r="B109" s="11"/>
      <c r="C109" s="621"/>
      <c r="D109" s="622"/>
      <c r="E109" s="622"/>
      <c r="F109" s="622"/>
      <c r="G109" s="622"/>
      <c r="H109" s="622"/>
      <c r="I109" s="622"/>
      <c r="J109" s="622"/>
      <c r="K109" s="622"/>
      <c r="L109" s="622"/>
      <c r="M109" s="622"/>
      <c r="N109" s="622"/>
      <c r="O109" s="622"/>
      <c r="P109" s="622"/>
      <c r="Q109" s="622"/>
      <c r="R109" s="622"/>
      <c r="S109" s="622"/>
      <c r="T109" s="622"/>
      <c r="U109" s="622"/>
      <c r="V109" s="622"/>
      <c r="W109" s="622"/>
      <c r="X109" s="623"/>
      <c r="Y109" s="12"/>
    </row>
    <row r="110" spans="2:25" x14ac:dyDescent="0.25">
      <c r="B110" s="11"/>
      <c r="C110" s="621"/>
      <c r="D110" s="622"/>
      <c r="E110" s="622"/>
      <c r="F110" s="622"/>
      <c r="G110" s="622"/>
      <c r="H110" s="622"/>
      <c r="I110" s="622"/>
      <c r="J110" s="622"/>
      <c r="K110" s="622"/>
      <c r="L110" s="622"/>
      <c r="M110" s="622"/>
      <c r="N110" s="622"/>
      <c r="O110" s="622"/>
      <c r="P110" s="622"/>
      <c r="Q110" s="622"/>
      <c r="R110" s="622"/>
      <c r="S110" s="622"/>
      <c r="T110" s="622"/>
      <c r="U110" s="622"/>
      <c r="V110" s="622"/>
      <c r="W110" s="622"/>
      <c r="X110" s="623"/>
      <c r="Y110" s="12"/>
    </row>
    <row r="111" spans="2:25" x14ac:dyDescent="0.25">
      <c r="B111" s="11"/>
      <c r="C111" s="624"/>
      <c r="D111" s="625"/>
      <c r="E111" s="625"/>
      <c r="F111" s="625"/>
      <c r="G111" s="625"/>
      <c r="H111" s="625"/>
      <c r="I111" s="625"/>
      <c r="J111" s="625"/>
      <c r="K111" s="625"/>
      <c r="L111" s="625"/>
      <c r="M111" s="625"/>
      <c r="N111" s="625"/>
      <c r="O111" s="625"/>
      <c r="P111" s="625"/>
      <c r="Q111" s="625"/>
      <c r="R111" s="625"/>
      <c r="S111" s="625"/>
      <c r="T111" s="625"/>
      <c r="U111" s="625"/>
      <c r="V111" s="625"/>
      <c r="W111" s="625"/>
      <c r="X111" s="626"/>
      <c r="Y111" s="12"/>
    </row>
    <row r="112" spans="2:25" x14ac:dyDescent="0.25">
      <c r="B112" s="11"/>
      <c r="Y112" s="12"/>
    </row>
    <row r="113" spans="2:25" ht="15.75" thickBot="1" x14ac:dyDescent="0.3">
      <c r="B113" s="13"/>
      <c r="C113" s="14"/>
      <c r="D113" s="14"/>
      <c r="E113" s="14"/>
      <c r="F113" s="14"/>
      <c r="G113" s="14"/>
      <c r="H113" s="14"/>
      <c r="I113" s="14"/>
      <c r="J113" s="14"/>
      <c r="K113" s="14"/>
      <c r="L113" s="14"/>
      <c r="M113" s="14"/>
      <c r="N113" s="14"/>
      <c r="O113" s="14"/>
      <c r="P113" s="14"/>
      <c r="Q113" s="14"/>
      <c r="R113" s="14"/>
      <c r="S113" s="14"/>
      <c r="T113" s="14"/>
      <c r="U113" s="14"/>
      <c r="V113" s="14"/>
      <c r="W113" s="14"/>
      <c r="X113" s="14"/>
      <c r="Y113" s="15"/>
    </row>
  </sheetData>
  <sheetProtection algorithmName="SHA-512" hashValue="sVKyxAs2+EkKniTqazSjObtPWgIQqs5N2YF+aRR4BDZftDTiCpkU2f0aTCUjWoZt1m8FjRamYDSN6ppF7qLGgQ==" saltValue="/Y3z6P1QY92q7oeVgbNfxg==" spinCount="100000" sheet="1" scenarios="1"/>
  <mergeCells count="53">
    <mergeCell ref="W34:Y34"/>
    <mergeCell ref="W38:Y38"/>
    <mergeCell ref="R43:U43"/>
    <mergeCell ref="F69:I69"/>
    <mergeCell ref="F81:G81"/>
    <mergeCell ref="F72:G72"/>
    <mergeCell ref="R45:X45"/>
    <mergeCell ref="R47:X47"/>
    <mergeCell ref="F43:L43"/>
    <mergeCell ref="F45:L45"/>
    <mergeCell ref="F47:G47"/>
    <mergeCell ref="R32:V32"/>
    <mergeCell ref="R36:V36"/>
    <mergeCell ref="R38:V38"/>
    <mergeCell ref="F38:I38"/>
    <mergeCell ref="J36:L36"/>
    <mergeCell ref="F32:L32"/>
    <mergeCell ref="F36:I36"/>
    <mergeCell ref="F34:L34"/>
    <mergeCell ref="R34:V34"/>
    <mergeCell ref="C97:X111"/>
    <mergeCell ref="G86:I86"/>
    <mergeCell ref="G88:I88"/>
    <mergeCell ref="G90:I90"/>
    <mergeCell ref="F49:L49"/>
    <mergeCell ref="T65:X65"/>
    <mergeCell ref="T63:X63"/>
    <mergeCell ref="T61:X61"/>
    <mergeCell ref="H65:L65"/>
    <mergeCell ref="H63:L63"/>
    <mergeCell ref="H61:L61"/>
    <mergeCell ref="V49:W49"/>
    <mergeCell ref="F56:I56"/>
    <mergeCell ref="L81:W81"/>
    <mergeCell ref="R16:V16"/>
    <mergeCell ref="R18:V18"/>
    <mergeCell ref="R20:V20"/>
    <mergeCell ref="R24:V24"/>
    <mergeCell ref="R22:S22"/>
    <mergeCell ref="F25:L25"/>
    <mergeCell ref="F10:G10"/>
    <mergeCell ref="F16:L16"/>
    <mergeCell ref="F19:L19"/>
    <mergeCell ref="F23:G23"/>
    <mergeCell ref="F12:K12"/>
    <mergeCell ref="C21:L21"/>
    <mergeCell ref="F14:H14"/>
    <mergeCell ref="I14:L14"/>
    <mergeCell ref="U12:W12"/>
    <mergeCell ref="U14:W14"/>
    <mergeCell ref="R12:T12"/>
    <mergeCell ref="Y1:Z1"/>
    <mergeCell ref="R14:T14"/>
  </mergeCells>
  <conditionalFormatting sqref="O10">
    <cfRule type="cellIs" dxfId="60" priority="1" operator="equal">
      <formula>"Cadre collectif : Ne pas compléter les informations ci-dessous pour une certification dans un cadre Individuel."</formula>
    </cfRule>
    <cfRule type="cellIs" dxfId="59" priority="2" operator="equal">
      <formula>"Cadre collectif : Renseignez la nature de l'audit et les informations obligatoires sur la structure collective."</formula>
    </cfRule>
    <cfRule type="cellIs" dxfId="58" priority="3" operator="equal">
      <formula>"""Cadre collectif"""</formula>
    </cfRule>
  </conditionalFormatting>
  <dataValidations count="15">
    <dataValidation type="list" allowBlank="1" showInputMessage="1" showErrorMessage="1" sqref="V49:W49 F81:G81 R70 F72:G72">
      <formula1>"Oui,Non"</formula1>
    </dataValidation>
    <dataValidation type="list" allowBlank="1" showInputMessage="1" showErrorMessage="1" sqref="F56:I56">
      <formula1>lstStatutJuridique</formula1>
    </dataValidation>
    <dataValidation type="list" allowBlank="1" showInputMessage="1" showErrorMessage="1" sqref="H63 H65 H61">
      <formula1>lstActivitesVegetales</formula1>
    </dataValidation>
    <dataValidation type="list" allowBlank="1" showInputMessage="1" showErrorMessage="1" sqref="T63 T65 T61">
      <formula1>lstActivitesAnimales</formula1>
    </dataValidation>
    <dataValidation type="date" allowBlank="1" showInputMessage="1" showErrorMessage="1" sqref="F10:G10">
      <formula1>367</formula1>
      <formula2>73050</formula2>
    </dataValidation>
    <dataValidation type="custom" allowBlank="1" showInputMessage="1" showErrorMessage="1" sqref="R45:X45">
      <formula1>ISNUMBER(MATCH("*@*.?*",R45,0))</formula1>
    </dataValidation>
    <dataValidation type="list" allowBlank="1" showInputMessage="1" showErrorMessage="1" sqref="G86:I86 G88:I88 G90:I90">
      <formula1>LstAutresDemarches</formula1>
    </dataValidation>
    <dataValidation type="list" allowBlank="1" showInputMessage="1" showErrorMessage="1" sqref="R32:V32">
      <formula1>lstDepartements</formula1>
    </dataValidation>
    <dataValidation type="textLength" allowBlank="1" showInputMessage="1" showErrorMessage="1" sqref="R43:U43">
      <formula1>0</formula1>
      <formula2>10</formula2>
    </dataValidation>
    <dataValidation type="custom" allowBlank="1" showInputMessage="1" showErrorMessage="1" sqref="F36:I36">
      <formula1>AND(ISNUMBER(SIRET_EXPLOITATION),LEN(SIRET_EXPLOITATION)=14)</formula1>
    </dataValidation>
    <dataValidation type="textLength" operator="equal" allowBlank="1" showInputMessage="1" showErrorMessage="1" sqref="R22:S22 F47:G47">
      <formula1>5</formula1>
    </dataValidation>
    <dataValidation type="custom" allowBlank="1" showInputMessage="1" showErrorMessage="1" sqref="F38:I38">
      <formula1>LEN(CVI_EXPLOITATION)=10</formula1>
    </dataValidation>
    <dataValidation type="list" allowBlank="1" showInputMessage="1" showErrorMessage="1" sqref="F14">
      <formula1>IF(TYPE_CERTIF="Collectif",lstTypeAuditCollectif,lstTypeAuditIndividuel)</formula1>
    </dataValidation>
    <dataValidation type="list" allowBlank="1" showInputMessage="1" showErrorMessage="1" sqref="R34:V34">
      <formula1>IF(OR($R$32="Ardèche",$R$32="Drôme"),LstNordSud,IF(OR($R$32="Rhône",$R$32="Saône-et-Loire"),LstAOCBeaujolais,""))</formula1>
    </dataValidation>
    <dataValidation type="list" allowBlank="1" showInputMessage="1" showErrorMessage="1" sqref="R12:T12">
      <formula1>IF(TYPE_CERTIF="Collectif",lstNatureAudit,"")</formula1>
    </dataValidation>
  </dataValidations>
  <pageMargins left="0.7" right="0.7" top="0.75" bottom="0.75" header="0.3" footer="0.3"/>
  <pageSetup paperSize="9" scale="3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Listes!$O$4:$O$5</xm:f>
          </x14:formula1>
          <xm:sqref>F12:K12</xm:sqref>
        </x14:dataValidation>
        <x14:dataValidation type="list" allowBlank="1" showInputMessage="1" showErrorMessage="1">
          <x14:formula1>
            <xm:f>Listes!$R$4:$R$20</xm:f>
          </x14:formula1>
          <xm:sqref>F16:L16</xm:sqref>
        </x14:dataValidation>
        <x14:dataValidation type="list" allowBlank="1" showInputMessage="1" showErrorMessage="1">
          <x14:formula1>
            <xm:f>Listes!$AO$4:$AO$74</xm:f>
          </x14:formula1>
          <xm:sqref>L81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AM226"/>
  <sheetViews>
    <sheetView showGridLines="0" zoomScaleNormal="100" workbookViewId="0">
      <pane ySplit="5" topLeftCell="A6" activePane="bottomLeft" state="frozen"/>
      <selection activeCell="AA19" sqref="AA19"/>
      <selection pane="bottomLeft" activeCell="O36" sqref="O36"/>
    </sheetView>
  </sheetViews>
  <sheetFormatPr baseColWidth="10" defaultColWidth="9.140625" defaultRowHeight="15" x14ac:dyDescent="0.25"/>
  <cols>
    <col min="14" max="14" width="2.140625" customWidth="1"/>
    <col min="15" max="15" width="9.5703125" bestFit="1" customWidth="1"/>
    <col min="16" max="17" width="9.28515625" bestFit="1" customWidth="1"/>
    <col min="24" max="26" width="9.140625" hidden="1" customWidth="1"/>
    <col min="27" max="28" width="12.28515625" hidden="1" customWidth="1"/>
    <col min="29" max="39" width="9.140625" hidden="1" customWidth="1"/>
  </cols>
  <sheetData>
    <row r="1" spans="1:23" x14ac:dyDescent="0.25">
      <c r="A1" s="26"/>
      <c r="B1" s="26"/>
      <c r="C1" s="26"/>
      <c r="D1" s="26"/>
      <c r="E1" s="26"/>
      <c r="F1" s="26"/>
      <c r="G1" s="26"/>
      <c r="H1" s="26"/>
      <c r="I1" s="26"/>
      <c r="J1" s="26"/>
      <c r="K1" s="26"/>
      <c r="L1" s="26"/>
      <c r="M1" s="26"/>
      <c r="N1" s="26"/>
      <c r="O1" s="26"/>
      <c r="P1" s="26"/>
      <c r="Q1" s="26"/>
      <c r="R1" s="26"/>
      <c r="S1" s="26"/>
      <c r="T1" s="26"/>
      <c r="U1" s="26"/>
      <c r="V1" s="676" t="str">
        <f>Accueil!I6</f>
        <v>Version 1.11</v>
      </c>
      <c r="W1" s="676"/>
    </row>
    <row r="2" spans="1:23" x14ac:dyDescent="0.25">
      <c r="A2" s="26"/>
      <c r="B2" s="26"/>
      <c r="C2" s="26"/>
      <c r="D2" s="26"/>
      <c r="E2" s="26"/>
      <c r="F2" s="26"/>
      <c r="G2" s="26"/>
      <c r="H2" s="26"/>
      <c r="I2" s="26"/>
      <c r="J2" s="26"/>
      <c r="K2" s="26"/>
      <c r="L2" s="26"/>
      <c r="M2" s="26"/>
      <c r="N2" s="26"/>
      <c r="O2" s="26"/>
      <c r="P2" s="26"/>
      <c r="Q2" s="26"/>
      <c r="R2" s="26"/>
      <c r="S2" s="26"/>
      <c r="T2" s="26"/>
      <c r="U2" s="26"/>
      <c r="V2" s="26"/>
      <c r="W2" s="26"/>
    </row>
    <row r="3" spans="1:23" x14ac:dyDescent="0.25">
      <c r="A3" s="26"/>
      <c r="B3" s="26"/>
      <c r="C3" s="26"/>
      <c r="D3" s="26"/>
      <c r="E3" s="26"/>
      <c r="F3" s="26"/>
      <c r="G3" s="26"/>
      <c r="H3" s="26"/>
      <c r="I3" s="26"/>
      <c r="J3" s="26"/>
      <c r="K3" s="26"/>
      <c r="L3" s="26"/>
      <c r="M3" s="26"/>
      <c r="N3" s="26"/>
      <c r="O3" s="26"/>
      <c r="P3" s="26"/>
      <c r="Q3" s="26"/>
      <c r="R3" s="26"/>
      <c r="S3" s="26"/>
      <c r="T3" s="26"/>
      <c r="U3" s="26"/>
      <c r="V3" s="26"/>
      <c r="W3" s="26"/>
    </row>
    <row r="4" spans="1:23" x14ac:dyDescent="0.25">
      <c r="A4" s="26"/>
      <c r="B4" s="26"/>
      <c r="C4" s="26"/>
      <c r="D4" s="26"/>
      <c r="E4" s="26"/>
      <c r="F4" s="26"/>
      <c r="G4" s="26"/>
      <c r="H4" s="26"/>
      <c r="I4" s="26"/>
      <c r="J4" s="26"/>
      <c r="K4" s="26"/>
      <c r="L4" s="26"/>
      <c r="M4" s="26"/>
      <c r="N4" s="26"/>
      <c r="O4" s="26"/>
      <c r="P4" s="26"/>
      <c r="Q4" s="26"/>
      <c r="R4" s="26"/>
      <c r="S4" s="26"/>
      <c r="T4" s="26"/>
      <c r="U4" s="26"/>
      <c r="V4" s="26"/>
      <c r="W4" s="26"/>
    </row>
    <row r="5" spans="1:23" x14ac:dyDescent="0.25">
      <c r="A5" s="26"/>
      <c r="B5" s="26"/>
      <c r="C5" s="26"/>
      <c r="D5" s="26"/>
      <c r="E5" s="26"/>
      <c r="F5" s="26"/>
      <c r="G5" s="26"/>
      <c r="H5" s="26"/>
      <c r="I5" s="26"/>
      <c r="J5" s="26"/>
      <c r="K5" s="26"/>
      <c r="L5" s="26"/>
      <c r="M5" s="26"/>
      <c r="N5" s="26"/>
      <c r="O5" s="26"/>
      <c r="P5" s="26"/>
      <c r="Q5" s="26"/>
      <c r="R5" s="26"/>
      <c r="S5" s="26"/>
      <c r="T5" s="26"/>
      <c r="U5" s="26"/>
      <c r="V5" s="26"/>
      <c r="W5" s="26"/>
    </row>
    <row r="6" spans="1:23" ht="15.75" thickBot="1" x14ac:dyDescent="0.3"/>
    <row r="7" spans="1:23" x14ac:dyDescent="0.25">
      <c r="B7" s="333"/>
      <c r="C7" s="334"/>
      <c r="D7" s="334"/>
      <c r="E7" s="334"/>
      <c r="F7" s="334"/>
      <c r="G7" s="334"/>
      <c r="H7" s="334"/>
      <c r="I7" s="334"/>
      <c r="J7" s="334"/>
      <c r="K7" s="334"/>
      <c r="L7" s="334"/>
      <c r="M7" s="334"/>
      <c r="N7" s="334"/>
      <c r="O7" s="334"/>
      <c r="P7" s="334"/>
      <c r="Q7" s="334"/>
      <c r="R7" s="334"/>
      <c r="S7" s="334"/>
      <c r="T7" s="335"/>
    </row>
    <row r="8" spans="1:23" x14ac:dyDescent="0.25">
      <c r="B8" s="336"/>
      <c r="T8" s="337"/>
    </row>
    <row r="9" spans="1:23" x14ac:dyDescent="0.25">
      <c r="B9" s="336"/>
      <c r="C9" s="120" t="str">
        <f>"Toutes les données de surface de la campagne évaluée " &amp; TEXT(cCampagneN,"0000-00") &amp; " doivent être saisies obligatoirement."</f>
        <v>Toutes les données de surface de la campagne évaluée N doivent être saisies obligatoirement.</v>
      </c>
      <c r="T9" s="337"/>
    </row>
    <row r="10" spans="1:23" x14ac:dyDescent="0.25">
      <c r="B10" s="336"/>
      <c r="T10" s="337"/>
    </row>
    <row r="11" spans="1:23" x14ac:dyDescent="0.25">
      <c r="B11" s="336"/>
      <c r="C11" s="42" t="str">
        <f>"SAU / SNE / SNA / ZDH / marais salants : il n’est pas obligatoire de saisir les données des campagnes " &amp;cCampagneN1 &amp; " et " &amp; CCampagneN2 &amp; "."</f>
        <v>SAU / SNE / SNA / ZDH / marais salants : il n’est pas obligatoire de saisir les données des campagnes N-1 et N-2.</v>
      </c>
      <c r="T11" s="337"/>
    </row>
    <row r="12" spans="1:23" x14ac:dyDescent="0.25">
      <c r="B12" s="336"/>
      <c r="T12" s="337"/>
    </row>
    <row r="13" spans="1:23" x14ac:dyDescent="0.25">
      <c r="B13" s="336"/>
      <c r="C13" s="666" t="str">
        <f>"Annexe Horticulture et pépinières : les données sont reprises de l'onglet Surfaces_Horti. En audit de suivi, il est obligatoire de saisir les données de la campagne " &amp; cCampagneN1 &amp; ". À partir du 2e audit de suivi en gestion collective ou de l’audit de renouvellement en gestion individuelle, il est obligatoire de saisir en plus les données de la campagne " &amp; CCampagneN2 &amp; "."</f>
        <v>Annexe Horticulture et pépinières : les données sont reprises de l'onglet Surfaces_Horti. En audit de suivi, il est obligatoire de saisir les données de la campagne N-1. À partir du 2e audit de suivi en gestion collective ou de l’audit de renouvellement en gestion individuelle, il est obligatoire de saisir en plus les données de la campagne N-2.</v>
      </c>
      <c r="D13" s="666"/>
      <c r="E13" s="666"/>
      <c r="F13" s="666"/>
      <c r="G13" s="666"/>
      <c r="H13" s="666"/>
      <c r="I13" s="666"/>
      <c r="J13" s="666"/>
      <c r="K13" s="666"/>
      <c r="L13" s="666"/>
      <c r="M13" s="666"/>
      <c r="N13" s="666"/>
      <c r="O13" s="666"/>
      <c r="P13" s="666"/>
      <c r="Q13" s="666"/>
      <c r="R13" s="666"/>
      <c r="S13" s="666"/>
      <c r="T13" s="337"/>
    </row>
    <row r="14" spans="1:23" x14ac:dyDescent="0.25">
      <c r="B14" s="336"/>
      <c r="C14" s="666"/>
      <c r="D14" s="666"/>
      <c r="E14" s="666"/>
      <c r="F14" s="666"/>
      <c r="G14" s="666"/>
      <c r="H14" s="666"/>
      <c r="I14" s="666"/>
      <c r="J14" s="666"/>
      <c r="K14" s="666"/>
      <c r="L14" s="666"/>
      <c r="M14" s="666"/>
      <c r="N14" s="666"/>
      <c r="O14" s="666"/>
      <c r="P14" s="666"/>
      <c r="Q14" s="666"/>
      <c r="R14" s="666"/>
      <c r="S14" s="666"/>
      <c r="T14" s="337"/>
    </row>
    <row r="15" spans="1:23" ht="15.75" thickBot="1" x14ac:dyDescent="0.3">
      <c r="B15" s="338"/>
      <c r="C15" s="339"/>
      <c r="D15" s="339"/>
      <c r="E15" s="339"/>
      <c r="F15" s="339"/>
      <c r="G15" s="339"/>
      <c r="H15" s="339"/>
      <c r="I15" s="339"/>
      <c r="J15" s="339"/>
      <c r="K15" s="339"/>
      <c r="L15" s="339"/>
      <c r="M15" s="339"/>
      <c r="N15" s="339"/>
      <c r="O15" s="339"/>
      <c r="P15" s="339"/>
      <c r="Q15" s="339"/>
      <c r="R15" s="339"/>
      <c r="S15" s="339"/>
      <c r="T15" s="340"/>
    </row>
    <row r="18" spans="2:21" ht="15.75" thickBot="1" x14ac:dyDescent="0.3"/>
    <row r="19" spans="2:21" x14ac:dyDescent="0.25">
      <c r="B19" s="16"/>
      <c r="C19" s="17"/>
      <c r="D19" s="17"/>
      <c r="E19" s="17"/>
      <c r="F19" s="17"/>
      <c r="G19" s="17"/>
      <c r="H19" s="17"/>
      <c r="I19" s="17"/>
      <c r="J19" s="17"/>
      <c r="K19" s="17"/>
      <c r="L19" s="17"/>
      <c r="M19" s="17"/>
      <c r="N19" s="17"/>
      <c r="O19" s="46"/>
      <c r="P19" s="46"/>
      <c r="Q19" s="17"/>
      <c r="R19" s="17"/>
      <c r="S19" s="17"/>
      <c r="T19" s="18"/>
    </row>
    <row r="20" spans="2:21" ht="26.25" customHeight="1" x14ac:dyDescent="0.25">
      <c r="B20" s="19"/>
      <c r="O20" s="656" t="s">
        <v>708</v>
      </c>
      <c r="P20" s="656"/>
      <c r="Q20" s="656"/>
      <c r="T20" s="20"/>
    </row>
    <row r="21" spans="2:21" x14ac:dyDescent="0.25">
      <c r="B21" s="19"/>
      <c r="J21" s="143"/>
      <c r="O21" s="41" t="str">
        <f>TEXT(cCampagneN,"0000-00")</f>
        <v>N</v>
      </c>
      <c r="P21" s="41" t="str">
        <f>cCampagneN1</f>
        <v>N-1</v>
      </c>
      <c r="Q21" s="41" t="str">
        <f>CCampagneN2</f>
        <v>N-2</v>
      </c>
      <c r="T21" s="20"/>
    </row>
    <row r="22" spans="2:21" x14ac:dyDescent="0.25">
      <c r="B22" s="19"/>
      <c r="C22" s="677" t="s">
        <v>83</v>
      </c>
      <c r="D22" s="677"/>
      <c r="E22" s="677"/>
      <c r="F22" s="677"/>
      <c r="G22" s="677"/>
      <c r="H22" s="677"/>
      <c r="I22" s="677"/>
      <c r="J22" s="677"/>
      <c r="K22" s="677"/>
      <c r="L22" s="677"/>
      <c r="M22" s="677"/>
      <c r="N22" s="45"/>
      <c r="O22" s="73">
        <f>IFERROR(O24+O26+O51+O57+O59,0)</f>
        <v>0</v>
      </c>
      <c r="P22" s="73">
        <f>IFERROR(P24+P26+P51+P57+P59,0)</f>
        <v>0</v>
      </c>
      <c r="Q22" s="73">
        <f>IFERROR(Q24+Q26+Q51+Q57+Q59,0)</f>
        <v>0</v>
      </c>
      <c r="T22" s="20"/>
    </row>
    <row r="23" spans="2:21" ht="6.75" customHeight="1" x14ac:dyDescent="0.25">
      <c r="B23" s="19"/>
      <c r="C23" s="38"/>
      <c r="D23" s="38"/>
      <c r="E23" s="38"/>
      <c r="F23" s="38"/>
      <c r="G23" s="38"/>
      <c r="H23" s="38"/>
      <c r="I23" s="38"/>
      <c r="J23" s="38"/>
      <c r="K23" s="38"/>
      <c r="L23" s="38"/>
      <c r="M23" s="38"/>
      <c r="O23" s="129"/>
      <c r="P23" s="129"/>
      <c r="Q23" s="129"/>
      <c r="T23" s="20"/>
    </row>
    <row r="24" spans="2:21" x14ac:dyDescent="0.25">
      <c r="B24" s="19"/>
      <c r="C24" s="677" t="s">
        <v>68</v>
      </c>
      <c r="D24" s="677"/>
      <c r="E24" s="677"/>
      <c r="F24" s="677"/>
      <c r="G24" s="677"/>
      <c r="H24" s="677"/>
      <c r="I24" s="677"/>
      <c r="J24" s="677"/>
      <c r="K24" s="677"/>
      <c r="L24" s="677"/>
      <c r="M24" s="677"/>
      <c r="N24" s="45"/>
      <c r="O24" s="73">
        <f>IFERROR(O164,0)</f>
        <v>0</v>
      </c>
      <c r="P24" s="73">
        <f>IFERROR(P164,0)</f>
        <v>0</v>
      </c>
      <c r="Q24" s="73">
        <f>IFERROR(Q164,0)</f>
        <v>0</v>
      </c>
      <c r="T24" s="20"/>
      <c r="U24" s="120" t="str">
        <f>IF(cSAU=0,"La SAU de la campagne "&amp;cCampagneN &amp;" ne doit pas être égale à 0.","")</f>
        <v>La SAU de la campagne N ne doit pas être égale à 0.</v>
      </c>
    </row>
    <row r="25" spans="2:21" ht="6.75" customHeight="1" x14ac:dyDescent="0.25">
      <c r="B25" s="19"/>
      <c r="C25" s="38"/>
      <c r="D25" s="38"/>
      <c r="E25" s="38"/>
      <c r="F25" s="38"/>
      <c r="G25" s="38"/>
      <c r="H25" s="38"/>
      <c r="I25" s="38"/>
      <c r="J25" s="38"/>
      <c r="K25" s="38"/>
      <c r="L25" s="38"/>
      <c r="M25" s="38"/>
      <c r="O25" s="129"/>
      <c r="P25" s="129"/>
      <c r="Q25" s="129"/>
      <c r="T25" s="20"/>
    </row>
    <row r="26" spans="2:21" x14ac:dyDescent="0.25">
      <c r="B26" s="19"/>
      <c r="C26" s="677" t="s">
        <v>69</v>
      </c>
      <c r="D26" s="677"/>
      <c r="E26" s="677"/>
      <c r="F26" s="677"/>
      <c r="G26" s="677"/>
      <c r="H26" s="677"/>
      <c r="I26" s="677"/>
      <c r="J26" s="677"/>
      <c r="K26" s="677"/>
      <c r="L26" s="677"/>
      <c r="M26" s="677"/>
      <c r="N26" s="45"/>
      <c r="O26" s="73">
        <f>SUM(O28:O33,O36:O42,O45:O47,O49)</f>
        <v>0</v>
      </c>
      <c r="P26" s="73">
        <f>SUM(P28:P33,P36:P42,P45:P47,P49)</f>
        <v>0</v>
      </c>
      <c r="Q26" s="73">
        <f>SUM(Q28:Q33,Q36:Q42,Q45:Q47,Q49)</f>
        <v>0</v>
      </c>
      <c r="T26" s="20"/>
    </row>
    <row r="27" spans="2:21" ht="6.75" customHeight="1" x14ac:dyDescent="0.25">
      <c r="B27" s="19"/>
      <c r="C27" s="38"/>
      <c r="D27" s="38"/>
      <c r="E27" s="38"/>
      <c r="F27" s="38"/>
      <c r="G27" s="38"/>
      <c r="H27" s="38"/>
      <c r="I27" s="38"/>
      <c r="J27" s="38"/>
      <c r="K27" s="38"/>
      <c r="L27" s="38"/>
      <c r="M27" s="38"/>
      <c r="O27" s="129"/>
      <c r="P27" s="129"/>
      <c r="Q27" s="129"/>
      <c r="T27" s="20"/>
    </row>
    <row r="28" spans="2:21" x14ac:dyDescent="0.25">
      <c r="B28" s="19"/>
      <c r="C28" s="47" t="s">
        <v>70</v>
      </c>
      <c r="D28" s="47"/>
      <c r="E28" s="47"/>
      <c r="F28" s="47"/>
      <c r="G28" s="47"/>
      <c r="H28" s="47"/>
      <c r="I28" s="47"/>
      <c r="J28" s="47"/>
      <c r="K28" s="47"/>
      <c r="L28" s="47"/>
      <c r="M28" s="47"/>
      <c r="N28" s="43"/>
      <c r="O28" s="391"/>
      <c r="P28" s="391"/>
      <c r="Q28" s="391"/>
      <c r="T28" s="20"/>
    </row>
    <row r="29" spans="2:21" x14ac:dyDescent="0.25">
      <c r="B29" s="19"/>
      <c r="C29" s="48" t="s">
        <v>95</v>
      </c>
      <c r="D29" s="48"/>
      <c r="E29" s="48"/>
      <c r="F29" s="48"/>
      <c r="G29" s="48"/>
      <c r="H29" s="48"/>
      <c r="I29" s="48"/>
      <c r="J29" s="48"/>
      <c r="K29" s="48"/>
      <c r="L29" s="48"/>
      <c r="M29" s="48"/>
      <c r="N29" s="44"/>
      <c r="O29" s="391"/>
      <c r="P29" s="391"/>
      <c r="Q29" s="391"/>
      <c r="T29" s="20"/>
    </row>
    <row r="30" spans="2:21" x14ac:dyDescent="0.25">
      <c r="B30" s="19"/>
      <c r="C30" s="48" t="s">
        <v>71</v>
      </c>
      <c r="D30" s="48"/>
      <c r="E30" s="48"/>
      <c r="F30" s="48"/>
      <c r="G30" s="48"/>
      <c r="H30" s="48"/>
      <c r="I30" s="48"/>
      <c r="J30" s="48"/>
      <c r="K30" s="48"/>
      <c r="L30" s="48"/>
      <c r="M30" s="48"/>
      <c r="N30" s="44"/>
      <c r="O30" s="391"/>
      <c r="P30" s="391"/>
      <c r="Q30" s="391"/>
      <c r="T30" s="20"/>
    </row>
    <row r="31" spans="2:21" x14ac:dyDescent="0.25">
      <c r="B31" s="19"/>
      <c r="C31" s="48" t="s">
        <v>72</v>
      </c>
      <c r="D31" s="48"/>
      <c r="E31" s="48"/>
      <c r="F31" s="48"/>
      <c r="G31" s="48"/>
      <c r="H31" s="48"/>
      <c r="I31" s="48"/>
      <c r="J31" s="48"/>
      <c r="K31" s="48"/>
      <c r="L31" s="48"/>
      <c r="M31" s="48"/>
      <c r="N31" s="44"/>
      <c r="O31" s="391"/>
      <c r="P31" s="391"/>
      <c r="Q31" s="391"/>
      <c r="T31" s="20"/>
    </row>
    <row r="32" spans="2:21" x14ac:dyDescent="0.25">
      <c r="B32" s="19"/>
      <c r="C32" s="48" t="s">
        <v>73</v>
      </c>
      <c r="D32" s="48"/>
      <c r="E32" s="48"/>
      <c r="F32" s="48"/>
      <c r="G32" s="48"/>
      <c r="H32" s="48"/>
      <c r="I32" s="48"/>
      <c r="J32" s="48"/>
      <c r="K32" s="48"/>
      <c r="L32" s="48"/>
      <c r="M32" s="48"/>
      <c r="N32" s="44"/>
      <c r="O32" s="391"/>
      <c r="P32" s="391"/>
      <c r="Q32" s="391"/>
      <c r="T32" s="20"/>
    </row>
    <row r="33" spans="2:20" x14ac:dyDescent="0.25">
      <c r="B33" s="19"/>
      <c r="C33" s="48" t="s">
        <v>74</v>
      </c>
      <c r="D33" s="48"/>
      <c r="E33" s="48"/>
      <c r="F33" s="48"/>
      <c r="G33" s="48"/>
      <c r="H33" s="48"/>
      <c r="I33" s="48"/>
      <c r="J33" s="48"/>
      <c r="K33" s="48"/>
      <c r="L33" s="48"/>
      <c r="M33" s="48"/>
      <c r="N33" s="44"/>
      <c r="O33" s="391"/>
      <c r="P33" s="391"/>
      <c r="Q33" s="391"/>
      <c r="T33" s="20"/>
    </row>
    <row r="34" spans="2:20" ht="6.75" customHeight="1" x14ac:dyDescent="0.25">
      <c r="B34" s="19"/>
      <c r="O34" s="129"/>
      <c r="P34" s="129"/>
      <c r="Q34" s="129"/>
      <c r="T34" s="20"/>
    </row>
    <row r="35" spans="2:20" x14ac:dyDescent="0.25">
      <c r="B35" s="19"/>
      <c r="C35" s="679" t="s">
        <v>75</v>
      </c>
      <c r="D35" s="679"/>
      <c r="E35" s="679"/>
      <c r="F35" s="679"/>
      <c r="G35" s="679"/>
      <c r="H35" s="679"/>
      <c r="I35" s="679"/>
      <c r="J35" s="679"/>
      <c r="K35" s="679"/>
      <c r="L35" s="679"/>
      <c r="M35" s="679"/>
      <c r="O35" s="129"/>
      <c r="P35" s="129"/>
      <c r="Q35" s="129"/>
      <c r="T35" s="20"/>
    </row>
    <row r="36" spans="2:20" x14ac:dyDescent="0.25">
      <c r="B36" s="19"/>
      <c r="C36" s="47" t="s">
        <v>2312</v>
      </c>
      <c r="D36" s="47"/>
      <c r="E36" s="47"/>
      <c r="F36" s="47"/>
      <c r="G36" s="47"/>
      <c r="H36" s="47"/>
      <c r="I36" s="47"/>
      <c r="J36" s="47"/>
      <c r="K36" s="47"/>
      <c r="L36" s="47"/>
      <c r="M36" s="47"/>
      <c r="N36" s="43"/>
      <c r="O36" s="391"/>
      <c r="P36" s="391"/>
      <c r="Q36" s="391"/>
      <c r="T36" s="20"/>
    </row>
    <row r="37" spans="2:20" x14ac:dyDescent="0.25">
      <c r="B37" s="19"/>
      <c r="C37" s="48" t="s">
        <v>84</v>
      </c>
      <c r="D37" s="48"/>
      <c r="E37" s="48"/>
      <c r="F37" s="48"/>
      <c r="G37" s="48"/>
      <c r="H37" s="48"/>
      <c r="I37" s="48"/>
      <c r="J37" s="48"/>
      <c r="K37" s="48"/>
      <c r="L37" s="48"/>
      <c r="M37" s="48"/>
      <c r="N37" s="44"/>
      <c r="O37" s="391"/>
      <c r="P37" s="391"/>
      <c r="Q37" s="391"/>
      <c r="T37" s="20"/>
    </row>
    <row r="38" spans="2:20" x14ac:dyDescent="0.25">
      <c r="B38" s="19"/>
      <c r="C38" s="48" t="s">
        <v>85</v>
      </c>
      <c r="D38" s="48"/>
      <c r="E38" s="48"/>
      <c r="F38" s="48"/>
      <c r="G38" s="48"/>
      <c r="H38" s="48"/>
      <c r="I38" s="48"/>
      <c r="J38" s="48"/>
      <c r="K38" s="48"/>
      <c r="L38" s="48"/>
      <c r="M38" s="48"/>
      <c r="N38" s="44"/>
      <c r="O38" s="391"/>
      <c r="P38" s="391"/>
      <c r="Q38" s="391"/>
      <c r="T38" s="20"/>
    </row>
    <row r="39" spans="2:20" x14ac:dyDescent="0.25">
      <c r="B39" s="19"/>
      <c r="C39" s="48" t="s">
        <v>86</v>
      </c>
      <c r="D39" s="48"/>
      <c r="E39" s="48"/>
      <c r="F39" s="48"/>
      <c r="G39" s="48"/>
      <c r="H39" s="48"/>
      <c r="I39" s="48"/>
      <c r="J39" s="48"/>
      <c r="K39" s="48"/>
      <c r="L39" s="48"/>
      <c r="M39" s="48"/>
      <c r="N39" s="44"/>
      <c r="O39" s="391"/>
      <c r="P39" s="391"/>
      <c r="Q39" s="391"/>
      <c r="T39" s="20"/>
    </row>
    <row r="40" spans="2:20" x14ac:dyDescent="0.25">
      <c r="B40" s="19"/>
      <c r="C40" s="48" t="s">
        <v>87</v>
      </c>
      <c r="D40" s="48"/>
      <c r="E40" s="48"/>
      <c r="F40" s="48"/>
      <c r="G40" s="48"/>
      <c r="H40" s="48"/>
      <c r="I40" s="48"/>
      <c r="J40" s="48"/>
      <c r="K40" s="48"/>
      <c r="L40" s="48"/>
      <c r="M40" s="48"/>
      <c r="N40" s="44"/>
      <c r="O40" s="391"/>
      <c r="P40" s="391"/>
      <c r="Q40" s="391"/>
      <c r="T40" s="20"/>
    </row>
    <row r="41" spans="2:20" x14ac:dyDescent="0.25">
      <c r="B41" s="19"/>
      <c r="C41" s="48" t="s">
        <v>88</v>
      </c>
      <c r="D41" s="48"/>
      <c r="E41" s="48"/>
      <c r="F41" s="48"/>
      <c r="G41" s="48"/>
      <c r="H41" s="48"/>
      <c r="I41" s="48"/>
      <c r="J41" s="48"/>
      <c r="K41" s="48"/>
      <c r="L41" s="48"/>
      <c r="M41" s="48"/>
      <c r="N41" s="44"/>
      <c r="O41" s="391"/>
      <c r="P41" s="391"/>
      <c r="Q41" s="391"/>
      <c r="T41" s="20"/>
    </row>
    <row r="42" spans="2:20" x14ac:dyDescent="0.25">
      <c r="B42" s="19"/>
      <c r="C42" s="48" t="s">
        <v>2313</v>
      </c>
      <c r="D42" s="48"/>
      <c r="E42" s="48"/>
      <c r="F42" s="48"/>
      <c r="G42" s="48"/>
      <c r="H42" s="48"/>
      <c r="I42" s="48"/>
      <c r="J42" s="48"/>
      <c r="K42" s="48"/>
      <c r="L42" s="48"/>
      <c r="M42" s="48"/>
      <c r="N42" s="44"/>
      <c r="O42" s="391"/>
      <c r="P42" s="391"/>
      <c r="Q42" s="391"/>
      <c r="T42" s="20"/>
    </row>
    <row r="43" spans="2:20" x14ac:dyDescent="0.25">
      <c r="B43" s="19"/>
      <c r="T43" s="20"/>
    </row>
    <row r="44" spans="2:20" ht="31.5" customHeight="1" x14ac:dyDescent="0.25">
      <c r="B44" s="19"/>
      <c r="C44" s="678" t="s">
        <v>76</v>
      </c>
      <c r="D44" s="678"/>
      <c r="E44" s="678"/>
      <c r="F44" s="678"/>
      <c r="G44" s="678"/>
      <c r="H44" s="678"/>
      <c r="I44" s="678"/>
      <c r="J44" s="678"/>
      <c r="K44" s="678"/>
      <c r="L44" s="678"/>
      <c r="M44" s="678"/>
      <c r="T44" s="20"/>
    </row>
    <row r="45" spans="2:20" x14ac:dyDescent="0.25">
      <c r="B45" s="19"/>
      <c r="C45" s="47" t="s">
        <v>89</v>
      </c>
      <c r="D45" s="47"/>
      <c r="E45" s="47"/>
      <c r="F45" s="47"/>
      <c r="G45" s="47"/>
      <c r="H45" s="47"/>
      <c r="I45" s="47"/>
      <c r="J45" s="47"/>
      <c r="K45" s="47"/>
      <c r="L45" s="47"/>
      <c r="M45" s="47"/>
      <c r="N45" s="43"/>
      <c r="O45" s="391"/>
      <c r="P45" s="391"/>
      <c r="Q45" s="391"/>
      <c r="T45" s="20"/>
    </row>
    <row r="46" spans="2:20" x14ac:dyDescent="0.25">
      <c r="B46" s="19"/>
      <c r="C46" s="47" t="s">
        <v>90</v>
      </c>
      <c r="D46" s="47"/>
      <c r="E46" s="47"/>
      <c r="F46" s="47"/>
      <c r="G46" s="47"/>
      <c r="H46" s="47"/>
      <c r="I46" s="47"/>
      <c r="J46" s="47"/>
      <c r="K46" s="47"/>
      <c r="L46" s="47"/>
      <c r="M46" s="47"/>
      <c r="N46" s="43"/>
      <c r="O46" s="391"/>
      <c r="P46" s="391"/>
      <c r="Q46" s="391"/>
      <c r="T46" s="20"/>
    </row>
    <row r="47" spans="2:20" x14ac:dyDescent="0.25">
      <c r="B47" s="19"/>
      <c r="C47" s="47" t="s">
        <v>91</v>
      </c>
      <c r="D47" s="47"/>
      <c r="E47" s="47"/>
      <c r="F47" s="47"/>
      <c r="G47" s="47"/>
      <c r="H47" s="47"/>
      <c r="I47" s="47"/>
      <c r="J47" s="47"/>
      <c r="K47" s="47"/>
      <c r="L47" s="47"/>
      <c r="M47" s="47"/>
      <c r="N47" s="43"/>
      <c r="O47" s="391"/>
      <c r="P47" s="391"/>
      <c r="Q47" s="391"/>
      <c r="T47" s="20"/>
    </row>
    <row r="48" spans="2:20" x14ac:dyDescent="0.25">
      <c r="B48" s="19"/>
      <c r="O48" s="129"/>
      <c r="P48" s="129"/>
      <c r="Q48" s="129"/>
      <c r="T48" s="20"/>
    </row>
    <row r="49" spans="2:20" ht="34.5" customHeight="1" x14ac:dyDescent="0.25">
      <c r="B49" s="19"/>
      <c r="C49" s="678" t="s">
        <v>77</v>
      </c>
      <c r="D49" s="678"/>
      <c r="E49" s="678"/>
      <c r="F49" s="678"/>
      <c r="G49" s="678"/>
      <c r="H49" s="678"/>
      <c r="I49" s="678"/>
      <c r="J49" s="678"/>
      <c r="K49" s="678"/>
      <c r="L49" s="678"/>
      <c r="M49" s="678"/>
      <c r="O49" s="391"/>
      <c r="P49" s="391"/>
      <c r="Q49" s="391"/>
      <c r="T49" s="20"/>
    </row>
    <row r="50" spans="2:20" ht="6.75" customHeight="1" x14ac:dyDescent="0.25">
      <c r="B50" s="19"/>
      <c r="O50" s="129"/>
      <c r="P50" s="129"/>
      <c r="Q50" s="129"/>
      <c r="T50" s="20"/>
    </row>
    <row r="51" spans="2:20" x14ac:dyDescent="0.25">
      <c r="B51" s="19"/>
      <c r="C51" s="39" t="s">
        <v>78</v>
      </c>
      <c r="D51" s="40"/>
      <c r="E51" s="40"/>
      <c r="F51" s="40"/>
      <c r="G51" s="40"/>
      <c r="H51" s="40"/>
      <c r="I51" s="40"/>
      <c r="J51" s="40"/>
      <c r="K51" s="40"/>
      <c r="L51" s="40"/>
      <c r="M51" s="40"/>
      <c r="O51" s="73">
        <f>SUM(O53:O55)</f>
        <v>0</v>
      </c>
      <c r="P51" s="73">
        <f>SUM(P53:P55)</f>
        <v>0</v>
      </c>
      <c r="Q51" s="73">
        <f>SUM(Q53:Q55)</f>
        <v>0</v>
      </c>
      <c r="T51" s="20"/>
    </row>
    <row r="52" spans="2:20" ht="6.75" customHeight="1" x14ac:dyDescent="0.25">
      <c r="B52" s="19"/>
      <c r="O52" s="129"/>
      <c r="P52" s="129"/>
      <c r="Q52" s="129"/>
      <c r="T52" s="20"/>
    </row>
    <row r="53" spans="2:20" x14ac:dyDescent="0.25">
      <c r="B53" s="19"/>
      <c r="C53" s="47" t="s">
        <v>79</v>
      </c>
      <c r="D53" s="47"/>
      <c r="E53" s="47"/>
      <c r="F53" s="47"/>
      <c r="G53" s="47"/>
      <c r="H53" s="47"/>
      <c r="I53" s="47"/>
      <c r="J53" s="47"/>
      <c r="K53" s="47"/>
      <c r="L53" s="47"/>
      <c r="M53" s="47"/>
      <c r="N53" s="47"/>
      <c r="O53" s="391"/>
      <c r="P53" s="391"/>
      <c r="Q53" s="391"/>
      <c r="T53" s="20"/>
    </row>
    <row r="54" spans="2:20" x14ac:dyDescent="0.25">
      <c r="B54" s="19"/>
      <c r="C54" s="48" t="s">
        <v>80</v>
      </c>
      <c r="D54" s="48"/>
      <c r="E54" s="48"/>
      <c r="F54" s="48"/>
      <c r="G54" s="48"/>
      <c r="H54" s="48"/>
      <c r="I54" s="48"/>
      <c r="J54" s="48"/>
      <c r="K54" s="48"/>
      <c r="L54" s="48"/>
      <c r="M54" s="48"/>
      <c r="N54" s="48"/>
      <c r="O54" s="391"/>
      <c r="P54" s="391"/>
      <c r="Q54" s="391"/>
      <c r="T54" s="20"/>
    </row>
    <row r="55" spans="2:20" x14ac:dyDescent="0.25">
      <c r="B55" s="19"/>
      <c r="C55" s="48" t="s">
        <v>81</v>
      </c>
      <c r="D55" s="48"/>
      <c r="E55" s="48"/>
      <c r="F55" s="48"/>
      <c r="G55" s="48"/>
      <c r="H55" s="48"/>
      <c r="I55" s="48"/>
      <c r="J55" s="48"/>
      <c r="K55" s="48"/>
      <c r="L55" s="48"/>
      <c r="M55" s="48"/>
      <c r="N55" s="48"/>
      <c r="O55" s="391"/>
      <c r="P55" s="391"/>
      <c r="Q55" s="391"/>
      <c r="T55" s="20"/>
    </row>
    <row r="56" spans="2:20" ht="6.75" customHeight="1" x14ac:dyDescent="0.25">
      <c r="B56" s="19"/>
      <c r="O56" s="129"/>
      <c r="P56" s="129"/>
      <c r="Q56" s="129"/>
      <c r="T56" s="20"/>
    </row>
    <row r="57" spans="2:20" x14ac:dyDescent="0.25">
      <c r="B57" s="19"/>
      <c r="C57" s="39" t="s">
        <v>82</v>
      </c>
      <c r="D57" s="40"/>
      <c r="E57" s="40"/>
      <c r="F57" s="40"/>
      <c r="G57" s="40"/>
      <c r="H57" s="40"/>
      <c r="I57" s="40"/>
      <c r="J57" s="40"/>
      <c r="K57" s="40"/>
      <c r="L57" s="40"/>
      <c r="M57" s="40"/>
      <c r="N57" s="45"/>
      <c r="O57" s="391"/>
      <c r="P57" s="391"/>
      <c r="Q57" s="391"/>
      <c r="T57" s="20"/>
    </row>
    <row r="58" spans="2:20" ht="6.75" customHeight="1" x14ac:dyDescent="0.25">
      <c r="B58" s="19"/>
      <c r="C58" s="42"/>
      <c r="O58" s="129"/>
      <c r="P58" s="129"/>
      <c r="Q58" s="129"/>
      <c r="T58" s="20"/>
    </row>
    <row r="59" spans="2:20" x14ac:dyDescent="0.25">
      <c r="B59" s="19"/>
      <c r="C59" s="39" t="s">
        <v>97</v>
      </c>
      <c r="D59" s="40"/>
      <c r="E59" s="40"/>
      <c r="F59" s="40"/>
      <c r="G59" s="40"/>
      <c r="H59" s="40"/>
      <c r="I59" s="40"/>
      <c r="J59" s="40"/>
      <c r="K59" s="40"/>
      <c r="L59" s="40"/>
      <c r="M59" s="40"/>
      <c r="N59" s="45"/>
      <c r="O59" s="391"/>
      <c r="P59" s="391"/>
      <c r="Q59" s="391"/>
      <c r="T59" s="20"/>
    </row>
    <row r="60" spans="2:20" x14ac:dyDescent="0.25">
      <c r="B60" s="19"/>
      <c r="T60" s="20"/>
    </row>
    <row r="61" spans="2:20" ht="15.75" thickBot="1" x14ac:dyDescent="0.3">
      <c r="B61" s="22"/>
      <c r="C61" s="23"/>
      <c r="D61" s="23"/>
      <c r="E61" s="23"/>
      <c r="F61" s="23"/>
      <c r="G61" s="23"/>
      <c r="H61" s="23"/>
      <c r="I61" s="23"/>
      <c r="J61" s="23"/>
      <c r="K61" s="23"/>
      <c r="L61" s="23"/>
      <c r="M61" s="23"/>
      <c r="N61" s="23"/>
      <c r="O61" s="23"/>
      <c r="P61" s="23"/>
      <c r="Q61" s="23"/>
      <c r="R61" s="23"/>
      <c r="S61" s="23"/>
      <c r="T61" s="24"/>
    </row>
    <row r="63" spans="2:20" x14ac:dyDescent="0.25">
      <c r="C63" s="123" t="s">
        <v>2569</v>
      </c>
      <c r="D63" s="124" t="s">
        <v>96</v>
      </c>
      <c r="E63" s="125"/>
      <c r="F63" s="125"/>
      <c r="G63" s="125"/>
      <c r="H63" s="125"/>
      <c r="I63" s="125"/>
      <c r="J63" s="125"/>
      <c r="K63" s="125"/>
      <c r="L63" s="125"/>
      <c r="M63" s="125"/>
      <c r="N63" s="125"/>
      <c r="O63" s="125"/>
      <c r="P63" s="125"/>
      <c r="Q63" s="149"/>
    </row>
    <row r="64" spans="2:20" x14ac:dyDescent="0.25">
      <c r="C64" s="126" t="s">
        <v>2571</v>
      </c>
      <c r="Q64" s="147"/>
    </row>
    <row r="65" spans="2:20" x14ac:dyDescent="0.25">
      <c r="C65" s="126" t="s">
        <v>2572</v>
      </c>
      <c r="Q65" s="147"/>
    </row>
    <row r="66" spans="2:20" x14ac:dyDescent="0.25">
      <c r="C66" s="126" t="s">
        <v>2573</v>
      </c>
      <c r="Q66" s="147"/>
    </row>
    <row r="67" spans="2:20" x14ac:dyDescent="0.25">
      <c r="C67" s="127" t="s">
        <v>2570</v>
      </c>
      <c r="D67" s="128"/>
      <c r="E67" s="128"/>
      <c r="F67" s="128"/>
      <c r="G67" s="128"/>
      <c r="H67" s="128"/>
      <c r="I67" s="128"/>
      <c r="J67" s="128"/>
      <c r="K67" s="128"/>
      <c r="L67" s="128"/>
      <c r="M67" s="128"/>
      <c r="N67" s="128"/>
      <c r="O67" s="128"/>
      <c r="P67" s="128"/>
      <c r="Q67" s="150"/>
    </row>
    <row r="70" spans="2:20" ht="15.75" thickBot="1" x14ac:dyDescent="0.3">
      <c r="C70" s="49"/>
    </row>
    <row r="71" spans="2:20" x14ac:dyDescent="0.25">
      <c r="B71" s="16"/>
      <c r="C71" s="17"/>
      <c r="D71" s="17"/>
      <c r="E71" s="17"/>
      <c r="F71" s="17"/>
      <c r="G71" s="17"/>
      <c r="H71" s="17"/>
      <c r="I71" s="17"/>
      <c r="J71" s="17"/>
      <c r="K71" s="17"/>
      <c r="L71" s="17"/>
      <c r="M71" s="17"/>
      <c r="N71" s="17"/>
      <c r="O71" s="161"/>
      <c r="P71" s="46"/>
      <c r="Q71" s="17"/>
      <c r="R71" s="17"/>
      <c r="S71" s="17"/>
      <c r="T71" s="18"/>
    </row>
    <row r="72" spans="2:20" x14ac:dyDescent="0.25">
      <c r="B72" s="19"/>
      <c r="O72" s="71"/>
      <c r="P72" s="71"/>
      <c r="T72" s="20"/>
    </row>
    <row r="73" spans="2:20" x14ac:dyDescent="0.25">
      <c r="B73" s="19"/>
      <c r="O73" s="656" t="s">
        <v>708</v>
      </c>
      <c r="P73" s="656"/>
      <c r="Q73" s="656"/>
      <c r="T73" s="20"/>
    </row>
    <row r="74" spans="2:20" x14ac:dyDescent="0.25">
      <c r="B74" s="19"/>
      <c r="O74" s="41" t="str">
        <f>TEXT(cCampagneN,"0000-00")</f>
        <v>N</v>
      </c>
      <c r="P74" s="41" t="str">
        <f>cCampagneN1</f>
        <v>N-1</v>
      </c>
      <c r="Q74" s="41" t="str">
        <f>CCampagneN2</f>
        <v>N-2</v>
      </c>
      <c r="T74" s="20"/>
    </row>
    <row r="75" spans="2:20" ht="15.75" x14ac:dyDescent="0.25">
      <c r="B75" s="19"/>
      <c r="C75" s="654" t="s">
        <v>98</v>
      </c>
      <c r="D75" s="655"/>
      <c r="E75" s="655"/>
      <c r="F75" s="655"/>
      <c r="G75" s="655"/>
      <c r="H75" s="655"/>
      <c r="I75" s="655"/>
      <c r="J75" s="655"/>
      <c r="K75" s="655"/>
      <c r="L75" s="655"/>
      <c r="M75" s="655"/>
      <c r="N75" s="52"/>
      <c r="O75" s="52"/>
      <c r="P75" s="52"/>
      <c r="Q75" s="52"/>
      <c r="R75" s="493"/>
      <c r="S75" s="154"/>
      <c r="T75" s="20"/>
    </row>
    <row r="76" spans="2:20" x14ac:dyDescent="0.25">
      <c r="B76" s="19"/>
      <c r="C76" s="54" t="s">
        <v>99</v>
      </c>
      <c r="D76" s="47"/>
      <c r="E76" s="47"/>
      <c r="F76" s="47"/>
      <c r="G76" s="47"/>
      <c r="H76" s="47"/>
      <c r="I76" s="47"/>
      <c r="J76" s="47"/>
      <c r="K76" s="47"/>
      <c r="L76" s="47"/>
      <c r="M76" s="47"/>
      <c r="N76" s="43"/>
      <c r="O76" s="391"/>
      <c r="P76" s="391"/>
      <c r="Q76" s="391"/>
      <c r="S76" s="55"/>
      <c r="T76" s="20"/>
    </row>
    <row r="77" spans="2:20" x14ac:dyDescent="0.25">
      <c r="B77" s="19"/>
      <c r="C77" s="56" t="s">
        <v>100</v>
      </c>
      <c r="D77" s="48"/>
      <c r="E77" s="48"/>
      <c r="F77" s="48"/>
      <c r="G77" s="48"/>
      <c r="H77" s="48"/>
      <c r="I77" s="48"/>
      <c r="J77" s="48"/>
      <c r="K77" s="48"/>
      <c r="L77" s="48"/>
      <c r="M77" s="48"/>
      <c r="N77" s="44"/>
      <c r="O77" s="391"/>
      <c r="P77" s="391"/>
      <c r="Q77" s="391"/>
      <c r="S77" s="55"/>
      <c r="T77" s="20"/>
    </row>
    <row r="78" spans="2:20" x14ac:dyDescent="0.25">
      <c r="B78" s="19"/>
      <c r="C78" s="56" t="s">
        <v>101</v>
      </c>
      <c r="D78" s="48"/>
      <c r="E78" s="48"/>
      <c r="F78" s="48"/>
      <c r="G78" s="48"/>
      <c r="H78" s="48"/>
      <c r="I78" s="48"/>
      <c r="J78" s="48"/>
      <c r="K78" s="48"/>
      <c r="L78" s="48"/>
      <c r="M78" s="48"/>
      <c r="N78" s="44"/>
      <c r="O78" s="391"/>
      <c r="P78" s="391"/>
      <c r="Q78" s="391"/>
      <c r="S78" s="55"/>
      <c r="T78" s="20"/>
    </row>
    <row r="79" spans="2:20" x14ac:dyDescent="0.25">
      <c r="B79" s="19"/>
      <c r="C79" s="56" t="s">
        <v>102</v>
      </c>
      <c r="D79" s="48"/>
      <c r="E79" s="48"/>
      <c r="F79" s="48"/>
      <c r="G79" s="48"/>
      <c r="H79" s="48"/>
      <c r="I79" s="48"/>
      <c r="J79" s="48"/>
      <c r="K79" s="48"/>
      <c r="L79" s="48"/>
      <c r="M79" s="48"/>
      <c r="N79" s="44"/>
      <c r="O79" s="391"/>
      <c r="P79" s="391"/>
      <c r="Q79" s="391"/>
      <c r="S79" s="55"/>
      <c r="T79" s="20"/>
    </row>
    <row r="80" spans="2:20" x14ac:dyDescent="0.25">
      <c r="B80" s="19"/>
      <c r="C80" s="56" t="s">
        <v>103</v>
      </c>
      <c r="D80" s="48"/>
      <c r="E80" s="48"/>
      <c r="F80" s="48"/>
      <c r="G80" s="48"/>
      <c r="H80" s="48"/>
      <c r="I80" s="48"/>
      <c r="J80" s="48"/>
      <c r="K80" s="48"/>
      <c r="L80" s="48"/>
      <c r="M80" s="48"/>
      <c r="N80" s="44"/>
      <c r="O80" s="391"/>
      <c r="P80" s="391"/>
      <c r="Q80" s="391"/>
      <c r="S80" s="55"/>
      <c r="T80" s="20"/>
    </row>
    <row r="81" spans="2:20" x14ac:dyDescent="0.25">
      <c r="B81" s="19"/>
      <c r="C81" s="56" t="s">
        <v>563</v>
      </c>
      <c r="D81" s="48"/>
      <c r="E81" s="48"/>
      <c r="F81" s="48"/>
      <c r="G81" s="48"/>
      <c r="H81" s="48"/>
      <c r="I81" s="48"/>
      <c r="J81" s="48"/>
      <c r="K81" s="48"/>
      <c r="L81" s="48"/>
      <c r="M81" s="48"/>
      <c r="N81" s="44"/>
      <c r="O81" s="391"/>
      <c r="P81" s="391"/>
      <c r="Q81" s="391"/>
      <c r="S81" s="55"/>
      <c r="T81" s="20"/>
    </row>
    <row r="82" spans="2:20" x14ac:dyDescent="0.25">
      <c r="B82" s="19"/>
      <c r="C82" s="56" t="s">
        <v>104</v>
      </c>
      <c r="D82" s="48"/>
      <c r="E82" s="48"/>
      <c r="F82" s="48"/>
      <c r="G82" s="48"/>
      <c r="H82" s="48"/>
      <c r="I82" s="48"/>
      <c r="J82" s="48"/>
      <c r="K82" s="48"/>
      <c r="L82" s="48"/>
      <c r="M82" s="48"/>
      <c r="N82" s="44"/>
      <c r="O82" s="391"/>
      <c r="P82" s="391"/>
      <c r="Q82" s="391"/>
      <c r="S82" s="55"/>
      <c r="T82" s="20"/>
    </row>
    <row r="83" spans="2:20" x14ac:dyDescent="0.25">
      <c r="B83" s="19"/>
      <c r="C83" s="63"/>
      <c r="D83" s="40"/>
      <c r="E83" s="40"/>
      <c r="F83" s="40"/>
      <c r="G83" s="40"/>
      <c r="H83" s="40"/>
      <c r="I83" s="40"/>
      <c r="J83" s="40"/>
      <c r="K83" s="40"/>
      <c r="L83" s="40"/>
      <c r="M83" s="554" t="s">
        <v>5125</v>
      </c>
      <c r="N83" s="40"/>
      <c r="O83" s="72">
        <f>SUM(O76:O82)</f>
        <v>0</v>
      </c>
      <c r="P83" s="72">
        <f t="shared" ref="P83:Q83" si="0">SUM(P76:P82)</f>
        <v>0</v>
      </c>
      <c r="Q83" s="72">
        <f t="shared" si="0"/>
        <v>0</v>
      </c>
      <c r="R83" s="40"/>
      <c r="S83" s="58"/>
      <c r="T83" s="20"/>
    </row>
    <row r="84" spans="2:20" x14ac:dyDescent="0.25">
      <c r="B84" s="19"/>
      <c r="T84" s="20"/>
    </row>
    <row r="85" spans="2:20" ht="15.75" x14ac:dyDescent="0.25">
      <c r="B85" s="19"/>
      <c r="C85" s="654" t="s">
        <v>105</v>
      </c>
      <c r="D85" s="655"/>
      <c r="E85" s="655"/>
      <c r="F85" s="655"/>
      <c r="G85" s="655"/>
      <c r="H85" s="655"/>
      <c r="I85" s="655"/>
      <c r="J85" s="655"/>
      <c r="K85" s="655"/>
      <c r="L85" s="655"/>
      <c r="M85" s="655"/>
      <c r="N85" s="52"/>
      <c r="O85" s="52"/>
      <c r="P85" s="52"/>
      <c r="Q85" s="52"/>
      <c r="R85" s="52"/>
      <c r="S85" s="53"/>
      <c r="T85" s="20"/>
    </row>
    <row r="86" spans="2:20" x14ac:dyDescent="0.25">
      <c r="B86" s="19"/>
      <c r="C86" s="54" t="s">
        <v>106</v>
      </c>
      <c r="D86" s="47"/>
      <c r="E86" s="47"/>
      <c r="F86" s="47"/>
      <c r="G86" s="47"/>
      <c r="H86" s="47"/>
      <c r="I86" s="47"/>
      <c r="J86" s="47"/>
      <c r="K86" s="47"/>
      <c r="L86" s="47"/>
      <c r="M86" s="47"/>
      <c r="N86" s="43"/>
      <c r="O86" s="391"/>
      <c r="P86" s="391"/>
      <c r="Q86" s="391"/>
      <c r="S86" s="55"/>
      <c r="T86" s="20"/>
    </row>
    <row r="87" spans="2:20" x14ac:dyDescent="0.25">
      <c r="B87" s="19"/>
      <c r="C87" s="56" t="s">
        <v>107</v>
      </c>
      <c r="D87" s="48"/>
      <c r="E87" s="48"/>
      <c r="F87" s="48"/>
      <c r="G87" s="48"/>
      <c r="H87" s="48"/>
      <c r="I87" s="48"/>
      <c r="J87" s="48"/>
      <c r="K87" s="48"/>
      <c r="L87" s="48"/>
      <c r="M87" s="48"/>
      <c r="N87" s="44"/>
      <c r="O87" s="391"/>
      <c r="P87" s="391"/>
      <c r="Q87" s="391"/>
      <c r="S87" s="55"/>
      <c r="T87" s="20"/>
    </row>
    <row r="88" spans="2:20" x14ac:dyDescent="0.25">
      <c r="B88" s="19"/>
      <c r="C88" s="56" t="s">
        <v>108</v>
      </c>
      <c r="D88" s="48"/>
      <c r="E88" s="48"/>
      <c r="F88" s="48"/>
      <c r="G88" s="48"/>
      <c r="H88" s="48"/>
      <c r="I88" s="48"/>
      <c r="J88" s="48"/>
      <c r="K88" s="48"/>
      <c r="L88" s="48"/>
      <c r="M88" s="48"/>
      <c r="N88" s="44"/>
      <c r="O88" s="391"/>
      <c r="P88" s="391"/>
      <c r="Q88" s="391"/>
      <c r="S88" s="55"/>
      <c r="T88" s="20"/>
    </row>
    <row r="89" spans="2:20" x14ac:dyDescent="0.25">
      <c r="B89" s="19"/>
      <c r="C89" s="56" t="s">
        <v>109</v>
      </c>
      <c r="D89" s="48"/>
      <c r="E89" s="48"/>
      <c r="F89" s="48"/>
      <c r="G89" s="48"/>
      <c r="H89" s="48"/>
      <c r="I89" s="48"/>
      <c r="J89" s="48"/>
      <c r="K89" s="48"/>
      <c r="L89" s="48"/>
      <c r="M89" s="48"/>
      <c r="N89" s="48"/>
      <c r="O89" s="391"/>
      <c r="P89" s="391"/>
      <c r="Q89" s="391"/>
      <c r="S89" s="55"/>
      <c r="T89" s="20"/>
    </row>
    <row r="90" spans="2:20" x14ac:dyDescent="0.25">
      <c r="B90" s="19"/>
      <c r="C90" s="57"/>
      <c r="D90" s="40"/>
      <c r="E90" s="40"/>
      <c r="F90" s="40"/>
      <c r="G90" s="40"/>
      <c r="H90" s="40"/>
      <c r="I90" s="40"/>
      <c r="J90" s="40"/>
      <c r="K90" s="40"/>
      <c r="L90" s="40"/>
      <c r="M90" s="554" t="s">
        <v>5126</v>
      </c>
      <c r="N90" s="40"/>
      <c r="O90" s="72">
        <f>SUM(O86:O89)</f>
        <v>0</v>
      </c>
      <c r="P90" s="72">
        <f t="shared" ref="P90:Q90" si="1">SUM(P86:P89)</f>
        <v>0</v>
      </c>
      <c r="Q90" s="72">
        <f t="shared" si="1"/>
        <v>0</v>
      </c>
      <c r="R90" s="40"/>
      <c r="S90" s="58"/>
      <c r="T90" s="20"/>
    </row>
    <row r="91" spans="2:20" x14ac:dyDescent="0.25">
      <c r="B91" s="19"/>
      <c r="T91" s="20"/>
    </row>
    <row r="92" spans="2:20" ht="15.75" x14ac:dyDescent="0.25">
      <c r="B92" s="19"/>
      <c r="C92" s="654" t="s">
        <v>110</v>
      </c>
      <c r="D92" s="655"/>
      <c r="E92" s="655"/>
      <c r="F92" s="655"/>
      <c r="G92" s="655"/>
      <c r="H92" s="655"/>
      <c r="I92" s="655"/>
      <c r="J92" s="655"/>
      <c r="K92" s="655"/>
      <c r="L92" s="655"/>
      <c r="M92" s="655"/>
      <c r="N92" s="52"/>
      <c r="O92" s="52"/>
      <c r="P92" s="52"/>
      <c r="Q92" s="52"/>
      <c r="R92" s="52"/>
      <c r="S92" s="53"/>
      <c r="T92" s="20"/>
    </row>
    <row r="93" spans="2:20" x14ac:dyDescent="0.25">
      <c r="B93" s="19"/>
      <c r="C93" s="54" t="s">
        <v>111</v>
      </c>
      <c r="D93" s="47"/>
      <c r="E93" s="47"/>
      <c r="F93" s="47"/>
      <c r="G93" s="47"/>
      <c r="H93" s="47"/>
      <c r="I93" s="47"/>
      <c r="J93" s="47"/>
      <c r="K93" s="47"/>
      <c r="L93" s="47"/>
      <c r="M93" s="47"/>
      <c r="N93" s="43"/>
      <c r="O93" s="391"/>
      <c r="P93" s="391"/>
      <c r="Q93" s="391"/>
      <c r="S93" s="55"/>
      <c r="T93" s="20"/>
    </row>
    <row r="94" spans="2:20" x14ac:dyDescent="0.25">
      <c r="B94" s="19"/>
      <c r="C94" s="56" t="s">
        <v>112</v>
      </c>
      <c r="D94" s="48"/>
      <c r="E94" s="48"/>
      <c r="F94" s="48"/>
      <c r="G94" s="48"/>
      <c r="H94" s="48"/>
      <c r="I94" s="48"/>
      <c r="J94" s="48"/>
      <c r="K94" s="48"/>
      <c r="L94" s="48"/>
      <c r="M94" s="48"/>
      <c r="N94" s="44"/>
      <c r="O94" s="391"/>
      <c r="P94" s="391"/>
      <c r="Q94" s="391"/>
      <c r="S94" s="55"/>
      <c r="T94" s="20"/>
    </row>
    <row r="95" spans="2:20" x14ac:dyDescent="0.25">
      <c r="B95" s="19"/>
      <c r="C95" s="56" t="s">
        <v>113</v>
      </c>
      <c r="D95" s="48"/>
      <c r="E95" s="48"/>
      <c r="F95" s="48"/>
      <c r="G95" s="48"/>
      <c r="H95" s="48"/>
      <c r="I95" s="48"/>
      <c r="J95" s="48"/>
      <c r="K95" s="48"/>
      <c r="L95" s="48"/>
      <c r="M95" s="48"/>
      <c r="N95" s="44"/>
      <c r="O95" s="391"/>
      <c r="P95" s="391"/>
      <c r="Q95" s="391"/>
      <c r="S95" s="55"/>
      <c r="T95" s="20"/>
    </row>
    <row r="96" spans="2:20" x14ac:dyDescent="0.25">
      <c r="B96" s="19"/>
      <c r="C96" s="56" t="s">
        <v>114</v>
      </c>
      <c r="D96" s="48"/>
      <c r="E96" s="48"/>
      <c r="F96" s="48"/>
      <c r="G96" s="48"/>
      <c r="H96" s="48"/>
      <c r="I96" s="48"/>
      <c r="J96" s="48"/>
      <c r="K96" s="48"/>
      <c r="L96" s="48"/>
      <c r="M96" s="48"/>
      <c r="N96" s="44"/>
      <c r="O96" s="391"/>
      <c r="P96" s="391"/>
      <c r="Q96" s="391"/>
      <c r="S96" s="55"/>
      <c r="T96" s="20"/>
    </row>
    <row r="97" spans="2:20" x14ac:dyDescent="0.25">
      <c r="B97" s="19"/>
      <c r="C97" s="57"/>
      <c r="D97" s="40"/>
      <c r="E97" s="40"/>
      <c r="F97" s="40"/>
      <c r="G97" s="40"/>
      <c r="H97" s="40"/>
      <c r="I97" s="40"/>
      <c r="J97" s="40"/>
      <c r="K97" s="40"/>
      <c r="L97" s="40"/>
      <c r="M97" s="554" t="s">
        <v>5127</v>
      </c>
      <c r="N97" s="40"/>
      <c r="O97" s="72">
        <f>SUM(O93:O96)</f>
        <v>0</v>
      </c>
      <c r="P97" s="72">
        <f t="shared" ref="P97" si="2">SUM(P93:P96)</f>
        <v>0</v>
      </c>
      <c r="Q97" s="72">
        <f t="shared" ref="Q97" si="3">SUM(Q93:Q96)</f>
        <v>0</v>
      </c>
      <c r="R97" s="40"/>
      <c r="S97" s="58"/>
      <c r="T97" s="20"/>
    </row>
    <row r="98" spans="2:20" x14ac:dyDescent="0.25">
      <c r="B98" s="19"/>
      <c r="T98" s="20"/>
    </row>
    <row r="99" spans="2:20" ht="15.75" x14ac:dyDescent="0.25">
      <c r="B99" s="19"/>
      <c r="C99" s="654" t="s">
        <v>2504</v>
      </c>
      <c r="D99" s="655"/>
      <c r="E99" s="655"/>
      <c r="F99" s="655"/>
      <c r="G99" s="655"/>
      <c r="H99" s="655"/>
      <c r="I99" s="655"/>
      <c r="J99" s="655"/>
      <c r="K99" s="655"/>
      <c r="L99" s="655"/>
      <c r="M99" s="655"/>
      <c r="N99" s="52"/>
      <c r="O99" s="52"/>
      <c r="P99" s="52"/>
      <c r="Q99" s="52"/>
      <c r="R99" s="52"/>
      <c r="S99" s="53"/>
      <c r="T99" s="20"/>
    </row>
    <row r="100" spans="2:20" x14ac:dyDescent="0.25">
      <c r="B100" s="19"/>
      <c r="C100" s="54" t="s">
        <v>115</v>
      </c>
      <c r="D100" s="47"/>
      <c r="E100" s="47"/>
      <c r="F100" s="47"/>
      <c r="G100" s="47"/>
      <c r="H100" s="47"/>
      <c r="I100" s="47"/>
      <c r="J100" s="47"/>
      <c r="K100" s="47"/>
      <c r="L100" s="47"/>
      <c r="M100" s="47"/>
      <c r="N100" s="47"/>
      <c r="O100" s="391"/>
      <c r="P100" s="391"/>
      <c r="Q100" s="391"/>
      <c r="S100" s="55"/>
      <c r="T100" s="20"/>
    </row>
    <row r="101" spans="2:20" x14ac:dyDescent="0.25">
      <c r="B101" s="19"/>
      <c r="C101" s="345" t="s">
        <v>2505</v>
      </c>
      <c r="D101" s="346"/>
      <c r="E101" s="138"/>
      <c r="F101" s="138"/>
      <c r="G101" s="138"/>
      <c r="H101" s="138"/>
      <c r="I101" s="138"/>
      <c r="J101" s="138"/>
      <c r="K101" s="138"/>
      <c r="L101" s="138"/>
      <c r="M101" s="138"/>
      <c r="N101" s="138"/>
      <c r="O101" s="344"/>
      <c r="P101" s="344"/>
      <c r="Q101" s="344"/>
      <c r="S101" s="55"/>
      <c r="T101" s="20"/>
    </row>
    <row r="102" spans="2:20" x14ac:dyDescent="0.25">
      <c r="B102" s="19"/>
      <c r="C102" s="62"/>
      <c r="D102" t="s">
        <v>2314</v>
      </c>
      <c r="O102" s="391"/>
      <c r="P102" s="391"/>
      <c r="Q102" s="391"/>
      <c r="S102" s="55"/>
      <c r="T102" s="20"/>
    </row>
    <row r="103" spans="2:20" x14ac:dyDescent="0.25">
      <c r="B103" s="19"/>
      <c r="C103" s="62"/>
      <c r="D103" s="138" t="s">
        <v>2315</v>
      </c>
      <c r="E103" s="138"/>
      <c r="F103" s="138"/>
      <c r="G103" s="138"/>
      <c r="H103" s="138"/>
      <c r="I103" s="138"/>
      <c r="J103" s="138"/>
      <c r="K103" s="138"/>
      <c r="L103" s="138"/>
      <c r="M103" s="138"/>
      <c r="N103" s="138"/>
      <c r="O103" s="391"/>
      <c r="P103" s="391"/>
      <c r="Q103" s="391"/>
      <c r="S103" s="55"/>
      <c r="T103" s="20"/>
    </row>
    <row r="104" spans="2:20" x14ac:dyDescent="0.25">
      <c r="B104" s="19"/>
      <c r="C104" s="62"/>
      <c r="D104" s="138" t="s">
        <v>2401</v>
      </c>
      <c r="E104" s="138"/>
      <c r="F104" s="138"/>
      <c r="G104" s="138"/>
      <c r="H104" s="138"/>
      <c r="I104" s="138"/>
      <c r="J104" s="138"/>
      <c r="K104" s="138"/>
      <c r="L104" s="138"/>
      <c r="M104" s="48"/>
      <c r="N104" s="44"/>
      <c r="O104" s="391"/>
      <c r="P104" s="391"/>
      <c r="Q104" s="391"/>
      <c r="S104" s="55"/>
      <c r="T104" s="20"/>
    </row>
    <row r="105" spans="2:20" x14ac:dyDescent="0.25">
      <c r="B105" s="19"/>
      <c r="C105" s="57"/>
      <c r="D105" s="61"/>
      <c r="E105" s="61"/>
      <c r="F105" s="61"/>
      <c r="G105" s="61"/>
      <c r="H105" s="61"/>
      <c r="I105" s="61"/>
      <c r="J105" s="61"/>
      <c r="K105" s="61"/>
      <c r="L105" s="61"/>
      <c r="M105" s="554" t="s">
        <v>5128</v>
      </c>
      <c r="N105" s="40"/>
      <c r="O105" s="72">
        <f>SUM(O100,O102:O104)</f>
        <v>0</v>
      </c>
      <c r="P105" s="72">
        <f t="shared" ref="P105:Q105" si="4">SUM(P100,P102:P104)</f>
        <v>0</v>
      </c>
      <c r="Q105" s="72">
        <f t="shared" si="4"/>
        <v>0</v>
      </c>
      <c r="R105" s="40"/>
      <c r="S105" s="58"/>
      <c r="T105" s="20"/>
    </row>
    <row r="106" spans="2:20" x14ac:dyDescent="0.25">
      <c r="B106" s="19"/>
      <c r="T106" s="20"/>
    </row>
    <row r="107" spans="2:20" ht="33" customHeight="1" x14ac:dyDescent="0.25">
      <c r="B107" s="19"/>
      <c r="C107" s="657" t="s">
        <v>564</v>
      </c>
      <c r="D107" s="658"/>
      <c r="E107" s="658"/>
      <c r="F107" s="658"/>
      <c r="G107" s="658"/>
      <c r="H107" s="658"/>
      <c r="I107" s="658"/>
      <c r="J107" s="658"/>
      <c r="K107" s="658"/>
      <c r="L107" s="658"/>
      <c r="M107" s="658"/>
      <c r="N107" s="52"/>
      <c r="O107" s="52"/>
      <c r="P107" s="52"/>
      <c r="Q107" s="52"/>
      <c r="R107" s="52"/>
      <c r="S107" s="53"/>
      <c r="T107" s="20"/>
    </row>
    <row r="108" spans="2:20" x14ac:dyDescent="0.25">
      <c r="B108" s="19"/>
      <c r="C108" s="54" t="s">
        <v>116</v>
      </c>
      <c r="D108" s="47"/>
      <c r="E108" s="47"/>
      <c r="F108" s="47"/>
      <c r="G108" s="47"/>
      <c r="H108" s="47"/>
      <c r="I108" s="47"/>
      <c r="J108" s="47"/>
      <c r="K108" s="47"/>
      <c r="L108" s="47"/>
      <c r="M108" s="47"/>
      <c r="N108" s="47"/>
      <c r="O108" s="391"/>
      <c r="P108" s="391"/>
      <c r="Q108" s="391"/>
      <c r="S108" s="55"/>
      <c r="T108" s="20"/>
    </row>
    <row r="109" spans="2:20" x14ac:dyDescent="0.25">
      <c r="B109" s="19"/>
      <c r="C109" s="56" t="s">
        <v>117</v>
      </c>
      <c r="D109" s="48"/>
      <c r="E109" s="48"/>
      <c r="F109" s="48"/>
      <c r="G109" s="48"/>
      <c r="H109" s="48"/>
      <c r="I109" s="48"/>
      <c r="J109" s="48"/>
      <c r="K109" s="48"/>
      <c r="L109" s="48"/>
      <c r="M109" s="48"/>
      <c r="N109" s="48"/>
      <c r="O109" s="391"/>
      <c r="P109" s="391"/>
      <c r="Q109" s="391"/>
      <c r="S109" s="55"/>
      <c r="T109" s="20"/>
    </row>
    <row r="110" spans="2:20" x14ac:dyDescent="0.25">
      <c r="B110" s="19"/>
      <c r="C110" s="56" t="s">
        <v>118</v>
      </c>
      <c r="D110" s="48"/>
      <c r="E110" s="48"/>
      <c r="F110" s="48"/>
      <c r="G110" s="48"/>
      <c r="H110" s="48"/>
      <c r="I110" s="48"/>
      <c r="J110" s="48"/>
      <c r="K110" s="48"/>
      <c r="L110" s="48"/>
      <c r="M110" s="48"/>
      <c r="N110" s="48"/>
      <c r="O110" s="391"/>
      <c r="P110" s="391"/>
      <c r="Q110" s="391"/>
      <c r="S110" s="55"/>
      <c r="T110" s="20"/>
    </row>
    <row r="111" spans="2:20" x14ac:dyDescent="0.25">
      <c r="B111" s="19"/>
      <c r="C111" s="57"/>
      <c r="D111" s="40"/>
      <c r="E111" s="40"/>
      <c r="F111" s="40"/>
      <c r="G111" s="40"/>
      <c r="H111" s="40"/>
      <c r="I111" s="40"/>
      <c r="J111" s="40"/>
      <c r="K111" s="40"/>
      <c r="L111" s="40"/>
      <c r="M111" s="554" t="s">
        <v>5129</v>
      </c>
      <c r="N111" s="40"/>
      <c r="O111" s="72">
        <f>SUM(O108:O110)</f>
        <v>0</v>
      </c>
      <c r="P111" s="72">
        <f t="shared" ref="P111:Q111" si="5">SUM(P108:P110)</f>
        <v>0</v>
      </c>
      <c r="Q111" s="72">
        <f t="shared" si="5"/>
        <v>0</v>
      </c>
      <c r="R111" s="40"/>
      <c r="S111" s="58"/>
      <c r="T111" s="20"/>
    </row>
    <row r="112" spans="2:20" x14ac:dyDescent="0.25">
      <c r="B112" s="19"/>
      <c r="T112" s="20"/>
    </row>
    <row r="113" spans="2:20" ht="15.75" x14ac:dyDescent="0.25">
      <c r="B113" s="19"/>
      <c r="C113" s="654" t="s">
        <v>119</v>
      </c>
      <c r="D113" s="655"/>
      <c r="E113" s="655"/>
      <c r="F113" s="655"/>
      <c r="G113" s="655"/>
      <c r="H113" s="655"/>
      <c r="I113" s="655"/>
      <c r="J113" s="655"/>
      <c r="K113" s="655"/>
      <c r="L113" s="655"/>
      <c r="M113" s="655"/>
      <c r="N113" s="52"/>
      <c r="O113" s="52"/>
      <c r="P113" s="52"/>
      <c r="Q113" s="52"/>
      <c r="R113" s="52"/>
      <c r="S113" s="53"/>
      <c r="T113" s="20"/>
    </row>
    <row r="114" spans="2:20" x14ac:dyDescent="0.25">
      <c r="B114" s="19"/>
      <c r="C114" s="54" t="s">
        <v>565</v>
      </c>
      <c r="D114" s="47"/>
      <c r="E114" s="47"/>
      <c r="F114" s="47"/>
      <c r="G114" s="47"/>
      <c r="H114" s="47"/>
      <c r="I114" s="47"/>
      <c r="J114" s="47"/>
      <c r="K114" s="47"/>
      <c r="L114" s="47"/>
      <c r="M114" s="47"/>
      <c r="N114" s="47"/>
      <c r="O114" s="391"/>
      <c r="P114" s="391"/>
      <c r="Q114" s="391"/>
      <c r="S114" s="55"/>
      <c r="T114" s="20"/>
    </row>
    <row r="115" spans="2:20" x14ac:dyDescent="0.25">
      <c r="B115" s="19"/>
      <c r="C115" s="56" t="s">
        <v>566</v>
      </c>
      <c r="D115" s="48"/>
      <c r="E115" s="48"/>
      <c r="F115" s="48"/>
      <c r="G115" s="48"/>
      <c r="H115" s="48"/>
      <c r="I115" s="48"/>
      <c r="J115" s="48"/>
      <c r="K115" s="48"/>
      <c r="L115" s="48"/>
      <c r="M115" s="48"/>
      <c r="N115" s="48"/>
      <c r="O115" s="391"/>
      <c r="P115" s="391"/>
      <c r="Q115" s="391"/>
      <c r="S115" s="55"/>
      <c r="T115" s="20"/>
    </row>
    <row r="116" spans="2:20" x14ac:dyDescent="0.25">
      <c r="B116" s="19"/>
      <c r="C116" s="56" t="s">
        <v>567</v>
      </c>
      <c r="D116" s="48"/>
      <c r="E116" s="48"/>
      <c r="F116" s="48"/>
      <c r="G116" s="48"/>
      <c r="H116" s="48"/>
      <c r="I116" s="48"/>
      <c r="J116" s="48"/>
      <c r="K116" s="48"/>
      <c r="L116" s="48"/>
      <c r="M116" s="48"/>
      <c r="N116" s="48"/>
      <c r="O116" s="391"/>
      <c r="P116" s="391"/>
      <c r="Q116" s="391"/>
      <c r="S116" s="55"/>
      <c r="T116" s="20"/>
    </row>
    <row r="117" spans="2:20" x14ac:dyDescent="0.25">
      <c r="B117" s="19"/>
      <c r="C117" s="56" t="s">
        <v>568</v>
      </c>
      <c r="D117" s="48"/>
      <c r="E117" s="48"/>
      <c r="F117" s="48"/>
      <c r="G117" s="48"/>
      <c r="H117" s="48"/>
      <c r="I117" s="48"/>
      <c r="J117" s="48"/>
      <c r="K117" s="48"/>
      <c r="L117" s="48"/>
      <c r="M117" s="48"/>
      <c r="N117" s="48"/>
      <c r="O117" s="391"/>
      <c r="P117" s="391"/>
      <c r="Q117" s="391"/>
      <c r="S117" s="55"/>
      <c r="T117" s="20"/>
    </row>
    <row r="118" spans="2:20" x14ac:dyDescent="0.25">
      <c r="B118" s="19"/>
      <c r="C118" s="56" t="s">
        <v>569</v>
      </c>
      <c r="D118" s="48"/>
      <c r="E118" s="48"/>
      <c r="F118" s="48"/>
      <c r="G118" s="48"/>
      <c r="H118" s="48"/>
      <c r="I118" s="48"/>
      <c r="J118" s="48"/>
      <c r="K118" s="48"/>
      <c r="L118" s="48"/>
      <c r="M118" s="48"/>
      <c r="N118" s="48"/>
      <c r="O118" s="391"/>
      <c r="P118" s="391"/>
      <c r="Q118" s="391"/>
      <c r="S118" s="55"/>
      <c r="T118" s="20"/>
    </row>
    <row r="119" spans="2:20" x14ac:dyDescent="0.25">
      <c r="B119" s="19"/>
      <c r="C119" s="56" t="s">
        <v>570</v>
      </c>
      <c r="D119" s="48"/>
      <c r="E119" s="48"/>
      <c r="F119" s="48"/>
      <c r="G119" s="48"/>
      <c r="H119" s="48"/>
      <c r="I119" s="48"/>
      <c r="J119" s="48"/>
      <c r="K119" s="48"/>
      <c r="L119" s="48"/>
      <c r="M119" s="48"/>
      <c r="N119" s="48"/>
      <c r="O119" s="391"/>
      <c r="P119" s="391"/>
      <c r="Q119" s="391"/>
      <c r="S119" s="55"/>
      <c r="T119" s="20"/>
    </row>
    <row r="120" spans="2:20" x14ac:dyDescent="0.25">
      <c r="B120" s="19"/>
      <c r="C120" s="56" t="s">
        <v>571</v>
      </c>
      <c r="D120" s="48"/>
      <c r="E120" s="48"/>
      <c r="F120" s="48"/>
      <c r="G120" s="48"/>
      <c r="H120" s="48"/>
      <c r="I120" s="48"/>
      <c r="J120" s="48"/>
      <c r="K120" s="48"/>
      <c r="L120" s="48"/>
      <c r="M120" s="48"/>
      <c r="N120" s="48"/>
      <c r="O120" s="391"/>
      <c r="P120" s="391"/>
      <c r="Q120" s="391"/>
      <c r="S120" s="55"/>
      <c r="T120" s="20"/>
    </row>
    <row r="121" spans="2:20" x14ac:dyDescent="0.25">
      <c r="B121" s="19"/>
      <c r="C121" s="56" t="s">
        <v>2316</v>
      </c>
      <c r="D121" s="48"/>
      <c r="E121" s="48"/>
      <c r="F121" s="48"/>
      <c r="G121" s="48"/>
      <c r="H121" s="48"/>
      <c r="I121" s="48"/>
      <c r="J121" s="48"/>
      <c r="K121" s="48"/>
      <c r="L121" s="48"/>
      <c r="M121" s="48"/>
      <c r="N121" s="48"/>
      <c r="O121" s="391"/>
      <c r="P121" s="391"/>
      <c r="Q121" s="391"/>
      <c r="S121" s="55"/>
      <c r="T121" s="20"/>
    </row>
    <row r="122" spans="2:20" x14ac:dyDescent="0.25">
      <c r="B122" s="19"/>
      <c r="C122" s="62"/>
      <c r="M122" s="555" t="s">
        <v>5130</v>
      </c>
      <c r="N122" s="556"/>
      <c r="O122" s="72">
        <f>SUM(O114:O121)</f>
        <v>0</v>
      </c>
      <c r="P122" s="72">
        <f t="shared" ref="P122:Q122" si="6">SUM(P114:P121)</f>
        <v>0</v>
      </c>
      <c r="Q122" s="72">
        <f t="shared" si="6"/>
        <v>0</v>
      </c>
      <c r="S122" s="55"/>
      <c r="T122" s="20"/>
    </row>
    <row r="123" spans="2:20" ht="15" customHeight="1" x14ac:dyDescent="0.25">
      <c r="B123" s="19"/>
      <c r="C123" s="662" t="s">
        <v>127</v>
      </c>
      <c r="D123" s="663"/>
      <c r="E123" s="663"/>
      <c r="F123" s="663"/>
      <c r="G123" s="663"/>
      <c r="H123" s="663"/>
      <c r="I123" s="663"/>
      <c r="J123" s="663"/>
      <c r="K123" s="663"/>
      <c r="L123" s="663"/>
      <c r="M123" s="663"/>
      <c r="N123" s="663"/>
      <c r="O123" s="663"/>
      <c r="P123" s="663"/>
      <c r="Q123" s="663"/>
      <c r="R123" s="663"/>
      <c r="S123" s="55"/>
      <c r="T123" s="20"/>
    </row>
    <row r="124" spans="2:20" ht="42" customHeight="1" x14ac:dyDescent="0.25">
      <c r="B124" s="19"/>
      <c r="C124" s="664"/>
      <c r="D124" s="665"/>
      <c r="E124" s="665"/>
      <c r="F124" s="665"/>
      <c r="G124" s="665"/>
      <c r="H124" s="665"/>
      <c r="I124" s="665"/>
      <c r="J124" s="665"/>
      <c r="K124" s="665"/>
      <c r="L124" s="665"/>
      <c r="M124" s="665"/>
      <c r="N124" s="665"/>
      <c r="O124" s="665"/>
      <c r="P124" s="665"/>
      <c r="Q124" s="665"/>
      <c r="R124" s="665"/>
      <c r="S124" s="58"/>
      <c r="T124" s="20"/>
    </row>
    <row r="125" spans="2:20" x14ac:dyDescent="0.25">
      <c r="B125" s="19"/>
      <c r="T125" s="20"/>
    </row>
    <row r="126" spans="2:20" ht="15.75" x14ac:dyDescent="0.25">
      <c r="B126" s="19"/>
      <c r="C126" s="654" t="s">
        <v>120</v>
      </c>
      <c r="D126" s="655"/>
      <c r="E126" s="655"/>
      <c r="F126" s="655"/>
      <c r="G126" s="655"/>
      <c r="H126" s="655"/>
      <c r="I126" s="655"/>
      <c r="J126" s="655"/>
      <c r="K126" s="655"/>
      <c r="L126" s="655"/>
      <c r="M126" s="655"/>
      <c r="N126" s="52"/>
      <c r="O126" s="52"/>
      <c r="P126" s="52"/>
      <c r="Q126" s="52"/>
      <c r="R126" s="52"/>
      <c r="S126" s="53"/>
      <c r="T126" s="20"/>
    </row>
    <row r="127" spans="2:20" x14ac:dyDescent="0.25">
      <c r="B127" s="19"/>
      <c r="C127" s="54" t="s">
        <v>121</v>
      </c>
      <c r="D127" s="47"/>
      <c r="E127" s="47"/>
      <c r="F127" s="47"/>
      <c r="G127" s="47"/>
      <c r="H127" s="47"/>
      <c r="I127" s="47"/>
      <c r="J127" s="47"/>
      <c r="K127" s="47"/>
      <c r="L127" s="47"/>
      <c r="M127" s="47"/>
      <c r="N127" s="43"/>
      <c r="O127" s="391"/>
      <c r="P127" s="391"/>
      <c r="Q127" s="391"/>
      <c r="S127" s="55"/>
      <c r="T127" s="20"/>
    </row>
    <row r="128" spans="2:20" x14ac:dyDescent="0.25">
      <c r="B128" s="19"/>
      <c r="C128" s="56" t="s">
        <v>122</v>
      </c>
      <c r="D128" s="48"/>
      <c r="E128" s="48"/>
      <c r="F128" s="48"/>
      <c r="G128" s="48"/>
      <c r="H128" s="48"/>
      <c r="I128" s="48"/>
      <c r="J128" s="48"/>
      <c r="K128" s="48"/>
      <c r="L128" s="48"/>
      <c r="M128" s="48"/>
      <c r="N128" s="44"/>
      <c r="O128" s="391"/>
      <c r="P128" s="391"/>
      <c r="Q128" s="391"/>
      <c r="S128" s="55"/>
      <c r="T128" s="20"/>
    </row>
    <row r="129" spans="2:38" x14ac:dyDescent="0.25">
      <c r="B129" s="19"/>
      <c r="C129" s="57"/>
      <c r="D129" s="40"/>
      <c r="E129" s="40"/>
      <c r="F129" s="40"/>
      <c r="G129" s="40"/>
      <c r="H129" s="40"/>
      <c r="I129" s="40"/>
      <c r="J129" s="40"/>
      <c r="K129" s="40"/>
      <c r="L129" s="40"/>
      <c r="M129" s="554" t="s">
        <v>5131</v>
      </c>
      <c r="N129" s="40"/>
      <c r="O129" s="72">
        <f>SUM(O127:O128)</f>
        <v>0</v>
      </c>
      <c r="P129" s="72">
        <f t="shared" ref="P129:Q129" si="7">SUM(P127:P128)</f>
        <v>0</v>
      </c>
      <c r="Q129" s="72">
        <f t="shared" si="7"/>
        <v>0</v>
      </c>
      <c r="R129" s="40"/>
      <c r="S129" s="58"/>
      <c r="T129" s="20"/>
    </row>
    <row r="130" spans="2:38" x14ac:dyDescent="0.25">
      <c r="B130" s="19"/>
      <c r="T130" s="20"/>
    </row>
    <row r="131" spans="2:38" ht="34.5" customHeight="1" x14ac:dyDescent="0.25">
      <c r="B131" s="19"/>
      <c r="C131" s="657" t="s">
        <v>709</v>
      </c>
      <c r="D131" s="658"/>
      <c r="E131" s="658"/>
      <c r="F131" s="658"/>
      <c r="G131" s="658"/>
      <c r="H131" s="658"/>
      <c r="I131" s="658"/>
      <c r="J131" s="658"/>
      <c r="K131" s="658"/>
      <c r="L131" s="658"/>
      <c r="M131" s="658"/>
      <c r="N131" s="52"/>
      <c r="O131" s="52"/>
      <c r="P131" s="52"/>
      <c r="Q131" s="52"/>
      <c r="R131" s="52"/>
      <c r="S131" s="53"/>
      <c r="T131" s="20"/>
    </row>
    <row r="132" spans="2:38" x14ac:dyDescent="0.25">
      <c r="B132" s="19"/>
      <c r="C132" s="54" t="s">
        <v>123</v>
      </c>
      <c r="D132" s="47"/>
      <c r="E132" s="47"/>
      <c r="F132" s="47"/>
      <c r="G132" s="47"/>
      <c r="H132" s="47"/>
      <c r="I132" s="47"/>
      <c r="J132" s="47"/>
      <c r="K132" s="47"/>
      <c r="L132" s="47"/>
      <c r="M132" s="47"/>
      <c r="N132" s="43"/>
      <c r="O132" s="391"/>
      <c r="P132" s="391"/>
      <c r="Q132" s="391"/>
      <c r="S132" s="55"/>
      <c r="T132" s="20"/>
    </row>
    <row r="133" spans="2:38" x14ac:dyDescent="0.25">
      <c r="B133" s="19"/>
      <c r="C133" s="56" t="s">
        <v>2830</v>
      </c>
      <c r="D133" s="48"/>
      <c r="E133" s="48"/>
      <c r="F133" s="48"/>
      <c r="G133" s="48"/>
      <c r="H133" s="48"/>
      <c r="I133" s="48"/>
      <c r="J133" s="48"/>
      <c r="K133" s="48"/>
      <c r="L133" s="48"/>
      <c r="M133" s="48"/>
      <c r="N133" s="44"/>
      <c r="O133" s="391"/>
      <c r="P133" s="391"/>
      <c r="Q133" s="391"/>
      <c r="S133" s="55"/>
      <c r="T133" s="20"/>
    </row>
    <row r="134" spans="2:38" x14ac:dyDescent="0.25">
      <c r="B134" s="19"/>
      <c r="C134" s="56" t="s">
        <v>2831</v>
      </c>
      <c r="D134" s="48"/>
      <c r="E134" s="48"/>
      <c r="F134" s="48"/>
      <c r="G134" s="48"/>
      <c r="H134" s="48"/>
      <c r="I134" s="48"/>
      <c r="J134" s="48"/>
      <c r="K134" s="48"/>
      <c r="L134" s="48"/>
      <c r="M134" s="48"/>
      <c r="N134" s="44"/>
      <c r="O134" s="391"/>
      <c r="P134" s="391"/>
      <c r="Q134" s="391"/>
      <c r="S134" s="55"/>
      <c r="T134" s="20"/>
    </row>
    <row r="135" spans="2:38" x14ac:dyDescent="0.25">
      <c r="B135" s="19"/>
      <c r="C135" s="56" t="s">
        <v>2832</v>
      </c>
      <c r="D135" s="48"/>
      <c r="E135" s="48"/>
      <c r="F135" s="48"/>
      <c r="G135" s="48"/>
      <c r="H135" s="48"/>
      <c r="I135" s="48"/>
      <c r="J135" s="48"/>
      <c r="K135" s="48"/>
      <c r="L135" s="48"/>
      <c r="M135" s="48"/>
      <c r="N135" s="44"/>
      <c r="O135" s="391"/>
      <c r="P135" s="391"/>
      <c r="Q135" s="391"/>
      <c r="S135" s="55"/>
      <c r="T135" s="20"/>
    </row>
    <row r="136" spans="2:38" x14ac:dyDescent="0.25">
      <c r="B136" s="19"/>
      <c r="C136" s="56" t="s">
        <v>2833</v>
      </c>
      <c r="D136" s="48"/>
      <c r="E136" s="48"/>
      <c r="F136" s="48"/>
      <c r="G136" s="48"/>
      <c r="H136" s="48"/>
      <c r="I136" s="48"/>
      <c r="J136" s="48"/>
      <c r="K136" s="48"/>
      <c r="L136" s="48"/>
      <c r="M136" s="48"/>
      <c r="N136" s="44"/>
      <c r="O136" s="391"/>
      <c r="P136" s="391"/>
      <c r="Q136" s="391"/>
      <c r="S136" s="55"/>
      <c r="T136" s="20"/>
      <c r="Y136" s="294"/>
      <c r="Z136" s="295"/>
      <c r="AA136" s="295"/>
      <c r="AB136" s="295"/>
      <c r="AC136" s="295"/>
      <c r="AD136" s="295"/>
      <c r="AE136" s="295"/>
      <c r="AF136" s="295"/>
      <c r="AG136" s="295"/>
      <c r="AH136" s="295"/>
      <c r="AI136" s="295"/>
      <c r="AJ136" s="295"/>
      <c r="AK136" s="295"/>
      <c r="AL136" s="296"/>
    </row>
    <row r="137" spans="2:38" x14ac:dyDescent="0.25">
      <c r="B137" s="19"/>
      <c r="C137" s="57"/>
      <c r="D137" s="40"/>
      <c r="E137" s="40"/>
      <c r="F137" s="40"/>
      <c r="G137" s="40"/>
      <c r="H137" s="40"/>
      <c r="I137" s="40"/>
      <c r="J137" s="40"/>
      <c r="K137" s="40"/>
      <c r="L137" s="40"/>
      <c r="M137" s="554" t="s">
        <v>5132</v>
      </c>
      <c r="N137" s="40"/>
      <c r="O137" s="72">
        <f>SUM(O132:O136)</f>
        <v>0</v>
      </c>
      <c r="P137" s="72">
        <f>SUM(P132:P136)</f>
        <v>0</v>
      </c>
      <c r="Q137" s="72">
        <f>SUM(Q132:Q136)</f>
        <v>0</v>
      </c>
      <c r="R137" s="40"/>
      <c r="S137" s="58"/>
      <c r="T137" s="20"/>
      <c r="Y137" s="297"/>
      <c r="AC137" t="s">
        <v>697</v>
      </c>
      <c r="AL137" s="298"/>
    </row>
    <row r="138" spans="2:38" x14ac:dyDescent="0.25">
      <c r="B138" s="19"/>
      <c r="T138" s="20"/>
      <c r="Y138" s="297"/>
      <c r="AL138" s="298"/>
    </row>
    <row r="139" spans="2:38" ht="15.75" x14ac:dyDescent="0.25">
      <c r="B139" s="19"/>
      <c r="C139" s="654" t="s">
        <v>5135</v>
      </c>
      <c r="D139" s="655"/>
      <c r="E139" s="655"/>
      <c r="F139" s="655"/>
      <c r="G139" s="655"/>
      <c r="H139" s="655"/>
      <c r="I139" s="655"/>
      <c r="J139" s="655"/>
      <c r="K139" s="655"/>
      <c r="L139" s="655"/>
      <c r="M139" s="655"/>
      <c r="N139" s="52"/>
      <c r="O139" s="52"/>
      <c r="P139" s="52"/>
      <c r="Q139" s="52"/>
      <c r="R139" s="52"/>
      <c r="S139" s="53"/>
      <c r="T139" s="20"/>
      <c r="Y139" s="297"/>
      <c r="AC139" t="s">
        <v>684</v>
      </c>
      <c r="AD139" s="42" t="str">
        <f>cRegion</f>
        <v/>
      </c>
      <c r="AH139" s="652" t="s">
        <v>698</v>
      </c>
      <c r="AI139" s="652"/>
      <c r="AJ139" s="652"/>
      <c r="AK139" s="652"/>
      <c r="AL139" s="298"/>
    </row>
    <row r="140" spans="2:38" ht="15.75" x14ac:dyDescent="0.25">
      <c r="B140" s="19"/>
      <c r="C140" s="342"/>
      <c r="D140" s="343"/>
      <c r="E140" s="343"/>
      <c r="F140" s="343"/>
      <c r="G140" s="343"/>
      <c r="H140" s="343"/>
      <c r="I140" s="343"/>
      <c r="J140" s="343"/>
      <c r="K140" s="343"/>
      <c r="L140" s="343"/>
      <c r="M140" s="343"/>
      <c r="S140" s="55"/>
      <c r="T140" s="20"/>
      <c r="Y140" s="297"/>
      <c r="AD140" s="42"/>
      <c r="AH140" s="171"/>
      <c r="AI140" s="171"/>
      <c r="AJ140" s="171"/>
      <c r="AK140" s="171"/>
      <c r="AL140" s="298"/>
    </row>
    <row r="141" spans="2:38" x14ac:dyDescent="0.25">
      <c r="B141" s="19"/>
      <c r="C141" s="557" t="s">
        <v>125</v>
      </c>
      <c r="D141" s="47"/>
      <c r="E141" s="47"/>
      <c r="F141" s="47"/>
      <c r="G141" s="47"/>
      <c r="H141" s="47"/>
      <c r="I141" s="47"/>
      <c r="J141" s="47"/>
      <c r="K141" s="47"/>
      <c r="L141" s="47"/>
      <c r="M141" s="47"/>
      <c r="N141" s="43"/>
      <c r="O141" s="391"/>
      <c r="P141" s="391"/>
      <c r="Q141" s="391"/>
      <c r="S141" s="55"/>
      <c r="T141" s="20"/>
      <c r="Y141" s="297"/>
      <c r="AC141" s="651" t="s">
        <v>687</v>
      </c>
      <c r="AD141" s="651"/>
      <c r="AE141" s="651" t="s">
        <v>688</v>
      </c>
      <c r="AF141" s="651"/>
      <c r="AH141" s="651" t="s">
        <v>687</v>
      </c>
      <c r="AI141" s="651"/>
      <c r="AJ141" s="651" t="s">
        <v>688</v>
      </c>
      <c r="AK141" s="651"/>
      <c r="AL141" s="298"/>
    </row>
    <row r="142" spans="2:38" x14ac:dyDescent="0.25">
      <c r="B142" s="19"/>
      <c r="C142" s="64"/>
      <c r="O142" s="558"/>
      <c r="P142" s="558"/>
      <c r="Q142" s="558"/>
      <c r="S142" s="55"/>
      <c r="T142" s="20"/>
      <c r="Y142" s="297"/>
      <c r="AC142" s="96"/>
      <c r="AD142" s="96"/>
      <c r="AE142" s="96"/>
      <c r="AF142" s="96"/>
      <c r="AH142" s="96"/>
      <c r="AI142" s="96"/>
      <c r="AJ142" s="96"/>
      <c r="AK142" s="96"/>
      <c r="AL142" s="298"/>
    </row>
    <row r="143" spans="2:38" x14ac:dyDescent="0.25">
      <c r="B143" s="19"/>
      <c r="C143" s="63" t="s">
        <v>128</v>
      </c>
      <c r="D143" s="40"/>
      <c r="O143" s="422"/>
      <c r="P143" s="422"/>
      <c r="Q143" s="422"/>
      <c r="S143" s="55"/>
      <c r="T143" s="20"/>
      <c r="Y143" s="297" t="s">
        <v>696</v>
      </c>
      <c r="Z143" t="s">
        <v>695</v>
      </c>
      <c r="AC143" t="s">
        <v>685</v>
      </c>
      <c r="AD143" t="s">
        <v>686</v>
      </c>
      <c r="AE143" t="s">
        <v>685</v>
      </c>
      <c r="AF143" t="s">
        <v>686</v>
      </c>
      <c r="AH143" s="65" t="s">
        <v>685</v>
      </c>
      <c r="AI143" s="65" t="s">
        <v>686</v>
      </c>
      <c r="AJ143" s="65" t="s">
        <v>685</v>
      </c>
      <c r="AK143" s="65" t="s">
        <v>686</v>
      </c>
      <c r="AL143" s="298"/>
    </row>
    <row r="144" spans="2:38" x14ac:dyDescent="0.25">
      <c r="B144" s="19"/>
      <c r="C144" s="64"/>
      <c r="D144" s="65" t="s">
        <v>188</v>
      </c>
      <c r="E144" s="659"/>
      <c r="F144" s="660"/>
      <c r="G144" s="661"/>
      <c r="H144" s="60"/>
      <c r="I144" s="47"/>
      <c r="J144" s="47"/>
      <c r="K144" s="47"/>
      <c r="L144" s="47"/>
      <c r="M144" s="47"/>
      <c r="N144" s="47"/>
      <c r="O144" s="391"/>
      <c r="P144" s="391"/>
      <c r="Q144" s="391"/>
      <c r="S144" s="55"/>
      <c r="T144" s="20"/>
      <c r="U144" s="120" t="str">
        <f t="shared" ref="U144:U158" si="8">IF(AND(E144&lt;&gt;"",O144=""),"La surface de la campagne "&amp;cCampagneN&amp;" pour "&amp;E144&amp;" ne doit pas être vide",IF(AND(E144="",O144&lt;&gt;""),"Le choix du verger ne doit pas être vide si la surface est renseignée pour la campagne "&amp;cCampagneN,""))</f>
        <v/>
      </c>
      <c r="Y144" s="297" t="str">
        <f>$AD$139&amp;AA144&amp;AB144</f>
        <v>0</v>
      </c>
      <c r="Z144" t="str">
        <f>$AD$139&amp;AB144</f>
        <v/>
      </c>
      <c r="AA144" s="196">
        <f t="shared" ref="AA144:AA158" si="9">E144</f>
        <v>0</v>
      </c>
      <c r="AB144" s="196" t="str">
        <f>IF(AA144&lt;&gt;0,INDEX(Listes!V:V,MATCH(Surfaces!AA144,Listes!U:U,0)),"")</f>
        <v/>
      </c>
      <c r="AC144" s="299">
        <f>IFERROR(INDEX(Scoring_Arboriculture!H:H,MATCH(Surfaces!Z144,Scoring_Arboriculture!B:B,0)),0)</f>
        <v>0</v>
      </c>
      <c r="AD144" s="299">
        <f>IFERROR(INDEX(Scoring_Arboriculture!I:I,MATCH(Surfaces!Z144,Scoring_Arboriculture!B:B,0)),0)</f>
        <v>0</v>
      </c>
      <c r="AE144" s="299">
        <f>IFERROR(INDEX(Scoring_Arboriculture!J:J,MATCH(Surfaces!Z144,Scoring_Arboriculture!B:B,0)),0)</f>
        <v>0</v>
      </c>
      <c r="AF144" s="299">
        <f>IFERROR(INDEX(Scoring_Arboriculture!K:K,MATCH(Surfaces!Z144,Scoring_Arboriculture!B:B,0)),0)</f>
        <v>0</v>
      </c>
      <c r="AH144" s="310">
        <f>IFERROR(INDEX(Scoring_Arboriculture!S:S,MATCH(Surfaces!Z144,Scoring_Arboriculture!M:M,0)),0)</f>
        <v>0</v>
      </c>
      <c r="AI144" s="310">
        <f>IFERROR(INDEX(Scoring_Arboriculture!T:T,MATCH(Surfaces!Z144,Scoring_Arboriculture!M:M,0)),0)</f>
        <v>0</v>
      </c>
      <c r="AJ144" s="310">
        <f>IFERROR(INDEX(Scoring_Arboriculture!U:U,MATCH(Surfaces!Z144,Scoring_Arboriculture!M:M,0)),0)</f>
        <v>0</v>
      </c>
      <c r="AK144" s="310">
        <f>IFERROR(INDEX(Scoring_Arboriculture!V:V,MATCH(Surfaces!Z144,Scoring_Arboriculture!M:M,0)),0)</f>
        <v>0</v>
      </c>
      <c r="AL144" s="298"/>
    </row>
    <row r="145" spans="2:38" x14ac:dyDescent="0.25">
      <c r="B145" s="19"/>
      <c r="C145" s="64"/>
      <c r="D145" s="65" t="s">
        <v>189</v>
      </c>
      <c r="E145" s="659"/>
      <c r="F145" s="660"/>
      <c r="G145" s="661"/>
      <c r="H145" s="48"/>
      <c r="I145" s="48"/>
      <c r="J145" s="48"/>
      <c r="K145" s="48"/>
      <c r="L145" s="48"/>
      <c r="M145" s="48"/>
      <c r="N145" s="48"/>
      <c r="O145" s="391"/>
      <c r="P145" s="391"/>
      <c r="Q145" s="391"/>
      <c r="S145" s="55"/>
      <c r="T145" s="20"/>
      <c r="U145" s="120" t="str">
        <f t="shared" si="8"/>
        <v/>
      </c>
      <c r="Y145" s="297" t="str">
        <f t="shared" ref="Y145:Y158" si="10">$AD$139&amp;AA145&amp;AB145</f>
        <v>0</v>
      </c>
      <c r="Z145" t="str">
        <f t="shared" ref="Z145:Z158" si="11">$AD$139&amp;AB145</f>
        <v/>
      </c>
      <c r="AA145" s="196">
        <f t="shared" si="9"/>
        <v>0</v>
      </c>
      <c r="AB145" s="196" t="str">
        <f>IF(AA145&lt;&gt;0,INDEX(Listes!V:V,MATCH(Surfaces!AA145,Listes!U:U,0)),"")</f>
        <v/>
      </c>
      <c r="AC145" s="299">
        <f>IFERROR(INDEX(Scoring_Arboriculture!H:H,MATCH(Surfaces!Z145,Scoring_Arboriculture!B:B,0)),0)</f>
        <v>0</v>
      </c>
      <c r="AD145" s="299">
        <f>IFERROR(INDEX(Scoring_Arboriculture!I:I,MATCH(Surfaces!Z145,Scoring_Arboriculture!B:B,0)),0)</f>
        <v>0</v>
      </c>
      <c r="AE145" s="299">
        <f>IFERROR(INDEX(Scoring_Arboriculture!J:J,MATCH(Surfaces!Z145,Scoring_Arboriculture!B:B,0)),0)</f>
        <v>0</v>
      </c>
      <c r="AF145" s="299">
        <f>IFERROR(INDEX(Scoring_Arboriculture!K:K,MATCH(Surfaces!Z145,Scoring_Arboriculture!B:B,0)),0)</f>
        <v>0</v>
      </c>
      <c r="AH145" s="310">
        <f>IFERROR(INDEX(Scoring_Arboriculture!S:S,MATCH(Surfaces!Z145,Scoring_Arboriculture!M:M,0)),0)</f>
        <v>0</v>
      </c>
      <c r="AI145" s="310">
        <f>IFERROR(INDEX(Scoring_Arboriculture!T:T,MATCH(Surfaces!Z145,Scoring_Arboriculture!M:M,0)),0)</f>
        <v>0</v>
      </c>
      <c r="AJ145" s="310">
        <f>IFERROR(INDEX(Scoring_Arboriculture!U:U,MATCH(Surfaces!Z145,Scoring_Arboriculture!M:M,0)),0)</f>
        <v>0</v>
      </c>
      <c r="AK145" s="310">
        <f>IFERROR(INDEX(Scoring_Arboriculture!V:V,MATCH(Surfaces!Z145,Scoring_Arboriculture!M:M,0)),0)</f>
        <v>0</v>
      </c>
      <c r="AL145" s="298"/>
    </row>
    <row r="146" spans="2:38" x14ac:dyDescent="0.25">
      <c r="B146" s="19"/>
      <c r="C146" s="64"/>
      <c r="D146" s="65" t="s">
        <v>190</v>
      </c>
      <c r="E146" s="659"/>
      <c r="F146" s="660"/>
      <c r="G146" s="661"/>
      <c r="H146" s="48"/>
      <c r="I146" s="48"/>
      <c r="J146" s="48"/>
      <c r="K146" s="48"/>
      <c r="L146" s="48"/>
      <c r="M146" s="48"/>
      <c r="N146" s="48"/>
      <c r="O146" s="391"/>
      <c r="P146" s="391"/>
      <c r="Q146" s="391"/>
      <c r="S146" s="55"/>
      <c r="T146" s="20"/>
      <c r="U146" s="120" t="str">
        <f t="shared" si="8"/>
        <v/>
      </c>
      <c r="Y146" s="297" t="str">
        <f t="shared" si="10"/>
        <v>0</v>
      </c>
      <c r="Z146" t="str">
        <f t="shared" si="11"/>
        <v/>
      </c>
      <c r="AA146" s="196">
        <f t="shared" si="9"/>
        <v>0</v>
      </c>
      <c r="AB146" s="196" t="str">
        <f>IF(AA146&lt;&gt;0,INDEX(Listes!V:V,MATCH(Surfaces!AA146,Listes!U:U,0)),"")</f>
        <v/>
      </c>
      <c r="AC146" s="299">
        <f>IFERROR(INDEX(Scoring_Arboriculture!H:H,MATCH(Surfaces!Z146,Scoring_Arboriculture!B:B,0)),0)</f>
        <v>0</v>
      </c>
      <c r="AD146" s="299">
        <f>IFERROR(INDEX(Scoring_Arboriculture!I:I,MATCH(Surfaces!Z146,Scoring_Arboriculture!B:B,0)),0)</f>
        <v>0</v>
      </c>
      <c r="AE146" s="299">
        <f>IFERROR(INDEX(Scoring_Arboriculture!J:J,MATCH(Surfaces!Z146,Scoring_Arboriculture!B:B,0)),0)</f>
        <v>0</v>
      </c>
      <c r="AF146" s="299">
        <f>IFERROR(INDEX(Scoring_Arboriculture!K:K,MATCH(Surfaces!Z146,Scoring_Arboriculture!B:B,0)),0)</f>
        <v>0</v>
      </c>
      <c r="AH146" s="310">
        <f>IFERROR(INDEX(Scoring_Arboriculture!S:S,MATCH(Surfaces!Z146,Scoring_Arboriculture!M:M,0)),0)</f>
        <v>0</v>
      </c>
      <c r="AI146" s="310">
        <f>IFERROR(INDEX(Scoring_Arboriculture!T:T,MATCH(Surfaces!Z146,Scoring_Arboriculture!M:M,0)),0)</f>
        <v>0</v>
      </c>
      <c r="AJ146" s="310">
        <f>IFERROR(INDEX(Scoring_Arboriculture!U:U,MATCH(Surfaces!Z146,Scoring_Arboriculture!M:M,0)),0)</f>
        <v>0</v>
      </c>
      <c r="AK146" s="310">
        <f>IFERROR(INDEX(Scoring_Arboriculture!V:V,MATCH(Surfaces!Z146,Scoring_Arboriculture!M:M,0)),0)</f>
        <v>0</v>
      </c>
      <c r="AL146" s="298"/>
    </row>
    <row r="147" spans="2:38" x14ac:dyDescent="0.25">
      <c r="B147" s="19"/>
      <c r="C147" s="64"/>
      <c r="D147" s="65" t="s">
        <v>191</v>
      </c>
      <c r="E147" s="659"/>
      <c r="F147" s="660"/>
      <c r="G147" s="661"/>
      <c r="H147" s="48"/>
      <c r="I147" s="48"/>
      <c r="J147" s="48"/>
      <c r="K147" s="48"/>
      <c r="L147" s="48"/>
      <c r="M147" s="48"/>
      <c r="N147" s="48"/>
      <c r="O147" s="391"/>
      <c r="P147" s="391"/>
      <c r="Q147" s="391"/>
      <c r="S147" s="55"/>
      <c r="T147" s="20"/>
      <c r="U147" s="120" t="str">
        <f t="shared" si="8"/>
        <v/>
      </c>
      <c r="Y147" s="297" t="str">
        <f t="shared" si="10"/>
        <v>0</v>
      </c>
      <c r="Z147" t="str">
        <f t="shared" si="11"/>
        <v/>
      </c>
      <c r="AA147" s="196">
        <f t="shared" si="9"/>
        <v>0</v>
      </c>
      <c r="AB147" s="196" t="str">
        <f>IF(AA147&lt;&gt;0,INDEX(Listes!V:V,MATCH(Surfaces!AA147,Listes!U:U,0)),"")</f>
        <v/>
      </c>
      <c r="AC147" s="299">
        <f>IFERROR(INDEX(Scoring_Arboriculture!H:H,MATCH(Surfaces!Z147,Scoring_Arboriculture!B:B,0)),0)</f>
        <v>0</v>
      </c>
      <c r="AD147" s="299">
        <f>IFERROR(INDEX(Scoring_Arboriculture!I:I,MATCH(Surfaces!Z147,Scoring_Arboriculture!B:B,0)),0)</f>
        <v>0</v>
      </c>
      <c r="AE147" s="299">
        <f>IFERROR(INDEX(Scoring_Arboriculture!J:J,MATCH(Surfaces!Z147,Scoring_Arboriculture!B:B,0)),0)</f>
        <v>0</v>
      </c>
      <c r="AF147" s="299">
        <f>IFERROR(INDEX(Scoring_Arboriculture!K:K,MATCH(Surfaces!Z147,Scoring_Arboriculture!B:B,0)),0)</f>
        <v>0</v>
      </c>
      <c r="AH147" s="310">
        <f>IFERROR(INDEX(Scoring_Arboriculture!S:S,MATCH(Surfaces!Z147,Scoring_Arboriculture!M:M,0)),0)</f>
        <v>0</v>
      </c>
      <c r="AI147" s="310">
        <f>IFERROR(INDEX(Scoring_Arboriculture!T:T,MATCH(Surfaces!Z147,Scoring_Arboriculture!M:M,0)),0)</f>
        <v>0</v>
      </c>
      <c r="AJ147" s="310">
        <f>IFERROR(INDEX(Scoring_Arboriculture!U:U,MATCH(Surfaces!Z147,Scoring_Arboriculture!M:M,0)),0)</f>
        <v>0</v>
      </c>
      <c r="AK147" s="310">
        <f>IFERROR(INDEX(Scoring_Arboriculture!V:V,MATCH(Surfaces!Z147,Scoring_Arboriculture!M:M,0)),0)</f>
        <v>0</v>
      </c>
      <c r="AL147" s="298"/>
    </row>
    <row r="148" spans="2:38" x14ac:dyDescent="0.25">
      <c r="B148" s="19"/>
      <c r="C148" s="64"/>
      <c r="D148" s="65" t="s">
        <v>192</v>
      </c>
      <c r="E148" s="659"/>
      <c r="F148" s="660"/>
      <c r="G148" s="661"/>
      <c r="H148" s="48"/>
      <c r="I148" s="48"/>
      <c r="J148" s="48"/>
      <c r="K148" s="48"/>
      <c r="L148" s="48"/>
      <c r="M148" s="48"/>
      <c r="N148" s="48"/>
      <c r="O148" s="391"/>
      <c r="P148" s="391"/>
      <c r="Q148" s="391"/>
      <c r="S148" s="55"/>
      <c r="T148" s="20"/>
      <c r="U148" s="120" t="str">
        <f t="shared" si="8"/>
        <v/>
      </c>
      <c r="Y148" s="297" t="str">
        <f t="shared" si="10"/>
        <v>0</v>
      </c>
      <c r="Z148" t="str">
        <f t="shared" si="11"/>
        <v/>
      </c>
      <c r="AA148" s="196">
        <f t="shared" si="9"/>
        <v>0</v>
      </c>
      <c r="AB148" s="196" t="str">
        <f>IF(AA148&lt;&gt;0,INDEX(Listes!V:V,MATCH(Surfaces!AA148,Listes!U:U,0)),"")</f>
        <v/>
      </c>
      <c r="AC148" s="299">
        <f>IFERROR(INDEX(Scoring_Arboriculture!H:H,MATCH(Surfaces!Z148,Scoring_Arboriculture!B:B,0)),0)</f>
        <v>0</v>
      </c>
      <c r="AD148" s="299">
        <f>IFERROR(INDEX(Scoring_Arboriculture!I:I,MATCH(Surfaces!Z148,Scoring_Arboriculture!B:B,0)),0)</f>
        <v>0</v>
      </c>
      <c r="AE148" s="299">
        <f>IFERROR(INDEX(Scoring_Arboriculture!J:J,MATCH(Surfaces!Z148,Scoring_Arboriculture!B:B,0)),0)</f>
        <v>0</v>
      </c>
      <c r="AF148" s="299">
        <f>IFERROR(INDEX(Scoring_Arboriculture!K:K,MATCH(Surfaces!Z148,Scoring_Arboriculture!B:B,0)),0)</f>
        <v>0</v>
      </c>
      <c r="AH148" s="310">
        <f>IFERROR(INDEX(Scoring_Arboriculture!S:S,MATCH(Surfaces!Z148,Scoring_Arboriculture!M:M,0)),0)</f>
        <v>0</v>
      </c>
      <c r="AI148" s="310">
        <f>IFERROR(INDEX(Scoring_Arboriculture!T:T,MATCH(Surfaces!Z148,Scoring_Arboriculture!M:M,0)),0)</f>
        <v>0</v>
      </c>
      <c r="AJ148" s="310">
        <f>IFERROR(INDEX(Scoring_Arboriculture!U:U,MATCH(Surfaces!Z148,Scoring_Arboriculture!M:M,0)),0)</f>
        <v>0</v>
      </c>
      <c r="AK148" s="310">
        <f>IFERROR(INDEX(Scoring_Arboriculture!V:V,MATCH(Surfaces!Z148,Scoring_Arboriculture!M:M,0)),0)</f>
        <v>0</v>
      </c>
      <c r="AL148" s="298"/>
    </row>
    <row r="149" spans="2:38" x14ac:dyDescent="0.25">
      <c r="B149" s="19"/>
      <c r="C149" s="64"/>
      <c r="D149" s="65" t="s">
        <v>193</v>
      </c>
      <c r="E149" s="659"/>
      <c r="F149" s="660"/>
      <c r="G149" s="661"/>
      <c r="H149" s="48"/>
      <c r="I149" s="48"/>
      <c r="J149" s="48"/>
      <c r="K149" s="48"/>
      <c r="L149" s="48"/>
      <c r="M149" s="48"/>
      <c r="N149" s="48"/>
      <c r="O149" s="391"/>
      <c r="P149" s="391"/>
      <c r="Q149" s="391"/>
      <c r="S149" s="55"/>
      <c r="T149" s="20"/>
      <c r="U149" s="120" t="str">
        <f t="shared" si="8"/>
        <v/>
      </c>
      <c r="Y149" s="297" t="str">
        <f t="shared" si="10"/>
        <v>0</v>
      </c>
      <c r="Z149" t="str">
        <f t="shared" si="11"/>
        <v/>
      </c>
      <c r="AA149" s="196">
        <f t="shared" si="9"/>
        <v>0</v>
      </c>
      <c r="AB149" s="196" t="str">
        <f>IF(AA149&lt;&gt;0,INDEX(Listes!V:V,MATCH(Surfaces!AA149,Listes!U:U,0)),"")</f>
        <v/>
      </c>
      <c r="AC149" s="299">
        <f>IFERROR(INDEX(Scoring_Arboriculture!H:H,MATCH(Surfaces!Z149,Scoring_Arboriculture!B:B,0)),0)</f>
        <v>0</v>
      </c>
      <c r="AD149" s="299">
        <f>IFERROR(INDEX(Scoring_Arboriculture!I:I,MATCH(Surfaces!Z149,Scoring_Arboriculture!B:B,0)),0)</f>
        <v>0</v>
      </c>
      <c r="AE149" s="299">
        <f>IFERROR(INDEX(Scoring_Arboriculture!J:J,MATCH(Surfaces!Z149,Scoring_Arboriculture!B:B,0)),0)</f>
        <v>0</v>
      </c>
      <c r="AF149" s="299">
        <f>IFERROR(INDEX(Scoring_Arboriculture!K:K,MATCH(Surfaces!Z149,Scoring_Arboriculture!B:B,0)),0)</f>
        <v>0</v>
      </c>
      <c r="AH149" s="310">
        <f>IFERROR(INDEX(Scoring_Arboriculture!S:S,MATCH(Surfaces!Z149,Scoring_Arboriculture!M:M,0)),0)</f>
        <v>0</v>
      </c>
      <c r="AI149" s="310">
        <f>IFERROR(INDEX(Scoring_Arboriculture!T:T,MATCH(Surfaces!Z149,Scoring_Arboriculture!M:M,0)),0)</f>
        <v>0</v>
      </c>
      <c r="AJ149" s="310">
        <f>IFERROR(INDEX(Scoring_Arboriculture!U:U,MATCH(Surfaces!Z149,Scoring_Arboriculture!M:M,0)),0)</f>
        <v>0</v>
      </c>
      <c r="AK149" s="310">
        <f>IFERROR(INDEX(Scoring_Arboriculture!V:V,MATCH(Surfaces!Z149,Scoring_Arboriculture!M:M,0)),0)</f>
        <v>0</v>
      </c>
      <c r="AL149" s="298"/>
    </row>
    <row r="150" spans="2:38" x14ac:dyDescent="0.25">
      <c r="B150" s="19"/>
      <c r="C150" s="64"/>
      <c r="D150" s="65" t="s">
        <v>194</v>
      </c>
      <c r="E150" s="659"/>
      <c r="F150" s="660"/>
      <c r="G150" s="661"/>
      <c r="H150" s="48"/>
      <c r="I150" s="48"/>
      <c r="J150" s="48"/>
      <c r="K150" s="48"/>
      <c r="L150" s="48"/>
      <c r="M150" s="48"/>
      <c r="N150" s="48"/>
      <c r="O150" s="391"/>
      <c r="P150" s="391"/>
      <c r="Q150" s="391"/>
      <c r="S150" s="55"/>
      <c r="T150" s="20"/>
      <c r="U150" s="120" t="str">
        <f t="shared" si="8"/>
        <v/>
      </c>
      <c r="Y150" s="297" t="str">
        <f t="shared" si="10"/>
        <v>0</v>
      </c>
      <c r="Z150" t="str">
        <f t="shared" si="11"/>
        <v/>
      </c>
      <c r="AA150" s="196">
        <f t="shared" si="9"/>
        <v>0</v>
      </c>
      <c r="AB150" s="196" t="str">
        <f>IF(AA150&lt;&gt;0,INDEX(Listes!V:V,MATCH(Surfaces!AA150,Listes!U:U,0)),"")</f>
        <v/>
      </c>
      <c r="AC150" s="299">
        <f>IFERROR(INDEX(Scoring_Arboriculture!H:H,MATCH(Surfaces!Z150,Scoring_Arboriculture!B:B,0)),0)</f>
        <v>0</v>
      </c>
      <c r="AD150" s="299">
        <f>IFERROR(INDEX(Scoring_Arboriculture!I:I,MATCH(Surfaces!Z150,Scoring_Arboriculture!B:B,0)),0)</f>
        <v>0</v>
      </c>
      <c r="AE150" s="299">
        <f>IFERROR(INDEX(Scoring_Arboriculture!J:J,MATCH(Surfaces!Z150,Scoring_Arboriculture!B:B,0)),0)</f>
        <v>0</v>
      </c>
      <c r="AF150" s="299">
        <f>IFERROR(INDEX(Scoring_Arboriculture!K:K,MATCH(Surfaces!Z150,Scoring_Arboriculture!B:B,0)),0)</f>
        <v>0</v>
      </c>
      <c r="AH150" s="310">
        <f>IFERROR(INDEX(Scoring_Arboriculture!S:S,MATCH(Surfaces!Z150,Scoring_Arboriculture!M:M,0)),0)</f>
        <v>0</v>
      </c>
      <c r="AI150" s="310">
        <f>IFERROR(INDEX(Scoring_Arboriculture!T:T,MATCH(Surfaces!Z150,Scoring_Arboriculture!M:M,0)),0)</f>
        <v>0</v>
      </c>
      <c r="AJ150" s="310">
        <f>IFERROR(INDEX(Scoring_Arboriculture!U:U,MATCH(Surfaces!Z150,Scoring_Arboriculture!M:M,0)),0)</f>
        <v>0</v>
      </c>
      <c r="AK150" s="310">
        <f>IFERROR(INDEX(Scoring_Arboriculture!V:V,MATCH(Surfaces!Z150,Scoring_Arboriculture!M:M,0)),0)</f>
        <v>0</v>
      </c>
      <c r="AL150" s="298"/>
    </row>
    <row r="151" spans="2:38" x14ac:dyDescent="0.25">
      <c r="B151" s="19"/>
      <c r="C151" s="64"/>
      <c r="D151" s="65" t="s">
        <v>195</v>
      </c>
      <c r="E151" s="659"/>
      <c r="F151" s="660"/>
      <c r="G151" s="661"/>
      <c r="H151" s="48"/>
      <c r="I151" s="48"/>
      <c r="J151" s="48"/>
      <c r="K151" s="48"/>
      <c r="L151" s="48"/>
      <c r="M151" s="48"/>
      <c r="N151" s="48"/>
      <c r="O151" s="391"/>
      <c r="P151" s="391"/>
      <c r="Q151" s="391"/>
      <c r="S151" s="55"/>
      <c r="T151" s="20"/>
      <c r="U151" s="120" t="str">
        <f t="shared" si="8"/>
        <v/>
      </c>
      <c r="Y151" s="297" t="str">
        <f t="shared" si="10"/>
        <v>0</v>
      </c>
      <c r="Z151" t="str">
        <f t="shared" si="11"/>
        <v/>
      </c>
      <c r="AA151" s="196">
        <f t="shared" si="9"/>
        <v>0</v>
      </c>
      <c r="AB151" s="196" t="str">
        <f>IF(AA151&lt;&gt;0,INDEX(Listes!V:V,MATCH(Surfaces!AA151,Listes!U:U,0)),"")</f>
        <v/>
      </c>
      <c r="AC151" s="299">
        <f>IFERROR(INDEX(Scoring_Arboriculture!H:H,MATCH(Surfaces!Z151,Scoring_Arboriculture!B:B,0)),0)</f>
        <v>0</v>
      </c>
      <c r="AD151" s="299">
        <f>IFERROR(INDEX(Scoring_Arboriculture!I:I,MATCH(Surfaces!Z151,Scoring_Arboriculture!B:B,0)),0)</f>
        <v>0</v>
      </c>
      <c r="AE151" s="299">
        <f>IFERROR(INDEX(Scoring_Arboriculture!J:J,MATCH(Surfaces!Z151,Scoring_Arboriculture!B:B,0)),0)</f>
        <v>0</v>
      </c>
      <c r="AF151" s="299">
        <f>IFERROR(INDEX(Scoring_Arboriculture!K:K,MATCH(Surfaces!Z151,Scoring_Arboriculture!B:B,0)),0)</f>
        <v>0</v>
      </c>
      <c r="AH151" s="310">
        <f>IFERROR(INDEX(Scoring_Arboriculture!S:S,MATCH(Surfaces!Z151,Scoring_Arboriculture!M:M,0)),0)</f>
        <v>0</v>
      </c>
      <c r="AI151" s="310">
        <f>IFERROR(INDEX(Scoring_Arboriculture!T:T,MATCH(Surfaces!Z151,Scoring_Arboriculture!M:M,0)),0)</f>
        <v>0</v>
      </c>
      <c r="AJ151" s="310">
        <f>IFERROR(INDEX(Scoring_Arboriculture!U:U,MATCH(Surfaces!Z151,Scoring_Arboriculture!M:M,0)),0)</f>
        <v>0</v>
      </c>
      <c r="AK151" s="310">
        <f>IFERROR(INDEX(Scoring_Arboriculture!V:V,MATCH(Surfaces!Z151,Scoring_Arboriculture!M:M,0)),0)</f>
        <v>0</v>
      </c>
      <c r="AL151" s="298"/>
    </row>
    <row r="152" spans="2:38" x14ac:dyDescent="0.25">
      <c r="B152" s="19"/>
      <c r="C152" s="64"/>
      <c r="D152" s="65" t="s">
        <v>196</v>
      </c>
      <c r="E152" s="659"/>
      <c r="F152" s="660"/>
      <c r="G152" s="661"/>
      <c r="H152" s="48"/>
      <c r="I152" s="48"/>
      <c r="J152" s="48"/>
      <c r="K152" s="48"/>
      <c r="L152" s="48"/>
      <c r="M152" s="48"/>
      <c r="N152" s="48"/>
      <c r="O152" s="391"/>
      <c r="P152" s="391"/>
      <c r="Q152" s="391"/>
      <c r="S152" s="55"/>
      <c r="T152" s="20"/>
      <c r="U152" s="120" t="str">
        <f t="shared" si="8"/>
        <v/>
      </c>
      <c r="Y152" s="297" t="str">
        <f t="shared" si="10"/>
        <v>0</v>
      </c>
      <c r="Z152" t="str">
        <f t="shared" si="11"/>
        <v/>
      </c>
      <c r="AA152" s="196">
        <f t="shared" si="9"/>
        <v>0</v>
      </c>
      <c r="AB152" s="196" t="str">
        <f>IF(AA152&lt;&gt;0,INDEX(Listes!V:V,MATCH(Surfaces!AA152,Listes!U:U,0)),"")</f>
        <v/>
      </c>
      <c r="AC152" s="299">
        <f>IFERROR(INDEX(Scoring_Arboriculture!H:H,MATCH(Surfaces!Z152,Scoring_Arboriculture!B:B,0)),0)</f>
        <v>0</v>
      </c>
      <c r="AD152" s="299">
        <f>IFERROR(INDEX(Scoring_Arboriculture!I:I,MATCH(Surfaces!Z152,Scoring_Arboriculture!B:B,0)),0)</f>
        <v>0</v>
      </c>
      <c r="AE152" s="299">
        <f>IFERROR(INDEX(Scoring_Arboriculture!J:J,MATCH(Surfaces!Z152,Scoring_Arboriculture!B:B,0)),0)</f>
        <v>0</v>
      </c>
      <c r="AF152" s="299">
        <f>IFERROR(INDEX(Scoring_Arboriculture!K:K,MATCH(Surfaces!Z152,Scoring_Arboriculture!B:B,0)),0)</f>
        <v>0</v>
      </c>
      <c r="AH152" s="310">
        <f>IFERROR(INDEX(Scoring_Arboriculture!S:S,MATCH(Surfaces!Z152,Scoring_Arboriculture!M:M,0)),0)</f>
        <v>0</v>
      </c>
      <c r="AI152" s="310">
        <f>IFERROR(INDEX(Scoring_Arboriculture!T:T,MATCH(Surfaces!Z152,Scoring_Arboriculture!M:M,0)),0)</f>
        <v>0</v>
      </c>
      <c r="AJ152" s="310">
        <f>IFERROR(INDEX(Scoring_Arboriculture!U:U,MATCH(Surfaces!Z152,Scoring_Arboriculture!M:M,0)),0)</f>
        <v>0</v>
      </c>
      <c r="AK152" s="310">
        <f>IFERROR(INDEX(Scoring_Arboriculture!V:V,MATCH(Surfaces!Z152,Scoring_Arboriculture!M:M,0)),0)</f>
        <v>0</v>
      </c>
      <c r="AL152" s="298"/>
    </row>
    <row r="153" spans="2:38" x14ac:dyDescent="0.25">
      <c r="B153" s="19"/>
      <c r="C153" s="64"/>
      <c r="D153" s="65" t="s">
        <v>197</v>
      </c>
      <c r="E153" s="659"/>
      <c r="F153" s="660"/>
      <c r="G153" s="661"/>
      <c r="H153" s="48"/>
      <c r="I153" s="48"/>
      <c r="J153" s="48"/>
      <c r="K153" s="48"/>
      <c r="L153" s="48"/>
      <c r="M153" s="48"/>
      <c r="N153" s="48"/>
      <c r="O153" s="391"/>
      <c r="P153" s="391"/>
      <c r="Q153" s="391"/>
      <c r="S153" s="55"/>
      <c r="T153" s="20"/>
      <c r="U153" s="120" t="str">
        <f t="shared" si="8"/>
        <v/>
      </c>
      <c r="Y153" s="297" t="str">
        <f t="shared" si="10"/>
        <v>0</v>
      </c>
      <c r="Z153" t="str">
        <f t="shared" si="11"/>
        <v/>
      </c>
      <c r="AA153" s="196">
        <f t="shared" si="9"/>
        <v>0</v>
      </c>
      <c r="AB153" s="196" t="str">
        <f>IF(AA153&lt;&gt;0,INDEX(Listes!V:V,MATCH(Surfaces!AA153,Listes!U:U,0)),"")</f>
        <v/>
      </c>
      <c r="AC153" s="299">
        <f>IFERROR(INDEX(Scoring_Arboriculture!H:H,MATCH(Surfaces!Z153,Scoring_Arboriculture!B:B,0)),0)</f>
        <v>0</v>
      </c>
      <c r="AD153" s="299">
        <f>IFERROR(INDEX(Scoring_Arboriculture!I:I,MATCH(Surfaces!Z153,Scoring_Arboriculture!B:B,0)),0)</f>
        <v>0</v>
      </c>
      <c r="AE153" s="299">
        <f>IFERROR(INDEX(Scoring_Arboriculture!J:J,MATCH(Surfaces!Z153,Scoring_Arboriculture!B:B,0)),0)</f>
        <v>0</v>
      </c>
      <c r="AF153" s="299">
        <f>IFERROR(INDEX(Scoring_Arboriculture!K:K,MATCH(Surfaces!Z153,Scoring_Arboriculture!B:B,0)),0)</f>
        <v>0</v>
      </c>
      <c r="AH153" s="310">
        <f>IFERROR(INDEX(Scoring_Arboriculture!S:S,MATCH(Surfaces!Z153,Scoring_Arboriculture!M:M,0)),0)</f>
        <v>0</v>
      </c>
      <c r="AI153" s="310">
        <f>IFERROR(INDEX(Scoring_Arboriculture!T:T,MATCH(Surfaces!Z153,Scoring_Arboriculture!M:M,0)),0)</f>
        <v>0</v>
      </c>
      <c r="AJ153" s="310">
        <f>IFERROR(INDEX(Scoring_Arboriculture!U:U,MATCH(Surfaces!Z153,Scoring_Arboriculture!M:M,0)),0)</f>
        <v>0</v>
      </c>
      <c r="AK153" s="310">
        <f>IFERROR(INDEX(Scoring_Arboriculture!V:V,MATCH(Surfaces!Z153,Scoring_Arboriculture!M:M,0)),0)</f>
        <v>0</v>
      </c>
      <c r="AL153" s="298"/>
    </row>
    <row r="154" spans="2:38" x14ac:dyDescent="0.25">
      <c r="B154" s="19"/>
      <c r="C154" s="64"/>
      <c r="D154" s="65" t="s">
        <v>198</v>
      </c>
      <c r="E154" s="659"/>
      <c r="F154" s="660"/>
      <c r="G154" s="661"/>
      <c r="H154" s="48"/>
      <c r="I154" s="48"/>
      <c r="J154" s="48"/>
      <c r="K154" s="48"/>
      <c r="L154" s="48"/>
      <c r="M154" s="48"/>
      <c r="N154" s="48"/>
      <c r="O154" s="391"/>
      <c r="P154" s="391"/>
      <c r="Q154" s="391"/>
      <c r="S154" s="55"/>
      <c r="T154" s="20"/>
      <c r="U154" s="120" t="str">
        <f t="shared" si="8"/>
        <v/>
      </c>
      <c r="Y154" s="297" t="str">
        <f t="shared" si="10"/>
        <v>0</v>
      </c>
      <c r="Z154" t="str">
        <f t="shared" si="11"/>
        <v/>
      </c>
      <c r="AA154" s="196">
        <f t="shared" si="9"/>
        <v>0</v>
      </c>
      <c r="AB154" s="196" t="str">
        <f>IF(AA154&lt;&gt;0,INDEX(Listes!V:V,MATCH(Surfaces!AA154,Listes!U:U,0)),"")</f>
        <v/>
      </c>
      <c r="AC154" s="299">
        <f>IFERROR(INDEX(Scoring_Arboriculture!H:H,MATCH(Surfaces!Z154,Scoring_Arboriculture!B:B,0)),0)</f>
        <v>0</v>
      </c>
      <c r="AD154" s="299">
        <f>IFERROR(INDEX(Scoring_Arboriculture!I:I,MATCH(Surfaces!Z154,Scoring_Arboriculture!B:B,0)),0)</f>
        <v>0</v>
      </c>
      <c r="AE154" s="299">
        <f>IFERROR(INDEX(Scoring_Arboriculture!J:J,MATCH(Surfaces!Z154,Scoring_Arboriculture!B:B,0)),0)</f>
        <v>0</v>
      </c>
      <c r="AF154" s="299">
        <f>IFERROR(INDEX(Scoring_Arboriculture!K:K,MATCH(Surfaces!Z154,Scoring_Arboriculture!B:B,0)),0)</f>
        <v>0</v>
      </c>
      <c r="AH154" s="310">
        <f>IFERROR(INDEX(Scoring_Arboriculture!S:S,MATCH(Surfaces!Z154,Scoring_Arboriculture!M:M,0)),0)</f>
        <v>0</v>
      </c>
      <c r="AI154" s="310">
        <f>IFERROR(INDEX(Scoring_Arboriculture!T:T,MATCH(Surfaces!Z154,Scoring_Arboriculture!M:M,0)),0)</f>
        <v>0</v>
      </c>
      <c r="AJ154" s="310">
        <f>IFERROR(INDEX(Scoring_Arboriculture!U:U,MATCH(Surfaces!Z154,Scoring_Arboriculture!M:M,0)),0)</f>
        <v>0</v>
      </c>
      <c r="AK154" s="310">
        <f>IFERROR(INDEX(Scoring_Arboriculture!V:V,MATCH(Surfaces!Z154,Scoring_Arboriculture!M:M,0)),0)</f>
        <v>0</v>
      </c>
      <c r="AL154" s="298"/>
    </row>
    <row r="155" spans="2:38" x14ac:dyDescent="0.25">
      <c r="B155" s="19"/>
      <c r="C155" s="64"/>
      <c r="D155" s="65" t="s">
        <v>199</v>
      </c>
      <c r="E155" s="659"/>
      <c r="F155" s="660"/>
      <c r="G155" s="661"/>
      <c r="H155" s="48"/>
      <c r="I155" s="48"/>
      <c r="J155" s="48"/>
      <c r="K155" s="48"/>
      <c r="L155" s="48"/>
      <c r="M155" s="48"/>
      <c r="N155" s="48"/>
      <c r="O155" s="391"/>
      <c r="P155" s="391"/>
      <c r="Q155" s="391"/>
      <c r="S155" s="55"/>
      <c r="T155" s="20"/>
      <c r="U155" s="120" t="str">
        <f t="shared" si="8"/>
        <v/>
      </c>
      <c r="Y155" s="297" t="str">
        <f t="shared" si="10"/>
        <v>0</v>
      </c>
      <c r="Z155" t="str">
        <f t="shared" si="11"/>
        <v/>
      </c>
      <c r="AA155" s="196">
        <f t="shared" si="9"/>
        <v>0</v>
      </c>
      <c r="AB155" s="196" t="str">
        <f>IF(AA155&lt;&gt;0,INDEX(Listes!V:V,MATCH(Surfaces!AA155,Listes!U:U,0)),"")</f>
        <v/>
      </c>
      <c r="AC155" s="299">
        <f>IFERROR(INDEX(Scoring_Arboriculture!H:H,MATCH(Surfaces!Z155,Scoring_Arboriculture!B:B,0)),0)</f>
        <v>0</v>
      </c>
      <c r="AD155" s="299">
        <f>IFERROR(INDEX(Scoring_Arboriculture!I:I,MATCH(Surfaces!Z155,Scoring_Arboriculture!B:B,0)),0)</f>
        <v>0</v>
      </c>
      <c r="AE155" s="299">
        <f>IFERROR(INDEX(Scoring_Arboriculture!J:J,MATCH(Surfaces!Z155,Scoring_Arboriculture!B:B,0)),0)</f>
        <v>0</v>
      </c>
      <c r="AF155" s="299">
        <f>IFERROR(INDEX(Scoring_Arboriculture!K:K,MATCH(Surfaces!Z155,Scoring_Arboriculture!B:B,0)),0)</f>
        <v>0</v>
      </c>
      <c r="AH155" s="310">
        <f>IFERROR(INDEX(Scoring_Arboriculture!S:S,MATCH(Surfaces!Z155,Scoring_Arboriculture!M:M,0)),0)</f>
        <v>0</v>
      </c>
      <c r="AI155" s="310">
        <f>IFERROR(INDEX(Scoring_Arboriculture!T:T,MATCH(Surfaces!Z155,Scoring_Arboriculture!M:M,0)),0)</f>
        <v>0</v>
      </c>
      <c r="AJ155" s="310">
        <f>IFERROR(INDEX(Scoring_Arboriculture!U:U,MATCH(Surfaces!Z155,Scoring_Arboriculture!M:M,0)),0)</f>
        <v>0</v>
      </c>
      <c r="AK155" s="310">
        <f>IFERROR(INDEX(Scoring_Arboriculture!V:V,MATCH(Surfaces!Z155,Scoring_Arboriculture!M:M,0)),0)</f>
        <v>0</v>
      </c>
      <c r="AL155" s="298"/>
    </row>
    <row r="156" spans="2:38" x14ac:dyDescent="0.25">
      <c r="B156" s="19"/>
      <c r="C156" s="64"/>
      <c r="D156" s="65" t="s">
        <v>200</v>
      </c>
      <c r="E156" s="659"/>
      <c r="F156" s="660"/>
      <c r="G156" s="661"/>
      <c r="H156" s="48"/>
      <c r="I156" s="48"/>
      <c r="J156" s="48"/>
      <c r="K156" s="48"/>
      <c r="L156" s="48"/>
      <c r="M156" s="48"/>
      <c r="N156" s="48"/>
      <c r="O156" s="391"/>
      <c r="P156" s="391"/>
      <c r="Q156" s="391"/>
      <c r="S156" s="55"/>
      <c r="T156" s="20"/>
      <c r="U156" s="120" t="str">
        <f t="shared" si="8"/>
        <v/>
      </c>
      <c r="Y156" s="297" t="str">
        <f t="shared" si="10"/>
        <v>0</v>
      </c>
      <c r="Z156" t="str">
        <f t="shared" si="11"/>
        <v/>
      </c>
      <c r="AA156" s="196">
        <f t="shared" si="9"/>
        <v>0</v>
      </c>
      <c r="AB156" s="196" t="str">
        <f>IF(AA156&lt;&gt;0,INDEX(Listes!V:V,MATCH(Surfaces!AA156,Listes!U:U,0)),"")</f>
        <v/>
      </c>
      <c r="AC156" s="299">
        <f>IFERROR(INDEX(Scoring_Arboriculture!H:H,MATCH(Surfaces!Z156,Scoring_Arboriculture!B:B,0)),0)</f>
        <v>0</v>
      </c>
      <c r="AD156" s="299">
        <f>IFERROR(INDEX(Scoring_Arboriculture!I:I,MATCH(Surfaces!Z156,Scoring_Arboriculture!B:B,0)),0)</f>
        <v>0</v>
      </c>
      <c r="AE156" s="299">
        <f>IFERROR(INDEX(Scoring_Arboriculture!J:J,MATCH(Surfaces!Z156,Scoring_Arboriculture!B:B,0)),0)</f>
        <v>0</v>
      </c>
      <c r="AF156" s="299">
        <f>IFERROR(INDEX(Scoring_Arboriculture!K:K,MATCH(Surfaces!Z156,Scoring_Arboriculture!B:B,0)),0)</f>
        <v>0</v>
      </c>
      <c r="AH156" s="310">
        <f>IFERROR(INDEX(Scoring_Arboriculture!S:S,MATCH(Surfaces!Z156,Scoring_Arboriculture!M:M,0)),0)</f>
        <v>0</v>
      </c>
      <c r="AI156" s="310">
        <f>IFERROR(INDEX(Scoring_Arboriculture!T:T,MATCH(Surfaces!Z156,Scoring_Arboriculture!M:M,0)),0)</f>
        <v>0</v>
      </c>
      <c r="AJ156" s="310">
        <f>IFERROR(INDEX(Scoring_Arboriculture!U:U,MATCH(Surfaces!Z156,Scoring_Arboriculture!M:M,0)),0)</f>
        <v>0</v>
      </c>
      <c r="AK156" s="310">
        <f>IFERROR(INDEX(Scoring_Arboriculture!V:V,MATCH(Surfaces!Z156,Scoring_Arboriculture!M:M,0)),0)</f>
        <v>0</v>
      </c>
      <c r="AL156" s="298"/>
    </row>
    <row r="157" spans="2:38" x14ac:dyDescent="0.25">
      <c r="B157" s="19"/>
      <c r="C157" s="64"/>
      <c r="D157" s="65" t="s">
        <v>201</v>
      </c>
      <c r="E157" s="659"/>
      <c r="F157" s="660"/>
      <c r="G157" s="661"/>
      <c r="H157" s="48"/>
      <c r="I157" s="48"/>
      <c r="J157" s="48"/>
      <c r="K157" s="48"/>
      <c r="L157" s="48"/>
      <c r="M157" s="48"/>
      <c r="N157" s="48"/>
      <c r="O157" s="391"/>
      <c r="P157" s="391"/>
      <c r="Q157" s="391"/>
      <c r="S157" s="55"/>
      <c r="T157" s="20"/>
      <c r="U157" s="120" t="str">
        <f t="shared" si="8"/>
        <v/>
      </c>
      <c r="Y157" s="297" t="str">
        <f t="shared" si="10"/>
        <v>0</v>
      </c>
      <c r="Z157" t="str">
        <f t="shared" si="11"/>
        <v/>
      </c>
      <c r="AA157" s="196">
        <f t="shared" si="9"/>
        <v>0</v>
      </c>
      <c r="AB157" s="196" t="str">
        <f>IF(AA157&lt;&gt;0,INDEX(Listes!V:V,MATCH(Surfaces!AA157,Listes!U:U,0)),"")</f>
        <v/>
      </c>
      <c r="AC157" s="299">
        <f>IFERROR(INDEX(Scoring_Arboriculture!H:H,MATCH(Surfaces!Z157,Scoring_Arboriculture!B:B,0)),0)</f>
        <v>0</v>
      </c>
      <c r="AD157" s="299">
        <f>IFERROR(INDEX(Scoring_Arboriculture!I:I,MATCH(Surfaces!Z157,Scoring_Arboriculture!B:B,0)),0)</f>
        <v>0</v>
      </c>
      <c r="AE157" s="299">
        <f>IFERROR(INDEX(Scoring_Arboriculture!J:J,MATCH(Surfaces!Z157,Scoring_Arboriculture!B:B,0)),0)</f>
        <v>0</v>
      </c>
      <c r="AF157" s="299">
        <f>IFERROR(INDEX(Scoring_Arboriculture!K:K,MATCH(Surfaces!Z157,Scoring_Arboriculture!B:B,0)),0)</f>
        <v>0</v>
      </c>
      <c r="AH157" s="310">
        <f>IFERROR(INDEX(Scoring_Arboriculture!S:S,MATCH(Surfaces!Z157,Scoring_Arboriculture!M:M,0)),0)</f>
        <v>0</v>
      </c>
      <c r="AI157" s="310">
        <f>IFERROR(INDEX(Scoring_Arboriculture!T:T,MATCH(Surfaces!Z157,Scoring_Arboriculture!M:M,0)),0)</f>
        <v>0</v>
      </c>
      <c r="AJ157" s="310">
        <f>IFERROR(INDEX(Scoring_Arboriculture!U:U,MATCH(Surfaces!Z157,Scoring_Arboriculture!M:M,0)),0)</f>
        <v>0</v>
      </c>
      <c r="AK157" s="310">
        <f>IFERROR(INDEX(Scoring_Arboriculture!V:V,MATCH(Surfaces!Z157,Scoring_Arboriculture!M:M,0)),0)</f>
        <v>0</v>
      </c>
      <c r="AL157" s="298"/>
    </row>
    <row r="158" spans="2:38" x14ac:dyDescent="0.25">
      <c r="B158" s="19"/>
      <c r="C158" s="64"/>
      <c r="D158" s="65" t="s">
        <v>202</v>
      </c>
      <c r="E158" s="659"/>
      <c r="F158" s="660"/>
      <c r="G158" s="661"/>
      <c r="H158" s="48"/>
      <c r="I158" s="48"/>
      <c r="J158" s="48"/>
      <c r="K158" s="48"/>
      <c r="L158" s="48"/>
      <c r="M158" s="48"/>
      <c r="N158" s="48"/>
      <c r="O158" s="391"/>
      <c r="P158" s="391"/>
      <c r="Q158" s="391"/>
      <c r="S158" s="55"/>
      <c r="T158" s="20"/>
      <c r="U158" s="120" t="str">
        <f t="shared" si="8"/>
        <v/>
      </c>
      <c r="Y158" s="297" t="str">
        <f t="shared" si="10"/>
        <v>0</v>
      </c>
      <c r="Z158" t="str">
        <f t="shared" si="11"/>
        <v/>
      </c>
      <c r="AA158" s="196">
        <f t="shared" si="9"/>
        <v>0</v>
      </c>
      <c r="AB158" s="196" t="str">
        <f>IF(AA158&lt;&gt;0,INDEX(Listes!V:V,MATCH(Surfaces!AA158,Listes!U:U,0)),"")</f>
        <v/>
      </c>
      <c r="AC158" s="299">
        <f>IFERROR(INDEX(Scoring_Arboriculture!H:H,MATCH(Surfaces!Z158,Scoring_Arboriculture!B:B,0)),0)</f>
        <v>0</v>
      </c>
      <c r="AD158" s="299">
        <f>IFERROR(INDEX(Scoring_Arboriculture!I:I,MATCH(Surfaces!Z158,Scoring_Arboriculture!B:B,0)),0)</f>
        <v>0</v>
      </c>
      <c r="AE158" s="299">
        <f>IFERROR(INDEX(Scoring_Arboriculture!J:J,MATCH(Surfaces!Z158,Scoring_Arboriculture!B:B,0)),0)</f>
        <v>0</v>
      </c>
      <c r="AF158" s="299">
        <f>IFERROR(INDEX(Scoring_Arboriculture!K:K,MATCH(Surfaces!Z158,Scoring_Arboriculture!B:B,0)),0)</f>
        <v>0</v>
      </c>
      <c r="AH158" s="310">
        <f>IFERROR(INDEX(Scoring_Arboriculture!S:S,MATCH(Surfaces!Z158,Scoring_Arboriculture!M:M,0)),0)</f>
        <v>0</v>
      </c>
      <c r="AI158" s="310">
        <f>IFERROR(INDEX(Scoring_Arboriculture!T:T,MATCH(Surfaces!Z158,Scoring_Arboriculture!M:M,0)),0)</f>
        <v>0</v>
      </c>
      <c r="AJ158" s="310">
        <f>IFERROR(INDEX(Scoring_Arboriculture!U:U,MATCH(Surfaces!Z158,Scoring_Arboriculture!M:M,0)),0)</f>
        <v>0</v>
      </c>
      <c r="AK158" s="310">
        <f>IFERROR(INDEX(Scoring_Arboriculture!V:V,MATCH(Surfaces!Z158,Scoring_Arboriculture!M:M,0)),0)</f>
        <v>0</v>
      </c>
      <c r="AL158" s="298"/>
    </row>
    <row r="159" spans="2:38" x14ac:dyDescent="0.25">
      <c r="B159" s="19"/>
      <c r="C159" s="64"/>
      <c r="M159" s="555" t="s">
        <v>5133</v>
      </c>
      <c r="N159" s="556"/>
      <c r="O159" s="72">
        <f>SUM(O144:O158)</f>
        <v>0</v>
      </c>
      <c r="P159" s="72">
        <f t="shared" ref="P159:Q159" si="12">SUM(P144:P158)</f>
        <v>0</v>
      </c>
      <c r="Q159" s="72">
        <f t="shared" si="12"/>
        <v>0</v>
      </c>
      <c r="S159" s="55"/>
      <c r="T159" s="20"/>
      <c r="Y159" s="297"/>
      <c r="AL159" s="298"/>
    </row>
    <row r="160" spans="2:38" x14ac:dyDescent="0.25">
      <c r="B160" s="19"/>
      <c r="C160" s="64"/>
      <c r="O160" s="504"/>
      <c r="P160" s="504"/>
      <c r="Q160" s="504"/>
      <c r="S160" s="55"/>
      <c r="T160" s="20"/>
      <c r="Y160" s="297"/>
      <c r="AL160" s="298"/>
    </row>
    <row r="161" spans="2:38" x14ac:dyDescent="0.25">
      <c r="B161" s="19"/>
      <c r="C161" s="557" t="s">
        <v>126</v>
      </c>
      <c r="D161" s="47"/>
      <c r="E161" s="47"/>
      <c r="F161" s="47"/>
      <c r="G161" s="47"/>
      <c r="H161" s="47"/>
      <c r="I161" s="47"/>
      <c r="J161" s="47"/>
      <c r="K161" s="47"/>
      <c r="L161" s="47"/>
      <c r="M161" s="47"/>
      <c r="N161" s="43"/>
      <c r="O161" s="391"/>
      <c r="P161" s="391"/>
      <c r="Q161" s="391"/>
      <c r="S161" s="55"/>
      <c r="T161" s="20"/>
      <c r="Y161" s="300"/>
      <c r="Z161" s="301"/>
      <c r="AA161" s="301"/>
      <c r="AB161" s="301"/>
      <c r="AC161" s="301"/>
      <c r="AD161" s="301"/>
      <c r="AE161" s="301"/>
      <c r="AF161" s="301"/>
      <c r="AG161" s="301"/>
      <c r="AH161" s="301"/>
      <c r="AI161" s="301"/>
      <c r="AJ161" s="301"/>
      <c r="AK161" s="301"/>
      <c r="AL161" s="302"/>
    </row>
    <row r="162" spans="2:38" x14ac:dyDescent="0.25">
      <c r="B162" s="19"/>
      <c r="C162" s="57"/>
      <c r="D162" s="40"/>
      <c r="E162" s="40"/>
      <c r="F162" s="40"/>
      <c r="G162" s="40"/>
      <c r="H162" s="40"/>
      <c r="I162" s="40"/>
      <c r="J162" s="40"/>
      <c r="K162" s="40"/>
      <c r="L162" s="40"/>
      <c r="M162" s="40"/>
      <c r="N162" s="40"/>
      <c r="O162" s="40"/>
      <c r="P162" s="40"/>
      <c r="Q162" s="40"/>
      <c r="R162" s="40"/>
      <c r="S162" s="58"/>
      <c r="T162" s="20"/>
    </row>
    <row r="163" spans="2:38" x14ac:dyDescent="0.25">
      <c r="B163" s="19"/>
      <c r="T163" s="20"/>
    </row>
    <row r="164" spans="2:38" x14ac:dyDescent="0.25">
      <c r="B164" s="19"/>
      <c r="L164" s="651" t="s">
        <v>298</v>
      </c>
      <c r="M164" s="651"/>
      <c r="O164" s="72">
        <f>IFERROR(O83+O90+O97+O105+O111+O122+O129+O137+O141+O159+O161,0)</f>
        <v>0</v>
      </c>
      <c r="P164" s="72">
        <f>IFERROR(P83+P90+P97+P105+P111+P122+P129+P137+P141+P159+P161,0)</f>
        <v>0</v>
      </c>
      <c r="Q164" s="72">
        <f>IFERROR(Q83+Q90+Q97+Q105+Q111+Q122+Q129+Q137+Q141+Q159+Q161,0)</f>
        <v>0</v>
      </c>
      <c r="T164" s="20"/>
    </row>
    <row r="165" spans="2:38" ht="15.75" thickBot="1" x14ac:dyDescent="0.3">
      <c r="B165" s="22"/>
      <c r="C165" s="66"/>
      <c r="D165" s="23"/>
      <c r="E165" s="23"/>
      <c r="F165" s="23"/>
      <c r="G165" s="23"/>
      <c r="H165" s="23"/>
      <c r="I165" s="23"/>
      <c r="J165" s="23"/>
      <c r="K165" s="23"/>
      <c r="L165" s="23"/>
      <c r="M165" s="23"/>
      <c r="N165" s="23"/>
      <c r="O165" s="23"/>
      <c r="P165" s="23"/>
      <c r="Q165" s="23"/>
      <c r="R165" s="23"/>
      <c r="S165" s="23"/>
      <c r="T165" s="24"/>
    </row>
    <row r="168" spans="2:38" ht="15.75" thickBot="1" x14ac:dyDescent="0.3"/>
    <row r="169" spans="2:38" x14ac:dyDescent="0.25">
      <c r="B169" s="16"/>
      <c r="C169" s="17"/>
      <c r="D169" s="17"/>
      <c r="E169" s="17"/>
      <c r="F169" s="17"/>
      <c r="G169" s="17"/>
      <c r="H169" s="17"/>
      <c r="I169" s="17"/>
      <c r="J169" s="17"/>
      <c r="K169" s="17"/>
      <c r="L169" s="17"/>
      <c r="M169" s="17"/>
      <c r="N169" s="17"/>
      <c r="O169" s="161"/>
      <c r="P169" s="17"/>
      <c r="Q169" s="17"/>
      <c r="R169" s="17"/>
      <c r="S169" s="17"/>
      <c r="T169" s="18"/>
    </row>
    <row r="170" spans="2:38" ht="15" customHeight="1" x14ac:dyDescent="0.25">
      <c r="B170" s="19"/>
      <c r="O170" s="653" t="s">
        <v>720</v>
      </c>
      <c r="P170" s="653"/>
      <c r="Q170" s="653"/>
      <c r="T170" s="20"/>
    </row>
    <row r="171" spans="2:38" x14ac:dyDescent="0.25">
      <c r="B171" s="19"/>
      <c r="C171" s="143" t="s">
        <v>2859</v>
      </c>
      <c r="O171" s="653"/>
      <c r="P171" s="653"/>
      <c r="Q171" s="653"/>
      <c r="T171" s="20"/>
    </row>
    <row r="172" spans="2:38" x14ac:dyDescent="0.25">
      <c r="B172" s="19"/>
      <c r="C172" s="92" t="s">
        <v>2498</v>
      </c>
      <c r="D172" s="47"/>
      <c r="E172" s="47"/>
      <c r="F172" s="47"/>
      <c r="G172" s="47"/>
      <c r="H172" s="47"/>
      <c r="I172" s="47"/>
      <c r="J172" s="47"/>
      <c r="K172" s="47"/>
      <c r="L172" s="47"/>
      <c r="M172" s="47"/>
      <c r="N172" s="47"/>
      <c r="O172" s="361" t="str">
        <f>TEXT(cCampagneN,"0000-00")</f>
        <v>N</v>
      </c>
      <c r="P172" s="361" t="str">
        <f>cCampagneN1</f>
        <v>N-1</v>
      </c>
      <c r="Q172" s="361" t="str">
        <f>CCampagneN2</f>
        <v>N-2</v>
      </c>
      <c r="T172" s="20"/>
    </row>
    <row r="173" spans="2:38" x14ac:dyDescent="0.25">
      <c r="B173" s="19"/>
      <c r="D173" s="47" t="s">
        <v>2825</v>
      </c>
      <c r="E173" s="47"/>
      <c r="F173" s="47"/>
      <c r="G173" s="47"/>
      <c r="H173" s="47"/>
      <c r="I173" s="47"/>
      <c r="J173" s="47"/>
      <c r="K173" s="47"/>
      <c r="L173" s="47"/>
      <c r="M173" s="47"/>
      <c r="N173" s="43"/>
      <c r="O173" s="73">
        <f>Surfaces_Horti!N12</f>
        <v>0</v>
      </c>
      <c r="P173" s="73">
        <f>Surfaces_Horti!N49</f>
        <v>0</v>
      </c>
      <c r="Q173" s="73">
        <f>Surfaces_Horti!N86</f>
        <v>0</v>
      </c>
      <c r="T173" s="20"/>
    </row>
    <row r="174" spans="2:38" x14ac:dyDescent="0.25">
      <c r="B174" s="19"/>
      <c r="D174" s="48" t="s">
        <v>389</v>
      </c>
      <c r="E174" s="48"/>
      <c r="F174" s="48"/>
      <c r="G174" s="48"/>
      <c r="H174" s="48"/>
      <c r="I174" s="48"/>
      <c r="J174" s="48"/>
      <c r="K174" s="48"/>
      <c r="L174" s="48"/>
      <c r="M174" s="48"/>
      <c r="N174" s="44"/>
      <c r="O174" s="73">
        <f>Surfaces_Horti!N13</f>
        <v>0</v>
      </c>
      <c r="P174" s="73">
        <f>Surfaces_Horti!N50</f>
        <v>0</v>
      </c>
      <c r="Q174" s="73">
        <f>Surfaces_Horti!N87</f>
        <v>0</v>
      </c>
      <c r="T174" s="20"/>
    </row>
    <row r="175" spans="2:38" x14ac:dyDescent="0.25">
      <c r="B175" s="19"/>
      <c r="D175" s="48" t="s">
        <v>405</v>
      </c>
      <c r="E175" s="48"/>
      <c r="F175" s="48"/>
      <c r="G175" s="48"/>
      <c r="H175" s="48"/>
      <c r="I175" s="48"/>
      <c r="J175" s="48"/>
      <c r="K175" s="48"/>
      <c r="L175" s="48"/>
      <c r="M175" s="48"/>
      <c r="N175" s="44"/>
      <c r="O175" s="73">
        <f>Surfaces_Horti!N14</f>
        <v>0</v>
      </c>
      <c r="P175" s="73">
        <f>Surfaces_Horti!N51</f>
        <v>0</v>
      </c>
      <c r="Q175" s="73">
        <f>Surfaces_Horti!N88</f>
        <v>0</v>
      </c>
      <c r="T175" s="20"/>
    </row>
    <row r="176" spans="2:38" x14ac:dyDescent="0.25">
      <c r="B176" s="19"/>
      <c r="D176" s="48" t="s">
        <v>406</v>
      </c>
      <c r="E176" s="48"/>
      <c r="F176" s="48"/>
      <c r="G176" s="48"/>
      <c r="H176" s="48"/>
      <c r="I176" s="48"/>
      <c r="J176" s="48"/>
      <c r="K176" s="48"/>
      <c r="L176" s="48"/>
      <c r="M176" s="48"/>
      <c r="N176" s="44"/>
      <c r="O176" s="73">
        <f>Surfaces_Horti!N15</f>
        <v>0</v>
      </c>
      <c r="P176" s="73">
        <f>Surfaces_Horti!N52</f>
        <v>0</v>
      </c>
      <c r="Q176" s="73">
        <f>Surfaces_Horti!N89</f>
        <v>0</v>
      </c>
      <c r="T176" s="20"/>
    </row>
    <row r="177" spans="2:20" x14ac:dyDescent="0.25">
      <c r="B177" s="19"/>
      <c r="D177" s="48" t="s">
        <v>2824</v>
      </c>
      <c r="E177" s="48"/>
      <c r="F177" s="48"/>
      <c r="G177" s="48"/>
      <c r="H177" s="48"/>
      <c r="I177" s="48"/>
      <c r="J177" s="48"/>
      <c r="K177" s="48"/>
      <c r="L177" s="48"/>
      <c r="M177" s="48"/>
      <c r="N177" s="44"/>
      <c r="O177" s="73">
        <f>Surfaces_Horti!N16</f>
        <v>0</v>
      </c>
      <c r="P177" s="73">
        <f>Surfaces_Horti!N53</f>
        <v>0</v>
      </c>
      <c r="Q177" s="73">
        <f>Surfaces_Horti!N90</f>
        <v>0</v>
      </c>
      <c r="T177" s="20"/>
    </row>
    <row r="178" spans="2:20" x14ac:dyDescent="0.25">
      <c r="B178" s="19"/>
      <c r="D178" s="48" t="s">
        <v>2828</v>
      </c>
      <c r="E178" s="48"/>
      <c r="F178" s="48"/>
      <c r="G178" s="48"/>
      <c r="H178" s="48"/>
      <c r="I178" s="48"/>
      <c r="J178" s="48"/>
      <c r="K178" s="48"/>
      <c r="L178" s="48"/>
      <c r="M178" s="48"/>
      <c r="N178" s="44"/>
      <c r="O178" s="73">
        <f>Surfaces_Horti!N17</f>
        <v>0</v>
      </c>
      <c r="P178" s="73">
        <f>Surfaces_Horti!N54</f>
        <v>0</v>
      </c>
      <c r="Q178" s="73">
        <f>Surfaces_Horti!N91</f>
        <v>0</v>
      </c>
      <c r="T178" s="20"/>
    </row>
    <row r="179" spans="2:20" x14ac:dyDescent="0.25">
      <c r="B179" s="19"/>
      <c r="D179" s="48" t="s">
        <v>2826</v>
      </c>
      <c r="E179" s="48"/>
      <c r="F179" s="48"/>
      <c r="G179" s="48"/>
      <c r="H179" s="48"/>
      <c r="I179" s="48"/>
      <c r="J179" s="48"/>
      <c r="K179" s="48"/>
      <c r="L179" s="48"/>
      <c r="M179" s="48"/>
      <c r="N179" s="44"/>
      <c r="O179" s="73">
        <f>Surfaces_Horti!N18</f>
        <v>0</v>
      </c>
      <c r="P179" s="73">
        <f>Surfaces_Horti!N55</f>
        <v>0</v>
      </c>
      <c r="Q179" s="73">
        <f>Surfaces_Horti!N92</f>
        <v>0</v>
      </c>
      <c r="T179" s="20"/>
    </row>
    <row r="180" spans="2:20" x14ac:dyDescent="0.25">
      <c r="B180" s="19"/>
      <c r="D180" s="48" t="s">
        <v>2827</v>
      </c>
      <c r="E180" s="48"/>
      <c r="F180" s="48"/>
      <c r="G180" s="48"/>
      <c r="H180" s="48"/>
      <c r="I180" s="48"/>
      <c r="J180" s="48"/>
      <c r="K180" s="48"/>
      <c r="L180" s="48"/>
      <c r="M180" s="48"/>
      <c r="N180" s="44"/>
      <c r="O180" s="73">
        <f>Surfaces_Horti!N19</f>
        <v>0</v>
      </c>
      <c r="P180" s="73">
        <f>Surfaces_Horti!N56</f>
        <v>0</v>
      </c>
      <c r="Q180" s="73">
        <f>Surfaces_Horti!N93</f>
        <v>0</v>
      </c>
      <c r="T180" s="20"/>
    </row>
    <row r="181" spans="2:20" x14ac:dyDescent="0.25">
      <c r="B181" s="19"/>
      <c r="C181" s="92" t="s">
        <v>2497</v>
      </c>
      <c r="D181" s="48"/>
      <c r="E181" s="48"/>
      <c r="F181" s="48"/>
      <c r="G181" s="48"/>
      <c r="H181" s="48"/>
      <c r="I181" s="48"/>
      <c r="J181" s="48"/>
      <c r="K181" s="48"/>
      <c r="L181" s="48"/>
      <c r="M181" s="48"/>
      <c r="N181" s="48"/>
      <c r="O181" s="378"/>
      <c r="P181" s="378"/>
      <c r="Q181" s="378"/>
      <c r="T181" s="20"/>
    </row>
    <row r="182" spans="2:20" x14ac:dyDescent="0.25">
      <c r="B182" s="19"/>
      <c r="D182" s="48" t="s">
        <v>401</v>
      </c>
      <c r="E182" s="48"/>
      <c r="F182" s="48"/>
      <c r="G182" s="48"/>
      <c r="H182" s="48"/>
      <c r="I182" s="48"/>
      <c r="J182" s="48"/>
      <c r="K182" s="48"/>
      <c r="L182" s="48"/>
      <c r="M182" s="48"/>
      <c r="N182" s="44"/>
      <c r="O182" s="73">
        <f>Surfaces_Horti!N21</f>
        <v>0</v>
      </c>
      <c r="P182" s="73">
        <f>Surfaces_Horti!N58</f>
        <v>0</v>
      </c>
      <c r="Q182" s="73">
        <f>Surfaces_Horti!N95</f>
        <v>0</v>
      </c>
      <c r="T182" s="20"/>
    </row>
    <row r="183" spans="2:20" x14ac:dyDescent="0.25">
      <c r="B183" s="19"/>
      <c r="D183" s="48" t="s">
        <v>402</v>
      </c>
      <c r="E183" s="48"/>
      <c r="F183" s="48"/>
      <c r="G183" s="48"/>
      <c r="H183" s="48"/>
      <c r="I183" s="48"/>
      <c r="J183" s="48"/>
      <c r="K183" s="48"/>
      <c r="L183" s="48"/>
      <c r="M183" s="48"/>
      <c r="N183" s="44"/>
      <c r="O183" s="73">
        <f>Surfaces_Horti!N22</f>
        <v>0</v>
      </c>
      <c r="P183" s="73">
        <f>Surfaces_Horti!N59</f>
        <v>0</v>
      </c>
      <c r="Q183" s="73">
        <f>Surfaces_Horti!N96</f>
        <v>0</v>
      </c>
      <c r="T183" s="20"/>
    </row>
    <row r="184" spans="2:20" x14ac:dyDescent="0.25">
      <c r="B184" s="19"/>
      <c r="D184" s="48" t="s">
        <v>403</v>
      </c>
      <c r="E184" s="48"/>
      <c r="F184" s="48"/>
      <c r="G184" s="48"/>
      <c r="H184" s="48"/>
      <c r="I184" s="48"/>
      <c r="J184" s="48"/>
      <c r="K184" s="48"/>
      <c r="L184" s="48"/>
      <c r="M184" s="48"/>
      <c r="N184" s="44"/>
      <c r="O184" s="73">
        <f>Surfaces_Horti!N23</f>
        <v>0</v>
      </c>
      <c r="P184" s="73">
        <f>Surfaces_Horti!N60</f>
        <v>0</v>
      </c>
      <c r="Q184" s="73">
        <f>Surfaces_Horti!N97</f>
        <v>0</v>
      </c>
      <c r="T184" s="20"/>
    </row>
    <row r="185" spans="2:20" x14ac:dyDescent="0.25">
      <c r="B185" s="19"/>
      <c r="D185" s="48" t="s">
        <v>389</v>
      </c>
      <c r="E185" s="48"/>
      <c r="F185" s="48"/>
      <c r="G185" s="48"/>
      <c r="H185" s="48"/>
      <c r="I185" s="48"/>
      <c r="J185" s="48"/>
      <c r="K185" s="48"/>
      <c r="L185" s="48"/>
      <c r="M185" s="48"/>
      <c r="N185" s="44"/>
      <c r="O185" s="73">
        <f>Surfaces_Horti!N24</f>
        <v>0</v>
      </c>
      <c r="P185" s="73">
        <f>Surfaces_Horti!N61</f>
        <v>0</v>
      </c>
      <c r="Q185" s="73">
        <f>Surfaces_Horti!N98</f>
        <v>0</v>
      </c>
      <c r="T185" s="20"/>
    </row>
    <row r="186" spans="2:20" x14ac:dyDescent="0.25">
      <c r="B186" s="19"/>
      <c r="D186" s="48" t="s">
        <v>405</v>
      </c>
      <c r="E186" s="48"/>
      <c r="F186" s="48"/>
      <c r="G186" s="48"/>
      <c r="H186" s="48"/>
      <c r="I186" s="48"/>
      <c r="J186" s="48"/>
      <c r="K186" s="48"/>
      <c r="L186" s="48"/>
      <c r="M186" s="48"/>
      <c r="N186" s="44"/>
      <c r="O186" s="73">
        <f>Surfaces_Horti!N25</f>
        <v>0</v>
      </c>
      <c r="P186" s="73">
        <f>Surfaces_Horti!N62</f>
        <v>0</v>
      </c>
      <c r="Q186" s="73">
        <f>Surfaces_Horti!N99</f>
        <v>0</v>
      </c>
      <c r="T186" s="20"/>
    </row>
    <row r="187" spans="2:20" x14ac:dyDescent="0.25">
      <c r="B187" s="19"/>
      <c r="D187" s="48" t="s">
        <v>2824</v>
      </c>
      <c r="E187" s="48"/>
      <c r="F187" s="48"/>
      <c r="G187" s="48"/>
      <c r="H187" s="48"/>
      <c r="I187" s="48"/>
      <c r="J187" s="48"/>
      <c r="K187" s="48"/>
      <c r="L187" s="48"/>
      <c r="M187" s="48"/>
      <c r="N187" s="44"/>
      <c r="O187" s="73">
        <f>Surfaces_Horti!N26</f>
        <v>0</v>
      </c>
      <c r="P187" s="73">
        <f>Surfaces_Horti!N63</f>
        <v>0</v>
      </c>
      <c r="Q187" s="73">
        <f>Surfaces_Horti!N100</f>
        <v>0</v>
      </c>
      <c r="T187" s="20"/>
    </row>
    <row r="188" spans="2:20" x14ac:dyDescent="0.25">
      <c r="B188" s="19"/>
      <c r="D188" s="48" t="s">
        <v>406</v>
      </c>
      <c r="E188" s="48"/>
      <c r="F188" s="48"/>
      <c r="G188" s="48"/>
      <c r="H188" s="48"/>
      <c r="I188" s="48"/>
      <c r="J188" s="48"/>
      <c r="K188" s="48"/>
      <c r="L188" s="48"/>
      <c r="M188" s="48"/>
      <c r="N188" s="44"/>
      <c r="O188" s="73">
        <f>Surfaces_Horti!N27</f>
        <v>0</v>
      </c>
      <c r="P188" s="73">
        <f>Surfaces_Horti!N64</f>
        <v>0</v>
      </c>
      <c r="Q188" s="73">
        <f>Surfaces_Horti!N101</f>
        <v>0</v>
      </c>
      <c r="T188" s="20"/>
    </row>
    <row r="189" spans="2:20" x14ac:dyDescent="0.25">
      <c r="B189" s="19"/>
      <c r="D189" s="48" t="s">
        <v>407</v>
      </c>
      <c r="E189" s="48"/>
      <c r="F189" s="48"/>
      <c r="G189" s="48"/>
      <c r="H189" s="48"/>
      <c r="I189" s="48"/>
      <c r="J189" s="48"/>
      <c r="K189" s="48"/>
      <c r="L189" s="48"/>
      <c r="M189" s="48"/>
      <c r="N189" s="44"/>
      <c r="O189" s="73">
        <f>Surfaces_Horti!N28</f>
        <v>0</v>
      </c>
      <c r="P189" s="73">
        <f>Surfaces_Horti!N65</f>
        <v>0</v>
      </c>
      <c r="Q189" s="73">
        <f>Surfaces_Horti!N102</f>
        <v>0</v>
      </c>
      <c r="T189" s="20"/>
    </row>
    <row r="190" spans="2:20" x14ac:dyDescent="0.25">
      <c r="B190" s="19"/>
      <c r="D190" s="48" t="s">
        <v>408</v>
      </c>
      <c r="E190" s="48"/>
      <c r="F190" s="48"/>
      <c r="G190" s="48"/>
      <c r="H190" s="48"/>
      <c r="I190" s="48"/>
      <c r="J190" s="48"/>
      <c r="K190" s="48"/>
      <c r="L190" s="48"/>
      <c r="M190" s="48"/>
      <c r="N190" s="44"/>
      <c r="O190" s="73">
        <f>Surfaces_Horti!N29</f>
        <v>0</v>
      </c>
      <c r="P190" s="73">
        <f>Surfaces_Horti!N66</f>
        <v>0</v>
      </c>
      <c r="Q190" s="73">
        <f>Surfaces_Horti!N103</f>
        <v>0</v>
      </c>
      <c r="T190" s="20"/>
    </row>
    <row r="191" spans="2:20" x14ac:dyDescent="0.25">
      <c r="B191" s="19"/>
      <c r="D191" s="48" t="s">
        <v>409</v>
      </c>
      <c r="E191" s="48"/>
      <c r="F191" s="48"/>
      <c r="G191" s="48"/>
      <c r="H191" s="48"/>
      <c r="I191" s="48"/>
      <c r="J191" s="48"/>
      <c r="K191" s="48"/>
      <c r="L191" s="48"/>
      <c r="M191" s="48"/>
      <c r="N191" s="44"/>
      <c r="O191" s="73">
        <f>Surfaces_Horti!N30</f>
        <v>0</v>
      </c>
      <c r="P191" s="73">
        <f>Surfaces_Horti!N67</f>
        <v>0</v>
      </c>
      <c r="Q191" s="73">
        <f>Surfaces_Horti!N104</f>
        <v>0</v>
      </c>
      <c r="T191" s="20"/>
    </row>
    <row r="192" spans="2:20" x14ac:dyDescent="0.25">
      <c r="B192" s="19"/>
      <c r="D192" s="48" t="s">
        <v>410</v>
      </c>
      <c r="E192" s="48"/>
      <c r="F192" s="48"/>
      <c r="G192" s="48"/>
      <c r="H192" s="48"/>
      <c r="I192" s="48"/>
      <c r="J192" s="48"/>
      <c r="K192" s="48"/>
      <c r="L192" s="48"/>
      <c r="M192" s="48"/>
      <c r="N192" s="44"/>
      <c r="O192" s="73">
        <f>Surfaces_Horti!N31</f>
        <v>0</v>
      </c>
      <c r="P192" s="73">
        <f>Surfaces_Horti!N68</f>
        <v>0</v>
      </c>
      <c r="Q192" s="73">
        <f>Surfaces_Horti!N105</f>
        <v>0</v>
      </c>
      <c r="T192" s="20"/>
    </row>
    <row r="193" spans="2:20" x14ac:dyDescent="0.25">
      <c r="B193" s="19"/>
      <c r="D193" s="48" t="s">
        <v>411</v>
      </c>
      <c r="E193" s="48"/>
      <c r="F193" s="48"/>
      <c r="G193" s="48"/>
      <c r="H193" s="48"/>
      <c r="I193" s="48"/>
      <c r="J193" s="48"/>
      <c r="K193" s="48"/>
      <c r="L193" s="48"/>
      <c r="M193" s="48"/>
      <c r="N193" s="44"/>
      <c r="O193" s="73">
        <f>Surfaces_Horti!N32</f>
        <v>0</v>
      </c>
      <c r="P193" s="73">
        <f>Surfaces_Horti!N69</f>
        <v>0</v>
      </c>
      <c r="Q193" s="73">
        <f>Surfaces_Horti!N106</f>
        <v>0</v>
      </c>
      <c r="T193" s="20"/>
    </row>
    <row r="194" spans="2:20" x14ac:dyDescent="0.25">
      <c r="B194" s="19"/>
      <c r="D194" s="48" t="s">
        <v>2829</v>
      </c>
      <c r="E194" s="48"/>
      <c r="F194" s="48"/>
      <c r="G194" s="48"/>
      <c r="H194" s="48"/>
      <c r="I194" s="48"/>
      <c r="J194" s="48"/>
      <c r="K194" s="48"/>
      <c r="L194" s="48"/>
      <c r="M194" s="48"/>
      <c r="N194" s="44"/>
      <c r="O194" s="73">
        <f>Surfaces_Horti!N33</f>
        <v>0</v>
      </c>
      <c r="P194" s="73">
        <f>Surfaces_Horti!N70</f>
        <v>0</v>
      </c>
      <c r="Q194" s="73">
        <f>Surfaces_Horti!N107</f>
        <v>0</v>
      </c>
      <c r="T194" s="20"/>
    </row>
    <row r="195" spans="2:20" x14ac:dyDescent="0.25">
      <c r="B195" s="19"/>
      <c r="O195" s="129"/>
      <c r="P195" s="129"/>
      <c r="Q195" s="129"/>
      <c r="T195" s="20"/>
    </row>
    <row r="196" spans="2:20" x14ac:dyDescent="0.25">
      <c r="B196" s="19"/>
      <c r="C196" s="151" t="s">
        <v>2317</v>
      </c>
      <c r="D196" s="151"/>
      <c r="E196" s="151"/>
      <c r="F196" s="151"/>
      <c r="G196" s="151"/>
      <c r="H196" s="151"/>
      <c r="I196" s="151"/>
      <c r="J196" s="151"/>
      <c r="K196" s="151"/>
      <c r="L196" s="151"/>
      <c r="M196" s="151"/>
      <c r="N196" s="162"/>
      <c r="O196" s="73">
        <f>Surfaces_Horti!N41</f>
        <v>0</v>
      </c>
      <c r="P196" s="73">
        <f>Surfaces_Horti!N78</f>
        <v>0</v>
      </c>
      <c r="Q196" s="73">
        <f>Surfaces_Horti!N115</f>
        <v>0</v>
      </c>
      <c r="T196" s="20"/>
    </row>
    <row r="197" spans="2:20" x14ac:dyDescent="0.25">
      <c r="B197" s="19"/>
      <c r="C197" s="163" t="s">
        <v>710</v>
      </c>
      <c r="D197" s="163"/>
      <c r="E197" s="163"/>
      <c r="F197" s="163"/>
      <c r="G197" s="163"/>
      <c r="H197" s="163"/>
      <c r="I197" s="163"/>
      <c r="J197" s="163"/>
      <c r="K197" s="163"/>
      <c r="L197" s="163"/>
      <c r="M197" s="163"/>
      <c r="N197" s="164"/>
      <c r="O197" s="73">
        <f>Surfaces_Horti!N39</f>
        <v>0</v>
      </c>
      <c r="P197" s="73">
        <f>Surfaces_Horti!N76</f>
        <v>0</v>
      </c>
      <c r="Q197" s="73">
        <f>Surfaces_Horti!N113</f>
        <v>0</v>
      </c>
      <c r="T197" s="20"/>
    </row>
    <row r="198" spans="2:20" x14ac:dyDescent="0.25">
      <c r="B198" s="19"/>
      <c r="T198" s="20"/>
    </row>
    <row r="199" spans="2:20" ht="15.75" thickBot="1" x14ac:dyDescent="0.3">
      <c r="B199" s="22"/>
      <c r="C199" s="23"/>
      <c r="D199" s="23"/>
      <c r="E199" s="23"/>
      <c r="F199" s="23"/>
      <c r="G199" s="23"/>
      <c r="H199" s="23"/>
      <c r="I199" s="23"/>
      <c r="J199" s="23"/>
      <c r="K199" s="23"/>
      <c r="L199" s="23"/>
      <c r="M199" s="23"/>
      <c r="N199" s="23"/>
      <c r="O199" s="23"/>
      <c r="P199" s="23"/>
      <c r="Q199" s="23"/>
      <c r="R199" s="23"/>
      <c r="S199" s="23"/>
      <c r="T199" s="24"/>
    </row>
    <row r="202" spans="2:20" ht="15.75" thickBot="1" x14ac:dyDescent="0.3"/>
    <row r="203" spans="2:20" x14ac:dyDescent="0.25">
      <c r="B203" s="8"/>
      <c r="C203" s="9"/>
      <c r="D203" s="9"/>
      <c r="E203" s="9"/>
      <c r="F203" s="9"/>
      <c r="G203" s="9"/>
      <c r="H203" s="9"/>
      <c r="I203" s="9"/>
      <c r="J203" s="9"/>
      <c r="K203" s="9"/>
      <c r="L203" s="9"/>
      <c r="M203" s="9"/>
      <c r="N203" s="9"/>
      <c r="O203" s="9"/>
      <c r="P203" s="9"/>
      <c r="Q203" s="9"/>
      <c r="R203" s="9"/>
      <c r="S203" s="9"/>
      <c r="T203" s="10"/>
    </row>
    <row r="204" spans="2:20" x14ac:dyDescent="0.25">
      <c r="B204" s="11"/>
      <c r="T204" s="12"/>
    </row>
    <row r="205" spans="2:20" x14ac:dyDescent="0.25">
      <c r="B205" s="11"/>
      <c r="C205" s="667"/>
      <c r="D205" s="668"/>
      <c r="E205" s="668"/>
      <c r="F205" s="668"/>
      <c r="G205" s="668"/>
      <c r="H205" s="668"/>
      <c r="I205" s="668"/>
      <c r="J205" s="668"/>
      <c r="K205" s="668"/>
      <c r="L205" s="668"/>
      <c r="M205" s="668"/>
      <c r="N205" s="668"/>
      <c r="O205" s="668"/>
      <c r="P205" s="668"/>
      <c r="Q205" s="668"/>
      <c r="R205" s="668"/>
      <c r="S205" s="669"/>
      <c r="T205" s="12"/>
    </row>
    <row r="206" spans="2:20" x14ac:dyDescent="0.25">
      <c r="B206" s="11"/>
      <c r="C206" s="670"/>
      <c r="D206" s="671"/>
      <c r="E206" s="671"/>
      <c r="F206" s="671"/>
      <c r="G206" s="671"/>
      <c r="H206" s="671"/>
      <c r="I206" s="671"/>
      <c r="J206" s="671"/>
      <c r="K206" s="671"/>
      <c r="L206" s="671"/>
      <c r="M206" s="671"/>
      <c r="N206" s="671"/>
      <c r="O206" s="671"/>
      <c r="P206" s="671"/>
      <c r="Q206" s="671"/>
      <c r="R206" s="671"/>
      <c r="S206" s="672"/>
      <c r="T206" s="12"/>
    </row>
    <row r="207" spans="2:20" x14ac:dyDescent="0.25">
      <c r="B207" s="11"/>
      <c r="C207" s="670"/>
      <c r="D207" s="671"/>
      <c r="E207" s="671"/>
      <c r="F207" s="671"/>
      <c r="G207" s="671"/>
      <c r="H207" s="671"/>
      <c r="I207" s="671"/>
      <c r="J207" s="671"/>
      <c r="K207" s="671"/>
      <c r="L207" s="671"/>
      <c r="M207" s="671"/>
      <c r="N207" s="671"/>
      <c r="O207" s="671"/>
      <c r="P207" s="671"/>
      <c r="Q207" s="671"/>
      <c r="R207" s="671"/>
      <c r="S207" s="672"/>
      <c r="T207" s="12"/>
    </row>
    <row r="208" spans="2:20" x14ac:dyDescent="0.25">
      <c r="B208" s="11"/>
      <c r="C208" s="670"/>
      <c r="D208" s="671"/>
      <c r="E208" s="671"/>
      <c r="F208" s="671"/>
      <c r="G208" s="671"/>
      <c r="H208" s="671"/>
      <c r="I208" s="671"/>
      <c r="J208" s="671"/>
      <c r="K208" s="671"/>
      <c r="L208" s="671"/>
      <c r="M208" s="671"/>
      <c r="N208" s="671"/>
      <c r="O208" s="671"/>
      <c r="P208" s="671"/>
      <c r="Q208" s="671"/>
      <c r="R208" s="671"/>
      <c r="S208" s="672"/>
      <c r="T208" s="12"/>
    </row>
    <row r="209" spans="2:20" x14ac:dyDescent="0.25">
      <c r="B209" s="11"/>
      <c r="C209" s="670"/>
      <c r="D209" s="671"/>
      <c r="E209" s="671"/>
      <c r="F209" s="671"/>
      <c r="G209" s="671"/>
      <c r="H209" s="671"/>
      <c r="I209" s="671"/>
      <c r="J209" s="671"/>
      <c r="K209" s="671"/>
      <c r="L209" s="671"/>
      <c r="M209" s="671"/>
      <c r="N209" s="671"/>
      <c r="O209" s="671"/>
      <c r="P209" s="671"/>
      <c r="Q209" s="671"/>
      <c r="R209" s="671"/>
      <c r="S209" s="672"/>
      <c r="T209" s="12"/>
    </row>
    <row r="210" spans="2:20" x14ac:dyDescent="0.25">
      <c r="B210" s="11"/>
      <c r="C210" s="670"/>
      <c r="D210" s="671"/>
      <c r="E210" s="671"/>
      <c r="F210" s="671"/>
      <c r="G210" s="671"/>
      <c r="H210" s="671"/>
      <c r="I210" s="671"/>
      <c r="J210" s="671"/>
      <c r="K210" s="671"/>
      <c r="L210" s="671"/>
      <c r="M210" s="671"/>
      <c r="N210" s="671"/>
      <c r="O210" s="671"/>
      <c r="P210" s="671"/>
      <c r="Q210" s="671"/>
      <c r="R210" s="671"/>
      <c r="S210" s="672"/>
      <c r="T210" s="12"/>
    </row>
    <row r="211" spans="2:20" x14ac:dyDescent="0.25">
      <c r="B211" s="11"/>
      <c r="C211" s="670"/>
      <c r="D211" s="671"/>
      <c r="E211" s="671"/>
      <c r="F211" s="671"/>
      <c r="G211" s="671"/>
      <c r="H211" s="671"/>
      <c r="I211" s="671"/>
      <c r="J211" s="671"/>
      <c r="K211" s="671"/>
      <c r="L211" s="671"/>
      <c r="M211" s="671"/>
      <c r="N211" s="671"/>
      <c r="O211" s="671"/>
      <c r="P211" s="671"/>
      <c r="Q211" s="671"/>
      <c r="R211" s="671"/>
      <c r="S211" s="672"/>
      <c r="T211" s="12"/>
    </row>
    <row r="212" spans="2:20" x14ac:dyDescent="0.25">
      <c r="B212" s="11"/>
      <c r="C212" s="670"/>
      <c r="D212" s="671"/>
      <c r="E212" s="671"/>
      <c r="F212" s="671"/>
      <c r="G212" s="671"/>
      <c r="H212" s="671"/>
      <c r="I212" s="671"/>
      <c r="J212" s="671"/>
      <c r="K212" s="671"/>
      <c r="L212" s="671"/>
      <c r="M212" s="671"/>
      <c r="N212" s="671"/>
      <c r="O212" s="671"/>
      <c r="P212" s="671"/>
      <c r="Q212" s="671"/>
      <c r="R212" s="671"/>
      <c r="S212" s="672"/>
      <c r="T212" s="12"/>
    </row>
    <row r="213" spans="2:20" x14ac:dyDescent="0.25">
      <c r="B213" s="11"/>
      <c r="C213" s="670"/>
      <c r="D213" s="671"/>
      <c r="E213" s="671"/>
      <c r="F213" s="671"/>
      <c r="G213" s="671"/>
      <c r="H213" s="671"/>
      <c r="I213" s="671"/>
      <c r="J213" s="671"/>
      <c r="K213" s="671"/>
      <c r="L213" s="671"/>
      <c r="M213" s="671"/>
      <c r="N213" s="671"/>
      <c r="O213" s="671"/>
      <c r="P213" s="671"/>
      <c r="Q213" s="671"/>
      <c r="R213" s="671"/>
      <c r="S213" s="672"/>
      <c r="T213" s="12"/>
    </row>
    <row r="214" spans="2:20" x14ac:dyDescent="0.25">
      <c r="B214" s="11"/>
      <c r="C214" s="670"/>
      <c r="D214" s="671"/>
      <c r="E214" s="671"/>
      <c r="F214" s="671"/>
      <c r="G214" s="671"/>
      <c r="H214" s="671"/>
      <c r="I214" s="671"/>
      <c r="J214" s="671"/>
      <c r="K214" s="671"/>
      <c r="L214" s="671"/>
      <c r="M214" s="671"/>
      <c r="N214" s="671"/>
      <c r="O214" s="671"/>
      <c r="P214" s="671"/>
      <c r="Q214" s="671"/>
      <c r="R214" s="671"/>
      <c r="S214" s="672"/>
      <c r="T214" s="12"/>
    </row>
    <row r="215" spans="2:20" x14ac:dyDescent="0.25">
      <c r="B215" s="11"/>
      <c r="C215" s="670"/>
      <c r="D215" s="671"/>
      <c r="E215" s="671"/>
      <c r="F215" s="671"/>
      <c r="G215" s="671"/>
      <c r="H215" s="671"/>
      <c r="I215" s="671"/>
      <c r="J215" s="671"/>
      <c r="K215" s="671"/>
      <c r="L215" s="671"/>
      <c r="M215" s="671"/>
      <c r="N215" s="671"/>
      <c r="O215" s="671"/>
      <c r="P215" s="671"/>
      <c r="Q215" s="671"/>
      <c r="R215" s="671"/>
      <c r="S215" s="672"/>
      <c r="T215" s="12"/>
    </row>
    <row r="216" spans="2:20" x14ac:dyDescent="0.25">
      <c r="B216" s="11"/>
      <c r="C216" s="670"/>
      <c r="D216" s="671"/>
      <c r="E216" s="671"/>
      <c r="F216" s="671"/>
      <c r="G216" s="671"/>
      <c r="H216" s="671"/>
      <c r="I216" s="671"/>
      <c r="J216" s="671"/>
      <c r="K216" s="671"/>
      <c r="L216" s="671"/>
      <c r="M216" s="671"/>
      <c r="N216" s="671"/>
      <c r="O216" s="671"/>
      <c r="P216" s="671"/>
      <c r="Q216" s="671"/>
      <c r="R216" s="671"/>
      <c r="S216" s="672"/>
      <c r="T216" s="12"/>
    </row>
    <row r="217" spans="2:20" x14ac:dyDescent="0.25">
      <c r="B217" s="11"/>
      <c r="C217" s="670"/>
      <c r="D217" s="671"/>
      <c r="E217" s="671"/>
      <c r="F217" s="671"/>
      <c r="G217" s="671"/>
      <c r="H217" s="671"/>
      <c r="I217" s="671"/>
      <c r="J217" s="671"/>
      <c r="K217" s="671"/>
      <c r="L217" s="671"/>
      <c r="M217" s="671"/>
      <c r="N217" s="671"/>
      <c r="O217" s="671"/>
      <c r="P217" s="671"/>
      <c r="Q217" s="671"/>
      <c r="R217" s="671"/>
      <c r="S217" s="672"/>
      <c r="T217" s="12"/>
    </row>
    <row r="218" spans="2:20" x14ac:dyDescent="0.25">
      <c r="B218" s="11"/>
      <c r="C218" s="670"/>
      <c r="D218" s="671"/>
      <c r="E218" s="671"/>
      <c r="F218" s="671"/>
      <c r="G218" s="671"/>
      <c r="H218" s="671"/>
      <c r="I218" s="671"/>
      <c r="J218" s="671"/>
      <c r="K218" s="671"/>
      <c r="L218" s="671"/>
      <c r="M218" s="671"/>
      <c r="N218" s="671"/>
      <c r="O218" s="671"/>
      <c r="P218" s="671"/>
      <c r="Q218" s="671"/>
      <c r="R218" s="671"/>
      <c r="S218" s="672"/>
      <c r="T218" s="12"/>
    </row>
    <row r="219" spans="2:20" x14ac:dyDescent="0.25">
      <c r="B219" s="11"/>
      <c r="C219" s="670"/>
      <c r="D219" s="671"/>
      <c r="E219" s="671"/>
      <c r="F219" s="671"/>
      <c r="G219" s="671"/>
      <c r="H219" s="671"/>
      <c r="I219" s="671"/>
      <c r="J219" s="671"/>
      <c r="K219" s="671"/>
      <c r="L219" s="671"/>
      <c r="M219" s="671"/>
      <c r="N219" s="671"/>
      <c r="O219" s="671"/>
      <c r="P219" s="671"/>
      <c r="Q219" s="671"/>
      <c r="R219" s="671"/>
      <c r="S219" s="672"/>
      <c r="T219" s="12"/>
    </row>
    <row r="220" spans="2:20" x14ac:dyDescent="0.25">
      <c r="B220" s="11"/>
      <c r="C220" s="670"/>
      <c r="D220" s="671"/>
      <c r="E220" s="671"/>
      <c r="F220" s="671"/>
      <c r="G220" s="671"/>
      <c r="H220" s="671"/>
      <c r="I220" s="671"/>
      <c r="J220" s="671"/>
      <c r="K220" s="671"/>
      <c r="L220" s="671"/>
      <c r="M220" s="671"/>
      <c r="N220" s="671"/>
      <c r="O220" s="671"/>
      <c r="P220" s="671"/>
      <c r="Q220" s="671"/>
      <c r="R220" s="671"/>
      <c r="S220" s="672"/>
      <c r="T220" s="12"/>
    </row>
    <row r="221" spans="2:20" x14ac:dyDescent="0.25">
      <c r="B221" s="11"/>
      <c r="C221" s="670"/>
      <c r="D221" s="671"/>
      <c r="E221" s="671"/>
      <c r="F221" s="671"/>
      <c r="G221" s="671"/>
      <c r="H221" s="671"/>
      <c r="I221" s="671"/>
      <c r="J221" s="671"/>
      <c r="K221" s="671"/>
      <c r="L221" s="671"/>
      <c r="M221" s="671"/>
      <c r="N221" s="671"/>
      <c r="O221" s="671"/>
      <c r="P221" s="671"/>
      <c r="Q221" s="671"/>
      <c r="R221" s="671"/>
      <c r="S221" s="672"/>
      <c r="T221" s="12"/>
    </row>
    <row r="222" spans="2:20" x14ac:dyDescent="0.25">
      <c r="B222" s="11"/>
      <c r="C222" s="670"/>
      <c r="D222" s="671"/>
      <c r="E222" s="671"/>
      <c r="F222" s="671"/>
      <c r="G222" s="671"/>
      <c r="H222" s="671"/>
      <c r="I222" s="671"/>
      <c r="J222" s="671"/>
      <c r="K222" s="671"/>
      <c r="L222" s="671"/>
      <c r="M222" s="671"/>
      <c r="N222" s="671"/>
      <c r="O222" s="671"/>
      <c r="P222" s="671"/>
      <c r="Q222" s="671"/>
      <c r="R222" s="671"/>
      <c r="S222" s="672"/>
      <c r="T222" s="12"/>
    </row>
    <row r="223" spans="2:20" x14ac:dyDescent="0.25">
      <c r="B223" s="11"/>
      <c r="C223" s="670"/>
      <c r="D223" s="671"/>
      <c r="E223" s="671"/>
      <c r="F223" s="671"/>
      <c r="G223" s="671"/>
      <c r="H223" s="671"/>
      <c r="I223" s="671"/>
      <c r="J223" s="671"/>
      <c r="K223" s="671"/>
      <c r="L223" s="671"/>
      <c r="M223" s="671"/>
      <c r="N223" s="671"/>
      <c r="O223" s="671"/>
      <c r="P223" s="671"/>
      <c r="Q223" s="671"/>
      <c r="R223" s="671"/>
      <c r="S223" s="672"/>
      <c r="T223" s="12"/>
    </row>
    <row r="224" spans="2:20" x14ac:dyDescent="0.25">
      <c r="B224" s="11"/>
      <c r="C224" s="673"/>
      <c r="D224" s="674"/>
      <c r="E224" s="674"/>
      <c r="F224" s="674"/>
      <c r="G224" s="674"/>
      <c r="H224" s="674"/>
      <c r="I224" s="674"/>
      <c r="J224" s="674"/>
      <c r="K224" s="674"/>
      <c r="L224" s="674"/>
      <c r="M224" s="674"/>
      <c r="N224" s="674"/>
      <c r="O224" s="674"/>
      <c r="P224" s="674"/>
      <c r="Q224" s="674"/>
      <c r="R224" s="674"/>
      <c r="S224" s="675"/>
      <c r="T224" s="12"/>
    </row>
    <row r="225" spans="2:20" x14ac:dyDescent="0.25">
      <c r="B225" s="11"/>
      <c r="T225" s="12"/>
    </row>
    <row r="226" spans="2:20" ht="15.75" thickBot="1" x14ac:dyDescent="0.3">
      <c r="B226" s="13"/>
      <c r="C226" s="14"/>
      <c r="D226" s="14"/>
      <c r="E226" s="14"/>
      <c r="F226" s="14"/>
      <c r="G226" s="14"/>
      <c r="H226" s="14"/>
      <c r="I226" s="14"/>
      <c r="J226" s="14"/>
      <c r="K226" s="14"/>
      <c r="L226" s="14"/>
      <c r="M226" s="14"/>
      <c r="N226" s="14"/>
      <c r="O226" s="14"/>
      <c r="P226" s="14"/>
      <c r="Q226" s="14"/>
      <c r="R226" s="14"/>
      <c r="S226" s="14"/>
      <c r="T226" s="15"/>
    </row>
  </sheetData>
  <sheetProtection algorithmName="SHA-512" hashValue="6A16/Mye/9lgve8QQGgptxLw4/17XuQwluqKMWT+EcwB7tFDDeW61bwzKdeSu53/fr8Jg6WrpK6yK2j4fBZDug==" saltValue="RnPzN1O9DpL0TlIjN8JQnA==" spinCount="100000" sheet="1" scenarios="1"/>
  <mergeCells count="43">
    <mergeCell ref="C13:S14"/>
    <mergeCell ref="C205:S224"/>
    <mergeCell ref="V1:W1"/>
    <mergeCell ref="C75:M75"/>
    <mergeCell ref="C22:M22"/>
    <mergeCell ref="C26:M26"/>
    <mergeCell ref="C24:M24"/>
    <mergeCell ref="C44:M44"/>
    <mergeCell ref="C49:M49"/>
    <mergeCell ref="C35:M35"/>
    <mergeCell ref="C85:M85"/>
    <mergeCell ref="C92:M92"/>
    <mergeCell ref="C99:M99"/>
    <mergeCell ref="C107:M107"/>
    <mergeCell ref="E149:G149"/>
    <mergeCell ref="E148:G148"/>
    <mergeCell ref="E147:G147"/>
    <mergeCell ref="E154:G154"/>
    <mergeCell ref="E153:G153"/>
    <mergeCell ref="E152:G152"/>
    <mergeCell ref="E151:G151"/>
    <mergeCell ref="E150:G150"/>
    <mergeCell ref="O170:Q171"/>
    <mergeCell ref="C113:M113"/>
    <mergeCell ref="O20:Q20"/>
    <mergeCell ref="O73:Q73"/>
    <mergeCell ref="C131:M131"/>
    <mergeCell ref="C139:M139"/>
    <mergeCell ref="E146:G146"/>
    <mergeCell ref="E145:G145"/>
    <mergeCell ref="C123:R124"/>
    <mergeCell ref="C126:M126"/>
    <mergeCell ref="L164:M164"/>
    <mergeCell ref="E144:G144"/>
    <mergeCell ref="E158:G158"/>
    <mergeCell ref="E157:G157"/>
    <mergeCell ref="E156:G156"/>
    <mergeCell ref="E155:G155"/>
    <mergeCell ref="AJ141:AK141"/>
    <mergeCell ref="AH141:AI141"/>
    <mergeCell ref="AE141:AF141"/>
    <mergeCell ref="AC141:AD141"/>
    <mergeCell ref="AH139:AK139"/>
  </mergeCells>
  <phoneticPr fontId="15" type="noConversion"/>
  <dataValidations count="1">
    <dataValidation type="list" allowBlank="1" showInputMessage="1" showErrorMessage="1" sqref="E144:G158">
      <formula1>lstCultureFruits</formula1>
    </dataValidation>
  </dataValidations>
  <pageMargins left="0.7" right="0.7" top="0.75" bottom="0.75" header="0.3" footer="0.3"/>
  <pageSetup paperSize="9"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7" tint="0.39997558519241921"/>
  </sheetPr>
  <dimension ref="A1:O214"/>
  <sheetViews>
    <sheetView zoomScaleNormal="100" workbookViewId="0">
      <selection activeCell="B23" sqref="B23"/>
    </sheetView>
  </sheetViews>
  <sheetFormatPr baseColWidth="10" defaultColWidth="11.42578125" defaultRowHeight="15" x14ac:dyDescent="0.25"/>
  <cols>
    <col min="1" max="1" width="55" style="471" customWidth="1"/>
    <col min="2" max="13" width="8.7109375" style="477" customWidth="1"/>
    <col min="14" max="14" width="9.7109375" style="477" customWidth="1"/>
    <col min="15" max="15" width="66.7109375" style="423" customWidth="1"/>
    <col min="16" max="16384" width="11.42578125" style="423"/>
  </cols>
  <sheetData>
    <row r="1" spans="1:15" x14ac:dyDescent="0.25">
      <c r="A1" s="26"/>
      <c r="B1" s="26"/>
      <c r="C1" s="26"/>
      <c r="D1" s="26"/>
      <c r="E1" s="26"/>
      <c r="F1" s="26"/>
      <c r="G1" s="26"/>
      <c r="H1" s="26"/>
      <c r="I1" s="26"/>
      <c r="J1" s="26"/>
      <c r="K1" s="26"/>
      <c r="L1" s="26"/>
      <c r="M1" s="26"/>
      <c r="N1" s="676" t="str">
        <f>Accueil!I6</f>
        <v>Version 1.11</v>
      </c>
      <c r="O1" s="676"/>
    </row>
    <row r="2" spans="1:15" x14ac:dyDescent="0.25">
      <c r="A2" s="26"/>
      <c r="B2" s="26"/>
      <c r="C2" s="26"/>
      <c r="D2" s="26"/>
      <c r="E2" s="26"/>
      <c r="F2" s="26"/>
      <c r="G2" s="26"/>
      <c r="H2" s="26"/>
      <c r="I2" s="26"/>
      <c r="J2" s="26"/>
      <c r="K2" s="26"/>
      <c r="L2" s="26"/>
      <c r="M2" s="26"/>
      <c r="N2" s="26"/>
      <c r="O2" s="26"/>
    </row>
    <row r="3" spans="1:15" x14ac:dyDescent="0.25">
      <c r="A3" s="26"/>
      <c r="B3" s="26"/>
      <c r="C3" s="26"/>
      <c r="D3" s="26"/>
      <c r="E3" s="26"/>
      <c r="F3" s="26"/>
      <c r="G3" s="26"/>
      <c r="H3" s="26"/>
      <c r="I3" s="26"/>
      <c r="J3" s="26"/>
      <c r="K3" s="26"/>
      <c r="L3" s="26"/>
      <c r="M3" s="26"/>
      <c r="N3" s="26"/>
      <c r="O3" s="26"/>
    </row>
    <row r="4" spans="1:15" x14ac:dyDescent="0.25">
      <c r="A4" s="26"/>
      <c r="B4" s="26"/>
      <c r="C4" s="26"/>
      <c r="D4" s="26"/>
      <c r="E4" s="26"/>
      <c r="F4" s="26"/>
      <c r="G4" s="26"/>
      <c r="H4" s="26"/>
      <c r="I4" s="26"/>
      <c r="J4" s="26"/>
      <c r="K4" s="26"/>
      <c r="L4" s="26"/>
      <c r="M4" s="26"/>
      <c r="N4" s="26"/>
      <c r="O4" s="26"/>
    </row>
    <row r="5" spans="1:15" x14ac:dyDescent="0.25">
      <c r="A5" s="26"/>
      <c r="B5" s="26"/>
      <c r="C5" s="26"/>
      <c r="D5" s="26"/>
      <c r="E5" s="26"/>
      <c r="F5" s="26"/>
      <c r="G5" s="26"/>
      <c r="H5" s="26"/>
      <c r="I5" s="26"/>
      <c r="J5" s="26"/>
      <c r="K5" s="26"/>
      <c r="L5" s="26"/>
      <c r="M5" s="26"/>
      <c r="N5" s="26"/>
      <c r="O5" s="26"/>
    </row>
    <row r="6" spans="1:15" x14ac:dyDescent="0.25">
      <c r="B6" s="471"/>
      <c r="C6" s="471"/>
      <c r="D6" s="471"/>
      <c r="E6" s="471"/>
      <c r="F6" s="471"/>
      <c r="G6" s="471"/>
      <c r="H6" s="471"/>
      <c r="I6" s="471"/>
      <c r="J6" s="471"/>
      <c r="K6" s="471"/>
      <c r="L6" s="471"/>
      <c r="M6" s="471"/>
      <c r="N6" s="471"/>
    </row>
    <row r="7" spans="1:15" x14ac:dyDescent="0.25">
      <c r="A7" s="488" t="str">
        <f>("Calcul de l'assolement de la SAU en horticulture - pépinière lors de la campagne évaluée ("&amp;Surfaces!O172&amp;")")</f>
        <v>Calcul de l'assolement de la SAU en horticulture - pépinière lors de la campagne évaluée (N)</v>
      </c>
      <c r="B7" s="489"/>
      <c r="C7" s="489"/>
      <c r="D7" s="489"/>
      <c r="E7" s="489"/>
      <c r="F7" s="489"/>
      <c r="G7" s="489"/>
      <c r="H7" s="489"/>
      <c r="I7" s="490"/>
      <c r="J7" s="489"/>
      <c r="K7" s="489"/>
      <c r="L7" s="489"/>
      <c r="M7" s="489"/>
      <c r="N7" s="489"/>
      <c r="O7" s="489"/>
    </row>
    <row r="8" spans="1:15" x14ac:dyDescent="0.25">
      <c r="A8" s="470" t="str">
        <f>"Saisir la surface cultivée pour chaque plante et la surface non cultivée chaque mois de la campagne "&amp;Surfaces!O172&amp;" (zone B6 à M30)."</f>
        <v>Saisir la surface cultivée pour chaque plante et la surface non cultivée chaque mois de la campagne N (zone B6 à M30).</v>
      </c>
      <c r="B8" s="423"/>
      <c r="C8" s="423"/>
      <c r="D8" s="423"/>
      <c r="E8" s="423"/>
      <c r="F8" s="423"/>
      <c r="G8" s="423"/>
      <c r="H8" s="423"/>
      <c r="I8" s="423"/>
      <c r="J8" s="423"/>
      <c r="K8" s="423"/>
      <c r="L8" s="423"/>
      <c r="M8" s="423"/>
      <c r="N8" s="423"/>
    </row>
    <row r="9" spans="1:15" x14ac:dyDescent="0.25">
      <c r="B9" s="471"/>
      <c r="C9" s="471"/>
      <c r="D9" s="471"/>
      <c r="E9" s="471"/>
      <c r="F9" s="471"/>
      <c r="G9" s="471"/>
      <c r="H9" s="471"/>
      <c r="I9" s="471"/>
      <c r="J9" s="471"/>
      <c r="K9" s="471"/>
      <c r="L9" s="471"/>
      <c r="M9" s="471"/>
      <c r="N9" s="471"/>
    </row>
    <row r="10" spans="1:15" x14ac:dyDescent="0.25">
      <c r="A10" s="472"/>
      <c r="B10" s="478">
        <v>1</v>
      </c>
      <c r="C10" s="478">
        <v>2</v>
      </c>
      <c r="D10" s="478">
        <v>3</v>
      </c>
      <c r="E10" s="478">
        <v>4</v>
      </c>
      <c r="F10" s="478">
        <v>5</v>
      </c>
      <c r="G10" s="478">
        <v>6</v>
      </c>
      <c r="H10" s="478">
        <v>7</v>
      </c>
      <c r="I10" s="478">
        <v>8</v>
      </c>
      <c r="J10" s="478">
        <v>9</v>
      </c>
      <c r="K10" s="478">
        <v>10</v>
      </c>
      <c r="L10" s="478">
        <v>11</v>
      </c>
      <c r="M10" s="478">
        <v>12</v>
      </c>
      <c r="O10" s="475" t="s">
        <v>2845</v>
      </c>
    </row>
    <row r="11" spans="1:15" x14ac:dyDescent="0.25">
      <c r="A11" s="473" t="s">
        <v>2837</v>
      </c>
      <c r="B11" s="469"/>
      <c r="C11" s="469"/>
      <c r="D11" s="469"/>
      <c r="E11" s="469"/>
      <c r="F11" s="469"/>
      <c r="G11" s="469"/>
      <c r="H11" s="469"/>
      <c r="I11" s="469"/>
      <c r="J11" s="469"/>
      <c r="K11" s="469"/>
      <c r="L11" s="469"/>
      <c r="M11" s="469"/>
      <c r="N11" s="104" t="s">
        <v>2839</v>
      </c>
    </row>
    <row r="12" spans="1:15" x14ac:dyDescent="0.25">
      <c r="A12" s="423" t="s">
        <v>2825</v>
      </c>
      <c r="B12" s="391"/>
      <c r="C12" s="391"/>
      <c r="D12" s="391"/>
      <c r="E12" s="391"/>
      <c r="F12" s="391"/>
      <c r="G12" s="391"/>
      <c r="H12" s="391"/>
      <c r="I12" s="391"/>
      <c r="J12" s="391"/>
      <c r="K12" s="391"/>
      <c r="L12" s="391"/>
      <c r="M12" s="391"/>
      <c r="N12" s="73">
        <f>SUM(B12:M12)/12</f>
        <v>0</v>
      </c>
    </row>
    <row r="13" spans="1:15" x14ac:dyDescent="0.25">
      <c r="A13" s="423" t="s">
        <v>389</v>
      </c>
      <c r="B13" s="391"/>
      <c r="C13" s="391"/>
      <c r="D13" s="391"/>
      <c r="E13" s="391"/>
      <c r="F13" s="391"/>
      <c r="G13" s="391"/>
      <c r="H13" s="391"/>
      <c r="I13" s="391"/>
      <c r="J13" s="391"/>
      <c r="K13" s="391"/>
      <c r="L13" s="391"/>
      <c r="M13" s="391"/>
      <c r="N13" s="73">
        <f t="shared" ref="N13:N19" si="0">SUM(B13:M13)/12</f>
        <v>0</v>
      </c>
    </row>
    <row r="14" spans="1:15" x14ac:dyDescent="0.25">
      <c r="A14" s="423" t="s">
        <v>405</v>
      </c>
      <c r="B14" s="391"/>
      <c r="C14" s="391"/>
      <c r="D14" s="391"/>
      <c r="E14" s="391"/>
      <c r="F14" s="391"/>
      <c r="G14" s="391"/>
      <c r="H14" s="391"/>
      <c r="I14" s="391"/>
      <c r="J14" s="391"/>
      <c r="K14" s="391"/>
      <c r="L14" s="391"/>
      <c r="M14" s="391"/>
      <c r="N14" s="73">
        <f t="shared" si="0"/>
        <v>0</v>
      </c>
    </row>
    <row r="15" spans="1:15" x14ac:dyDescent="0.25">
      <c r="A15" s="423" t="s">
        <v>406</v>
      </c>
      <c r="B15" s="391"/>
      <c r="C15" s="391"/>
      <c r="D15" s="391"/>
      <c r="E15" s="391"/>
      <c r="F15" s="391"/>
      <c r="G15" s="391"/>
      <c r="H15" s="391"/>
      <c r="I15" s="391"/>
      <c r="J15" s="391"/>
      <c r="K15" s="391"/>
      <c r="L15" s="391"/>
      <c r="M15" s="391"/>
      <c r="N15" s="73">
        <f t="shared" si="0"/>
        <v>0</v>
      </c>
    </row>
    <row r="16" spans="1:15" x14ac:dyDescent="0.25">
      <c r="A16" s="423" t="s">
        <v>2824</v>
      </c>
      <c r="B16" s="391"/>
      <c r="C16" s="391"/>
      <c r="D16" s="391"/>
      <c r="E16" s="391"/>
      <c r="F16" s="391"/>
      <c r="G16" s="391"/>
      <c r="H16" s="391"/>
      <c r="I16" s="391"/>
      <c r="J16" s="391"/>
      <c r="K16" s="391"/>
      <c r="L16" s="391"/>
      <c r="M16" s="391"/>
      <c r="N16" s="73">
        <f t="shared" si="0"/>
        <v>0</v>
      </c>
    </row>
    <row r="17" spans="1:14" x14ac:dyDescent="0.25">
      <c r="A17" s="423" t="s">
        <v>2828</v>
      </c>
      <c r="B17" s="391"/>
      <c r="C17" s="391"/>
      <c r="D17" s="391"/>
      <c r="E17" s="391"/>
      <c r="F17" s="391"/>
      <c r="G17" s="391"/>
      <c r="H17" s="391"/>
      <c r="I17" s="391"/>
      <c r="J17" s="391"/>
      <c r="K17" s="391"/>
      <c r="L17" s="391"/>
      <c r="M17" s="391"/>
      <c r="N17" s="73">
        <f t="shared" si="0"/>
        <v>0</v>
      </c>
    </row>
    <row r="18" spans="1:14" x14ac:dyDescent="0.25">
      <c r="A18" s="423" t="s">
        <v>2826</v>
      </c>
      <c r="B18" s="391"/>
      <c r="C18" s="391"/>
      <c r="D18" s="391"/>
      <c r="E18" s="391"/>
      <c r="F18" s="391"/>
      <c r="G18" s="391"/>
      <c r="H18" s="391"/>
      <c r="I18" s="391"/>
      <c r="J18" s="391"/>
      <c r="K18" s="391"/>
      <c r="L18" s="391"/>
      <c r="M18" s="391"/>
      <c r="N18" s="73">
        <f t="shared" si="0"/>
        <v>0</v>
      </c>
    </row>
    <row r="19" spans="1:14" x14ac:dyDescent="0.25">
      <c r="A19" s="423" t="s">
        <v>2827</v>
      </c>
      <c r="B19" s="391"/>
      <c r="C19" s="391"/>
      <c r="D19" s="391"/>
      <c r="E19" s="391"/>
      <c r="F19" s="391"/>
      <c r="G19" s="391"/>
      <c r="H19" s="391"/>
      <c r="I19" s="391"/>
      <c r="J19" s="391"/>
      <c r="K19" s="391"/>
      <c r="L19" s="391"/>
      <c r="M19" s="391"/>
      <c r="N19" s="73">
        <f t="shared" si="0"/>
        <v>0</v>
      </c>
    </row>
    <row r="20" spans="1:14" x14ac:dyDescent="0.25">
      <c r="A20" s="473" t="s">
        <v>2838</v>
      </c>
      <c r="B20" s="476"/>
      <c r="C20" s="476"/>
      <c r="D20" s="476"/>
      <c r="E20" s="476"/>
      <c r="F20" s="476"/>
      <c r="G20" s="476"/>
      <c r="H20" s="476"/>
      <c r="I20" s="476"/>
      <c r="J20" s="476"/>
      <c r="K20" s="476"/>
      <c r="L20" s="476"/>
      <c r="M20" s="476"/>
    </row>
    <row r="21" spans="1:14" x14ac:dyDescent="0.25">
      <c r="A21" s="423" t="s">
        <v>401</v>
      </c>
      <c r="B21" s="391"/>
      <c r="C21" s="391"/>
      <c r="D21" s="391"/>
      <c r="E21" s="391"/>
      <c r="F21" s="391"/>
      <c r="G21" s="391"/>
      <c r="H21" s="391"/>
      <c r="I21" s="391"/>
      <c r="J21" s="391"/>
      <c r="K21" s="391"/>
      <c r="L21" s="391"/>
      <c r="M21" s="391"/>
      <c r="N21" s="73">
        <f>SUM(B21:M21)/12</f>
        <v>0</v>
      </c>
    </row>
    <row r="22" spans="1:14" x14ac:dyDescent="0.25">
      <c r="A22" s="423" t="s">
        <v>402</v>
      </c>
      <c r="B22" s="391"/>
      <c r="C22" s="391"/>
      <c r="D22" s="391"/>
      <c r="E22" s="391"/>
      <c r="F22" s="391"/>
      <c r="G22" s="391"/>
      <c r="H22" s="391"/>
      <c r="I22" s="391"/>
      <c r="J22" s="391"/>
      <c r="K22" s="391"/>
      <c r="L22" s="391"/>
      <c r="M22" s="391"/>
      <c r="N22" s="73">
        <f t="shared" ref="N22:N32" si="1">SUM(B22:M22)/12</f>
        <v>0</v>
      </c>
    </row>
    <row r="23" spans="1:14" x14ac:dyDescent="0.25">
      <c r="A23" s="423" t="s">
        <v>403</v>
      </c>
      <c r="B23" s="391"/>
      <c r="C23" s="391"/>
      <c r="D23" s="391"/>
      <c r="E23" s="391"/>
      <c r="F23" s="391"/>
      <c r="G23" s="391"/>
      <c r="H23" s="391"/>
      <c r="I23" s="391"/>
      <c r="J23" s="391"/>
      <c r="K23" s="391"/>
      <c r="L23" s="391"/>
      <c r="M23" s="391"/>
      <c r="N23" s="73">
        <f t="shared" si="1"/>
        <v>0</v>
      </c>
    </row>
    <row r="24" spans="1:14" x14ac:dyDescent="0.25">
      <c r="A24" s="423" t="s">
        <v>389</v>
      </c>
      <c r="B24" s="391"/>
      <c r="C24" s="391"/>
      <c r="D24" s="391"/>
      <c r="E24" s="391"/>
      <c r="F24" s="391"/>
      <c r="G24" s="391"/>
      <c r="H24" s="391"/>
      <c r="I24" s="391"/>
      <c r="J24" s="391"/>
      <c r="K24" s="391"/>
      <c r="L24" s="391"/>
      <c r="M24" s="391"/>
      <c r="N24" s="73">
        <f t="shared" si="1"/>
        <v>0</v>
      </c>
    </row>
    <row r="25" spans="1:14" x14ac:dyDescent="0.25">
      <c r="A25" s="423" t="s">
        <v>405</v>
      </c>
      <c r="B25" s="391"/>
      <c r="C25" s="391"/>
      <c r="D25" s="391"/>
      <c r="E25" s="391"/>
      <c r="F25" s="391"/>
      <c r="G25" s="391"/>
      <c r="H25" s="391"/>
      <c r="I25" s="391"/>
      <c r="J25" s="391"/>
      <c r="K25" s="391"/>
      <c r="L25" s="391"/>
      <c r="M25" s="391"/>
      <c r="N25" s="73">
        <f t="shared" si="1"/>
        <v>0</v>
      </c>
    </row>
    <row r="26" spans="1:14" x14ac:dyDescent="0.25">
      <c r="A26" s="423" t="s">
        <v>2824</v>
      </c>
      <c r="B26" s="391"/>
      <c r="C26" s="391"/>
      <c r="D26" s="391"/>
      <c r="E26" s="391"/>
      <c r="F26" s="391"/>
      <c r="G26" s="391"/>
      <c r="H26" s="391"/>
      <c r="I26" s="391"/>
      <c r="J26" s="391"/>
      <c r="K26" s="391"/>
      <c r="L26" s="391"/>
      <c r="M26" s="391"/>
      <c r="N26" s="73">
        <f t="shared" si="1"/>
        <v>0</v>
      </c>
    </row>
    <row r="27" spans="1:14" x14ac:dyDescent="0.25">
      <c r="A27" s="423" t="s">
        <v>406</v>
      </c>
      <c r="B27" s="391"/>
      <c r="C27" s="391"/>
      <c r="D27" s="391"/>
      <c r="E27" s="391"/>
      <c r="F27" s="391"/>
      <c r="G27" s="391"/>
      <c r="H27" s="391"/>
      <c r="I27" s="391"/>
      <c r="J27" s="391"/>
      <c r="K27" s="391"/>
      <c r="L27" s="391"/>
      <c r="M27" s="391"/>
      <c r="N27" s="73">
        <f t="shared" si="1"/>
        <v>0</v>
      </c>
    </row>
    <row r="28" spans="1:14" x14ac:dyDescent="0.25">
      <c r="A28" s="423" t="s">
        <v>407</v>
      </c>
      <c r="B28" s="391"/>
      <c r="C28" s="391"/>
      <c r="D28" s="391"/>
      <c r="E28" s="391"/>
      <c r="F28" s="391"/>
      <c r="G28" s="391"/>
      <c r="H28" s="391"/>
      <c r="I28" s="391"/>
      <c r="J28" s="391"/>
      <c r="K28" s="391"/>
      <c r="L28" s="391"/>
      <c r="M28" s="391"/>
      <c r="N28" s="73">
        <f t="shared" si="1"/>
        <v>0</v>
      </c>
    </row>
    <row r="29" spans="1:14" x14ac:dyDescent="0.25">
      <c r="A29" s="423" t="s">
        <v>408</v>
      </c>
      <c r="B29" s="391"/>
      <c r="C29" s="391"/>
      <c r="D29" s="391"/>
      <c r="E29" s="391"/>
      <c r="F29" s="391"/>
      <c r="G29" s="391"/>
      <c r="H29" s="391"/>
      <c r="I29" s="391"/>
      <c r="J29" s="391"/>
      <c r="K29" s="391"/>
      <c r="L29" s="391"/>
      <c r="M29" s="391"/>
      <c r="N29" s="73">
        <f t="shared" si="1"/>
        <v>0</v>
      </c>
    </row>
    <row r="30" spans="1:14" x14ac:dyDescent="0.25">
      <c r="A30" s="423" t="s">
        <v>409</v>
      </c>
      <c r="B30" s="391"/>
      <c r="C30" s="391"/>
      <c r="D30" s="391"/>
      <c r="E30" s="391"/>
      <c r="F30" s="391"/>
      <c r="G30" s="391"/>
      <c r="H30" s="391"/>
      <c r="I30" s="391"/>
      <c r="J30" s="391"/>
      <c r="K30" s="391"/>
      <c r="L30" s="391"/>
      <c r="M30" s="391"/>
      <c r="N30" s="73">
        <f t="shared" si="1"/>
        <v>0</v>
      </c>
    </row>
    <row r="31" spans="1:14" x14ac:dyDescent="0.25">
      <c r="A31" s="423" t="s">
        <v>410</v>
      </c>
      <c r="B31" s="391"/>
      <c r="C31" s="391"/>
      <c r="D31" s="391"/>
      <c r="E31" s="391"/>
      <c r="F31" s="391"/>
      <c r="G31" s="391"/>
      <c r="H31" s="391"/>
      <c r="I31" s="391"/>
      <c r="J31" s="391"/>
      <c r="K31" s="391"/>
      <c r="L31" s="391"/>
      <c r="M31" s="391"/>
      <c r="N31" s="73">
        <f t="shared" si="1"/>
        <v>0</v>
      </c>
    </row>
    <row r="32" spans="1:14" x14ac:dyDescent="0.25">
      <c r="A32" s="423" t="s">
        <v>411</v>
      </c>
      <c r="B32" s="391"/>
      <c r="C32" s="391"/>
      <c r="D32" s="391"/>
      <c r="E32" s="391"/>
      <c r="F32" s="391"/>
      <c r="G32" s="391"/>
      <c r="H32" s="391"/>
      <c r="I32" s="391"/>
      <c r="J32" s="391"/>
      <c r="K32" s="391"/>
      <c r="L32" s="391"/>
      <c r="M32" s="391"/>
      <c r="N32" s="73">
        <f t="shared" si="1"/>
        <v>0</v>
      </c>
    </row>
    <row r="33" spans="1:15" x14ac:dyDescent="0.25">
      <c r="A33" s="423" t="s">
        <v>2829</v>
      </c>
      <c r="B33" s="391"/>
      <c r="C33" s="391"/>
      <c r="D33" s="391"/>
      <c r="E33" s="391"/>
      <c r="F33" s="391"/>
      <c r="G33" s="391"/>
      <c r="H33" s="391"/>
      <c r="I33" s="391"/>
      <c r="J33" s="391"/>
      <c r="K33" s="391"/>
      <c r="L33" s="391"/>
      <c r="M33" s="391"/>
      <c r="N33" s="73">
        <f>SUM(B33:M33)/12</f>
        <v>0</v>
      </c>
    </row>
    <row r="34" spans="1:15" x14ac:dyDescent="0.25">
      <c r="A34" s="473" t="s">
        <v>2843</v>
      </c>
      <c r="B34" s="476"/>
      <c r="C34" s="476"/>
      <c r="D34" s="476"/>
      <c r="E34" s="476"/>
      <c r="F34" s="476"/>
      <c r="G34" s="476"/>
      <c r="H34" s="476"/>
      <c r="I34" s="476"/>
      <c r="J34" s="476"/>
      <c r="K34" s="476"/>
      <c r="L34" s="476"/>
      <c r="M34" s="476"/>
    </row>
    <row r="35" spans="1:15" x14ac:dyDescent="0.25">
      <c r="A35" s="423" t="s">
        <v>2854</v>
      </c>
      <c r="B35" s="391"/>
      <c r="C35" s="391"/>
      <c r="D35" s="391"/>
      <c r="E35" s="391"/>
      <c r="F35" s="391"/>
      <c r="G35" s="391"/>
      <c r="H35" s="391"/>
      <c r="I35" s="391"/>
      <c r="J35" s="391"/>
      <c r="K35" s="391"/>
      <c r="L35" s="391"/>
      <c r="M35" s="391"/>
      <c r="N35" s="73">
        <f t="shared" ref="N35:N40" si="2">SUM(B35:M35)/12</f>
        <v>0</v>
      </c>
    </row>
    <row r="36" spans="1:15" x14ac:dyDescent="0.25">
      <c r="A36" s="423" t="s">
        <v>2853</v>
      </c>
      <c r="B36" s="391"/>
      <c r="C36" s="391"/>
      <c r="D36" s="391"/>
      <c r="E36" s="391"/>
      <c r="F36" s="391"/>
      <c r="G36" s="391"/>
      <c r="H36" s="391"/>
      <c r="I36" s="391"/>
      <c r="J36" s="391"/>
      <c r="K36" s="391"/>
      <c r="L36" s="391"/>
      <c r="M36" s="391"/>
      <c r="N36" s="73">
        <f t="shared" si="2"/>
        <v>0</v>
      </c>
    </row>
    <row r="37" spans="1:15" x14ac:dyDescent="0.25">
      <c r="A37" s="474"/>
      <c r="N37" s="580"/>
      <c r="O37" s="580"/>
    </row>
    <row r="38" spans="1:15" x14ac:dyDescent="0.25">
      <c r="A38" s="479" t="s">
        <v>2835</v>
      </c>
      <c r="B38" s="485">
        <f t="shared" ref="B38:M38" si="3">SUM(B12:B33)</f>
        <v>0</v>
      </c>
      <c r="C38" s="485">
        <f t="shared" si="3"/>
        <v>0</v>
      </c>
      <c r="D38" s="485">
        <f t="shared" si="3"/>
        <v>0</v>
      </c>
      <c r="E38" s="485">
        <f t="shared" si="3"/>
        <v>0</v>
      </c>
      <c r="F38" s="485">
        <f t="shared" si="3"/>
        <v>0</v>
      </c>
      <c r="G38" s="485">
        <f t="shared" si="3"/>
        <v>0</v>
      </c>
      <c r="H38" s="485">
        <f t="shared" si="3"/>
        <v>0</v>
      </c>
      <c r="I38" s="485">
        <f t="shared" si="3"/>
        <v>0</v>
      </c>
      <c r="J38" s="485">
        <f t="shared" si="3"/>
        <v>0</v>
      </c>
      <c r="K38" s="485">
        <f t="shared" si="3"/>
        <v>0</v>
      </c>
      <c r="L38" s="485">
        <f t="shared" si="3"/>
        <v>0</v>
      </c>
      <c r="M38" s="485">
        <f t="shared" si="3"/>
        <v>0</v>
      </c>
      <c r="N38" s="485">
        <f t="shared" si="2"/>
        <v>0</v>
      </c>
      <c r="O38" s="484"/>
    </row>
    <row r="39" spans="1:15" ht="45" x14ac:dyDescent="0.25">
      <c r="A39" s="472" t="str">
        <f>("SAU totale en horticulture - pépinière lors de la campagne évaluée ("&amp;Surfaces!O172&amp;")")</f>
        <v>SAU totale en horticulture - pépinière lors de la campagne évaluée (N)</v>
      </c>
      <c r="B39" s="486">
        <f t="shared" ref="B39:M39" si="4">B38+B35</f>
        <v>0</v>
      </c>
      <c r="C39" s="486">
        <f t="shared" si="4"/>
        <v>0</v>
      </c>
      <c r="D39" s="486">
        <f t="shared" si="4"/>
        <v>0</v>
      </c>
      <c r="E39" s="486">
        <f t="shared" si="4"/>
        <v>0</v>
      </c>
      <c r="F39" s="486">
        <f t="shared" si="4"/>
        <v>0</v>
      </c>
      <c r="G39" s="486">
        <f t="shared" si="4"/>
        <v>0</v>
      </c>
      <c r="H39" s="486">
        <f t="shared" si="4"/>
        <v>0</v>
      </c>
      <c r="I39" s="486">
        <f t="shared" si="4"/>
        <v>0</v>
      </c>
      <c r="J39" s="486">
        <f t="shared" si="4"/>
        <v>0</v>
      </c>
      <c r="K39" s="486">
        <f t="shared" si="4"/>
        <v>0</v>
      </c>
      <c r="L39" s="486">
        <f t="shared" si="4"/>
        <v>0</v>
      </c>
      <c r="M39" s="486">
        <f t="shared" si="4"/>
        <v>0</v>
      </c>
      <c r="N39" s="486">
        <f>SUM(B39:M39)/12</f>
        <v>0</v>
      </c>
      <c r="O39" s="483" t="s">
        <v>2846</v>
      </c>
    </row>
    <row r="40" spans="1:15" ht="30" x14ac:dyDescent="0.25">
      <c r="A40" s="480" t="s">
        <v>2836</v>
      </c>
      <c r="B40" s="487">
        <f t="shared" ref="B40:M40" si="5">SUM(B12:B16,B18,B21,B23:B27)</f>
        <v>0</v>
      </c>
      <c r="C40" s="487">
        <f t="shared" si="5"/>
        <v>0</v>
      </c>
      <c r="D40" s="487">
        <f t="shared" si="5"/>
        <v>0</v>
      </c>
      <c r="E40" s="487">
        <f t="shared" si="5"/>
        <v>0</v>
      </c>
      <c r="F40" s="487">
        <f t="shared" si="5"/>
        <v>0</v>
      </c>
      <c r="G40" s="487">
        <f t="shared" si="5"/>
        <v>0</v>
      </c>
      <c r="H40" s="487">
        <f t="shared" si="5"/>
        <v>0</v>
      </c>
      <c r="I40" s="487">
        <f t="shared" si="5"/>
        <v>0</v>
      </c>
      <c r="J40" s="487">
        <f t="shared" si="5"/>
        <v>0</v>
      </c>
      <c r="K40" s="487">
        <f t="shared" si="5"/>
        <v>0</v>
      </c>
      <c r="L40" s="487">
        <f t="shared" si="5"/>
        <v>0</v>
      </c>
      <c r="M40" s="487">
        <f t="shared" si="5"/>
        <v>0</v>
      </c>
      <c r="N40" s="487">
        <f t="shared" si="2"/>
        <v>0</v>
      </c>
      <c r="O40" s="475"/>
    </row>
    <row r="41" spans="1:15" ht="45" x14ac:dyDescent="0.25">
      <c r="A41" s="472" t="str">
        <f>("SAU totale en horticulture - pépinière hors sol lors de la campagne évaluée ("&amp;Surfaces!O172&amp;")")</f>
        <v>SAU totale en horticulture - pépinière hors sol lors de la campagne évaluée (N)</v>
      </c>
      <c r="B41" s="486">
        <f t="shared" ref="B41:M41" si="6">B40+B36</f>
        <v>0</v>
      </c>
      <c r="C41" s="486">
        <f t="shared" si="6"/>
        <v>0</v>
      </c>
      <c r="D41" s="486">
        <f t="shared" si="6"/>
        <v>0</v>
      </c>
      <c r="E41" s="486">
        <f t="shared" si="6"/>
        <v>0</v>
      </c>
      <c r="F41" s="486">
        <f t="shared" si="6"/>
        <v>0</v>
      </c>
      <c r="G41" s="486">
        <f t="shared" si="6"/>
        <v>0</v>
      </c>
      <c r="H41" s="486">
        <f t="shared" si="6"/>
        <v>0</v>
      </c>
      <c r="I41" s="486">
        <f t="shared" si="6"/>
        <v>0</v>
      </c>
      <c r="J41" s="486">
        <f t="shared" si="6"/>
        <v>0</v>
      </c>
      <c r="K41" s="486">
        <f t="shared" si="6"/>
        <v>0</v>
      </c>
      <c r="L41" s="486">
        <f t="shared" si="6"/>
        <v>0</v>
      </c>
      <c r="M41" s="486">
        <f t="shared" si="6"/>
        <v>0</v>
      </c>
      <c r="N41" s="486">
        <f>SUM(B41:M41)/12</f>
        <v>0</v>
      </c>
      <c r="O41" s="483" t="s">
        <v>2847</v>
      </c>
    </row>
    <row r="42" spans="1:15" x14ac:dyDescent="0.25">
      <c r="A42" s="474"/>
    </row>
    <row r="43" spans="1:15" x14ac:dyDescent="0.25">
      <c r="A43" s="481"/>
    </row>
    <row r="44" spans="1:15" x14ac:dyDescent="0.25">
      <c r="A44" s="488" t="str">
        <f>("Calcul de l'assolement de la SAU en horticulture - pépinière lors de la campagne n-1 ("&amp;Surfaces!P172&amp;")")</f>
        <v>Calcul de l'assolement de la SAU en horticulture - pépinière lors de la campagne n-1 (N-1)</v>
      </c>
      <c r="B44" s="489"/>
      <c r="C44" s="489"/>
      <c r="D44" s="489"/>
      <c r="E44" s="489"/>
      <c r="F44" s="489"/>
      <c r="G44" s="489"/>
      <c r="H44" s="489"/>
      <c r="I44" s="490"/>
      <c r="J44" s="489"/>
      <c r="K44" s="489"/>
      <c r="L44" s="489"/>
      <c r="M44" s="489"/>
      <c r="N44" s="489"/>
      <c r="O44" s="489"/>
    </row>
    <row r="45" spans="1:15" x14ac:dyDescent="0.25">
      <c r="A45" s="470" t="str">
        <f>"Saisir la surface cultivée pour chaque plante et la surface non cultivée chaque mois de la campagne "&amp;Surfaces!P172&amp;" (zone B43 à M67)."</f>
        <v>Saisir la surface cultivée pour chaque plante et la surface non cultivée chaque mois de la campagne N-1 (zone B43 à M67).</v>
      </c>
      <c r="B45" s="423"/>
      <c r="C45" s="423"/>
      <c r="D45" s="423"/>
      <c r="E45" s="423"/>
      <c r="F45" s="423"/>
      <c r="G45" s="423"/>
      <c r="H45" s="423"/>
      <c r="I45" s="423"/>
      <c r="J45" s="423"/>
      <c r="K45" s="423"/>
      <c r="L45" s="423"/>
      <c r="M45" s="423"/>
      <c r="N45" s="423"/>
    </row>
    <row r="46" spans="1:15" x14ac:dyDescent="0.25">
      <c r="B46" s="471"/>
      <c r="C46" s="471"/>
      <c r="D46" s="471"/>
      <c r="E46" s="471"/>
      <c r="F46" s="471"/>
      <c r="G46" s="471"/>
      <c r="H46" s="471"/>
      <c r="I46" s="471"/>
      <c r="J46" s="471"/>
      <c r="K46" s="471"/>
      <c r="L46" s="471"/>
      <c r="M46" s="471"/>
      <c r="N46" s="471"/>
    </row>
    <row r="47" spans="1:15" x14ac:dyDescent="0.25">
      <c r="A47" s="472"/>
      <c r="B47" s="478">
        <v>1</v>
      </c>
      <c r="C47" s="478">
        <v>2</v>
      </c>
      <c r="D47" s="478">
        <v>3</v>
      </c>
      <c r="E47" s="478">
        <v>4</v>
      </c>
      <c r="F47" s="478">
        <v>5</v>
      </c>
      <c r="G47" s="478">
        <v>6</v>
      </c>
      <c r="H47" s="478">
        <v>7</v>
      </c>
      <c r="I47" s="478">
        <v>8</v>
      </c>
      <c r="J47" s="478">
        <v>9</v>
      </c>
      <c r="K47" s="478">
        <v>10</v>
      </c>
      <c r="L47" s="478">
        <v>11</v>
      </c>
      <c r="M47" s="478">
        <v>12</v>
      </c>
      <c r="O47" s="475" t="s">
        <v>2844</v>
      </c>
    </row>
    <row r="48" spans="1:15" x14ac:dyDescent="0.25">
      <c r="A48" s="473" t="s">
        <v>2837</v>
      </c>
      <c r="B48" s="469"/>
      <c r="C48" s="469"/>
      <c r="D48" s="469"/>
      <c r="E48" s="469"/>
      <c r="F48" s="469"/>
      <c r="G48" s="469"/>
      <c r="H48" s="469"/>
      <c r="I48" s="469"/>
      <c r="J48" s="469"/>
      <c r="K48" s="469"/>
      <c r="L48" s="469"/>
      <c r="M48" s="469"/>
      <c r="N48" s="104" t="s">
        <v>2839</v>
      </c>
    </row>
    <row r="49" spans="1:14" x14ac:dyDescent="0.25">
      <c r="A49" s="423" t="s">
        <v>2825</v>
      </c>
      <c r="B49" s="391"/>
      <c r="C49" s="391"/>
      <c r="D49" s="391"/>
      <c r="E49" s="391"/>
      <c r="F49" s="391"/>
      <c r="G49" s="391"/>
      <c r="H49" s="391"/>
      <c r="I49" s="391"/>
      <c r="J49" s="391"/>
      <c r="K49" s="391"/>
      <c r="L49" s="391"/>
      <c r="M49" s="391"/>
      <c r="N49" s="73">
        <f>SUM(B49:M49)/12</f>
        <v>0</v>
      </c>
    </row>
    <row r="50" spans="1:14" x14ac:dyDescent="0.25">
      <c r="A50" s="423" t="s">
        <v>389</v>
      </c>
      <c r="B50" s="391"/>
      <c r="C50" s="391"/>
      <c r="D50" s="391"/>
      <c r="E50" s="391"/>
      <c r="F50" s="391"/>
      <c r="G50" s="391"/>
      <c r="H50" s="391"/>
      <c r="I50" s="391"/>
      <c r="J50" s="391"/>
      <c r="K50" s="391"/>
      <c r="L50" s="391"/>
      <c r="M50" s="391"/>
      <c r="N50" s="73">
        <f t="shared" ref="N50:N56" si="7">SUM(B50:M50)/12</f>
        <v>0</v>
      </c>
    </row>
    <row r="51" spans="1:14" x14ac:dyDescent="0.25">
      <c r="A51" s="423" t="s">
        <v>405</v>
      </c>
      <c r="B51" s="391"/>
      <c r="C51" s="391"/>
      <c r="D51" s="391"/>
      <c r="E51" s="391"/>
      <c r="F51" s="391"/>
      <c r="G51" s="391"/>
      <c r="H51" s="391"/>
      <c r="I51" s="391"/>
      <c r="J51" s="391"/>
      <c r="K51" s="391"/>
      <c r="L51" s="391"/>
      <c r="M51" s="391"/>
      <c r="N51" s="73">
        <f t="shared" si="7"/>
        <v>0</v>
      </c>
    </row>
    <row r="52" spans="1:14" x14ac:dyDescent="0.25">
      <c r="A52" s="423" t="s">
        <v>406</v>
      </c>
      <c r="B52" s="391"/>
      <c r="C52" s="391"/>
      <c r="D52" s="391"/>
      <c r="E52" s="391"/>
      <c r="F52" s="391"/>
      <c r="G52" s="391"/>
      <c r="H52" s="391"/>
      <c r="I52" s="391"/>
      <c r="J52" s="391"/>
      <c r="K52" s="391"/>
      <c r="L52" s="391"/>
      <c r="M52" s="391"/>
      <c r="N52" s="73">
        <f t="shared" si="7"/>
        <v>0</v>
      </c>
    </row>
    <row r="53" spans="1:14" x14ac:dyDescent="0.25">
      <c r="A53" s="423" t="s">
        <v>2824</v>
      </c>
      <c r="B53" s="391"/>
      <c r="C53" s="391"/>
      <c r="D53" s="391"/>
      <c r="E53" s="391"/>
      <c r="F53" s="391"/>
      <c r="G53" s="391"/>
      <c r="H53" s="391"/>
      <c r="I53" s="391"/>
      <c r="J53" s="391"/>
      <c r="K53" s="391"/>
      <c r="L53" s="391"/>
      <c r="M53" s="391"/>
      <c r="N53" s="73">
        <f t="shared" si="7"/>
        <v>0</v>
      </c>
    </row>
    <row r="54" spans="1:14" x14ac:dyDescent="0.25">
      <c r="A54" s="423" t="s">
        <v>2828</v>
      </c>
      <c r="B54" s="391"/>
      <c r="C54" s="391"/>
      <c r="D54" s="391"/>
      <c r="E54" s="391"/>
      <c r="F54" s="391"/>
      <c r="G54" s="391"/>
      <c r="H54" s="391"/>
      <c r="I54" s="391"/>
      <c r="J54" s="391"/>
      <c r="K54" s="391"/>
      <c r="L54" s="391"/>
      <c r="M54" s="391"/>
      <c r="N54" s="73">
        <f t="shared" si="7"/>
        <v>0</v>
      </c>
    </row>
    <row r="55" spans="1:14" x14ac:dyDescent="0.25">
      <c r="A55" s="423" t="s">
        <v>2826</v>
      </c>
      <c r="B55" s="391"/>
      <c r="C55" s="391"/>
      <c r="D55" s="391"/>
      <c r="E55" s="391"/>
      <c r="F55" s="391"/>
      <c r="G55" s="391"/>
      <c r="H55" s="391"/>
      <c r="I55" s="391"/>
      <c r="J55" s="391"/>
      <c r="K55" s="391"/>
      <c r="L55" s="391"/>
      <c r="M55" s="391"/>
      <c r="N55" s="73">
        <f t="shared" si="7"/>
        <v>0</v>
      </c>
    </row>
    <row r="56" spans="1:14" x14ac:dyDescent="0.25">
      <c r="A56" s="423" t="s">
        <v>2827</v>
      </c>
      <c r="B56" s="391"/>
      <c r="C56" s="391"/>
      <c r="D56" s="391"/>
      <c r="E56" s="391"/>
      <c r="F56" s="391"/>
      <c r="G56" s="391"/>
      <c r="H56" s="391"/>
      <c r="I56" s="391"/>
      <c r="J56" s="391"/>
      <c r="K56" s="391"/>
      <c r="L56" s="391"/>
      <c r="M56" s="391"/>
      <c r="N56" s="73">
        <f t="shared" si="7"/>
        <v>0</v>
      </c>
    </row>
    <row r="57" spans="1:14" x14ac:dyDescent="0.25">
      <c r="A57" s="473" t="s">
        <v>2838</v>
      </c>
      <c r="B57" s="476"/>
      <c r="C57" s="476"/>
      <c r="D57" s="476"/>
      <c r="E57" s="476"/>
      <c r="F57" s="476"/>
      <c r="G57" s="476"/>
      <c r="H57" s="476"/>
      <c r="I57" s="476"/>
      <c r="J57" s="476"/>
      <c r="K57" s="476"/>
      <c r="L57" s="476"/>
      <c r="M57" s="476"/>
    </row>
    <row r="58" spans="1:14" x14ac:dyDescent="0.25">
      <c r="A58" s="423" t="s">
        <v>401</v>
      </c>
      <c r="B58" s="391"/>
      <c r="C58" s="391"/>
      <c r="D58" s="391"/>
      <c r="E58" s="391"/>
      <c r="F58" s="391"/>
      <c r="G58" s="391"/>
      <c r="H58" s="391"/>
      <c r="I58" s="391"/>
      <c r="J58" s="391"/>
      <c r="K58" s="391"/>
      <c r="L58" s="391"/>
      <c r="M58" s="391"/>
      <c r="N58" s="73">
        <f>SUM(B58:M58)/12</f>
        <v>0</v>
      </c>
    </row>
    <row r="59" spans="1:14" x14ac:dyDescent="0.25">
      <c r="A59" s="423" t="s">
        <v>402</v>
      </c>
      <c r="B59" s="391"/>
      <c r="C59" s="391"/>
      <c r="D59" s="391"/>
      <c r="E59" s="391"/>
      <c r="F59" s="391"/>
      <c r="G59" s="391"/>
      <c r="H59" s="391"/>
      <c r="I59" s="391"/>
      <c r="J59" s="391"/>
      <c r="K59" s="391"/>
      <c r="L59" s="391"/>
      <c r="M59" s="391"/>
      <c r="N59" s="73">
        <f t="shared" ref="N59:N69" si="8">SUM(B59:M59)/12</f>
        <v>0</v>
      </c>
    </row>
    <row r="60" spans="1:14" x14ac:dyDescent="0.25">
      <c r="A60" s="423" t="s">
        <v>403</v>
      </c>
      <c r="B60" s="391"/>
      <c r="C60" s="391"/>
      <c r="D60" s="391"/>
      <c r="E60" s="391"/>
      <c r="F60" s="391"/>
      <c r="G60" s="391"/>
      <c r="H60" s="391"/>
      <c r="I60" s="391"/>
      <c r="J60" s="391"/>
      <c r="K60" s="391"/>
      <c r="L60" s="391"/>
      <c r="M60" s="391"/>
      <c r="N60" s="73">
        <f t="shared" si="8"/>
        <v>0</v>
      </c>
    </row>
    <row r="61" spans="1:14" x14ac:dyDescent="0.25">
      <c r="A61" s="423" t="s">
        <v>389</v>
      </c>
      <c r="B61" s="391"/>
      <c r="C61" s="391"/>
      <c r="D61" s="391"/>
      <c r="E61" s="391"/>
      <c r="F61" s="391"/>
      <c r="G61" s="391"/>
      <c r="H61" s="391"/>
      <c r="I61" s="391"/>
      <c r="J61" s="391"/>
      <c r="K61" s="391"/>
      <c r="L61" s="391"/>
      <c r="M61" s="391"/>
      <c r="N61" s="73">
        <f t="shared" si="8"/>
        <v>0</v>
      </c>
    </row>
    <row r="62" spans="1:14" x14ac:dyDescent="0.25">
      <c r="A62" s="423" t="s">
        <v>405</v>
      </c>
      <c r="B62" s="391"/>
      <c r="C62" s="391"/>
      <c r="D62" s="391"/>
      <c r="E62" s="391"/>
      <c r="F62" s="391"/>
      <c r="G62" s="391"/>
      <c r="H62" s="391"/>
      <c r="I62" s="391"/>
      <c r="J62" s="391"/>
      <c r="K62" s="391"/>
      <c r="L62" s="391"/>
      <c r="M62" s="391"/>
      <c r="N62" s="73">
        <f t="shared" si="8"/>
        <v>0</v>
      </c>
    </row>
    <row r="63" spans="1:14" x14ac:dyDescent="0.25">
      <c r="A63" s="423" t="s">
        <v>2824</v>
      </c>
      <c r="B63" s="391"/>
      <c r="C63" s="391"/>
      <c r="D63" s="391"/>
      <c r="E63" s="391"/>
      <c r="F63" s="391"/>
      <c r="G63" s="391"/>
      <c r="H63" s="391"/>
      <c r="I63" s="391"/>
      <c r="J63" s="391"/>
      <c r="K63" s="391"/>
      <c r="L63" s="391"/>
      <c r="M63" s="391"/>
      <c r="N63" s="73">
        <f t="shared" si="8"/>
        <v>0</v>
      </c>
    </row>
    <row r="64" spans="1:14" x14ac:dyDescent="0.25">
      <c r="A64" s="423" t="s">
        <v>406</v>
      </c>
      <c r="B64" s="391"/>
      <c r="C64" s="391"/>
      <c r="D64" s="391"/>
      <c r="E64" s="391"/>
      <c r="F64" s="391"/>
      <c r="G64" s="391"/>
      <c r="H64" s="391"/>
      <c r="I64" s="391"/>
      <c r="J64" s="391"/>
      <c r="K64" s="391"/>
      <c r="L64" s="391"/>
      <c r="M64" s="391"/>
      <c r="N64" s="73">
        <f t="shared" si="8"/>
        <v>0</v>
      </c>
    </row>
    <row r="65" spans="1:15" x14ac:dyDescent="0.25">
      <c r="A65" s="423" t="s">
        <v>407</v>
      </c>
      <c r="B65" s="391"/>
      <c r="C65" s="391"/>
      <c r="D65" s="391"/>
      <c r="E65" s="391"/>
      <c r="F65" s="391"/>
      <c r="G65" s="391"/>
      <c r="H65" s="391"/>
      <c r="I65" s="391"/>
      <c r="J65" s="391"/>
      <c r="K65" s="391"/>
      <c r="L65" s="391"/>
      <c r="M65" s="391"/>
      <c r="N65" s="73">
        <f t="shared" si="8"/>
        <v>0</v>
      </c>
    </row>
    <row r="66" spans="1:15" x14ac:dyDescent="0.25">
      <c r="A66" s="423" t="s">
        <v>408</v>
      </c>
      <c r="B66" s="391"/>
      <c r="C66" s="391"/>
      <c r="D66" s="391"/>
      <c r="E66" s="391"/>
      <c r="F66" s="391"/>
      <c r="G66" s="391"/>
      <c r="H66" s="391"/>
      <c r="I66" s="391"/>
      <c r="J66" s="391"/>
      <c r="K66" s="391"/>
      <c r="L66" s="391"/>
      <c r="M66" s="391"/>
      <c r="N66" s="73">
        <f t="shared" si="8"/>
        <v>0</v>
      </c>
    </row>
    <row r="67" spans="1:15" x14ac:dyDescent="0.25">
      <c r="A67" s="423" t="s">
        <v>409</v>
      </c>
      <c r="B67" s="391"/>
      <c r="C67" s="391"/>
      <c r="D67" s="391"/>
      <c r="E67" s="391"/>
      <c r="F67" s="391"/>
      <c r="G67" s="391"/>
      <c r="H67" s="391"/>
      <c r="I67" s="391"/>
      <c r="J67" s="391"/>
      <c r="K67" s="391"/>
      <c r="L67" s="391"/>
      <c r="M67" s="391"/>
      <c r="N67" s="73">
        <f t="shared" si="8"/>
        <v>0</v>
      </c>
    </row>
    <row r="68" spans="1:15" x14ac:dyDescent="0.25">
      <c r="A68" s="423" t="s">
        <v>410</v>
      </c>
      <c r="B68" s="391"/>
      <c r="C68" s="391"/>
      <c r="D68" s="391"/>
      <c r="E68" s="391"/>
      <c r="F68" s="391"/>
      <c r="G68" s="391"/>
      <c r="H68" s="391"/>
      <c r="I68" s="391"/>
      <c r="J68" s="391"/>
      <c r="K68" s="391"/>
      <c r="L68" s="391"/>
      <c r="M68" s="391"/>
      <c r="N68" s="73">
        <f t="shared" si="8"/>
        <v>0</v>
      </c>
    </row>
    <row r="69" spans="1:15" x14ac:dyDescent="0.25">
      <c r="A69" s="423" t="s">
        <v>411</v>
      </c>
      <c r="B69" s="391"/>
      <c r="C69" s="391"/>
      <c r="D69" s="391"/>
      <c r="E69" s="391"/>
      <c r="F69" s="391"/>
      <c r="G69" s="391"/>
      <c r="H69" s="391"/>
      <c r="I69" s="391"/>
      <c r="J69" s="391"/>
      <c r="K69" s="391"/>
      <c r="L69" s="391"/>
      <c r="M69" s="391"/>
      <c r="N69" s="73">
        <f t="shared" si="8"/>
        <v>0</v>
      </c>
    </row>
    <row r="70" spans="1:15" x14ac:dyDescent="0.25">
      <c r="A70" s="423" t="s">
        <v>2829</v>
      </c>
      <c r="B70" s="391"/>
      <c r="C70" s="391"/>
      <c r="D70" s="391"/>
      <c r="E70" s="391"/>
      <c r="F70" s="391"/>
      <c r="G70" s="391"/>
      <c r="H70" s="391"/>
      <c r="I70" s="391"/>
      <c r="J70" s="391"/>
      <c r="K70" s="391"/>
      <c r="L70" s="391"/>
      <c r="M70" s="391"/>
      <c r="N70" s="73">
        <f>SUM(B70:M70)/12</f>
        <v>0</v>
      </c>
    </row>
    <row r="71" spans="1:15" x14ac:dyDescent="0.25">
      <c r="A71" s="473" t="s">
        <v>2843</v>
      </c>
      <c r="B71" s="476"/>
      <c r="C71" s="476"/>
      <c r="D71" s="476"/>
      <c r="E71" s="476"/>
      <c r="F71" s="476"/>
      <c r="G71" s="476"/>
      <c r="H71" s="476"/>
      <c r="I71" s="476"/>
      <c r="J71" s="476"/>
      <c r="K71" s="476"/>
      <c r="L71" s="476"/>
      <c r="M71" s="476"/>
    </row>
    <row r="72" spans="1:15" x14ac:dyDescent="0.25">
      <c r="A72" s="423" t="s">
        <v>2854</v>
      </c>
      <c r="B72" s="391"/>
      <c r="C72" s="391"/>
      <c r="D72" s="391"/>
      <c r="E72" s="391"/>
      <c r="F72" s="391"/>
      <c r="G72" s="391"/>
      <c r="H72" s="391"/>
      <c r="I72" s="391"/>
      <c r="J72" s="391"/>
      <c r="K72" s="391"/>
      <c r="L72" s="391"/>
      <c r="M72" s="391"/>
      <c r="N72" s="73">
        <f>SUM(B72:M72)/12</f>
        <v>0</v>
      </c>
    </row>
    <row r="73" spans="1:15" x14ac:dyDescent="0.25">
      <c r="A73" s="423" t="s">
        <v>2853</v>
      </c>
      <c r="B73" s="391"/>
      <c r="C73" s="391"/>
      <c r="D73" s="391"/>
      <c r="E73" s="391"/>
      <c r="F73" s="391"/>
      <c r="G73" s="391"/>
      <c r="H73" s="391"/>
      <c r="I73" s="391"/>
      <c r="J73" s="391"/>
      <c r="K73" s="391"/>
      <c r="L73" s="391"/>
      <c r="M73" s="391"/>
      <c r="N73" s="73">
        <f>SUM(B73:M73)/12</f>
        <v>0</v>
      </c>
    </row>
    <row r="74" spans="1:15" x14ac:dyDescent="0.25">
      <c r="A74" s="474"/>
      <c r="N74" s="580"/>
      <c r="O74" s="580"/>
    </row>
    <row r="75" spans="1:15" x14ac:dyDescent="0.25">
      <c r="A75" s="479" t="s">
        <v>2835</v>
      </c>
      <c r="B75" s="485">
        <f t="shared" ref="B75:L75" si="9">SUM(B49:B70)</f>
        <v>0</v>
      </c>
      <c r="C75" s="485">
        <f t="shared" si="9"/>
        <v>0</v>
      </c>
      <c r="D75" s="485">
        <f t="shared" si="9"/>
        <v>0</v>
      </c>
      <c r="E75" s="485">
        <f t="shared" si="9"/>
        <v>0</v>
      </c>
      <c r="F75" s="485">
        <f t="shared" si="9"/>
        <v>0</v>
      </c>
      <c r="G75" s="485">
        <f t="shared" si="9"/>
        <v>0</v>
      </c>
      <c r="H75" s="485">
        <f t="shared" si="9"/>
        <v>0</v>
      </c>
      <c r="I75" s="485">
        <f t="shared" si="9"/>
        <v>0</v>
      </c>
      <c r="J75" s="485">
        <f t="shared" si="9"/>
        <v>0</v>
      </c>
      <c r="K75" s="485">
        <f t="shared" si="9"/>
        <v>0</v>
      </c>
      <c r="L75" s="485">
        <f t="shared" si="9"/>
        <v>0</v>
      </c>
      <c r="M75" s="485">
        <f>SUM(M49:M70)</f>
        <v>0</v>
      </c>
      <c r="N75" s="485">
        <f>SUM(B75:M75)/12</f>
        <v>0</v>
      </c>
      <c r="O75" s="484"/>
    </row>
    <row r="76" spans="1:15" ht="45" x14ac:dyDescent="0.25">
      <c r="A76" s="472" t="str">
        <f>("SAU totale en horticulture - pépinière lors de la campagne n-1 ("&amp;Surfaces!P172&amp;")")</f>
        <v>SAU totale en horticulture - pépinière lors de la campagne n-1 (N-1)</v>
      </c>
      <c r="B76" s="486">
        <f t="shared" ref="B76:M76" si="10">B75+B72</f>
        <v>0</v>
      </c>
      <c r="C76" s="486">
        <f t="shared" si="10"/>
        <v>0</v>
      </c>
      <c r="D76" s="486">
        <f t="shared" si="10"/>
        <v>0</v>
      </c>
      <c r="E76" s="486">
        <f t="shared" si="10"/>
        <v>0</v>
      </c>
      <c r="F76" s="486">
        <f t="shared" si="10"/>
        <v>0</v>
      </c>
      <c r="G76" s="486">
        <f t="shared" si="10"/>
        <v>0</v>
      </c>
      <c r="H76" s="486">
        <f t="shared" si="10"/>
        <v>0</v>
      </c>
      <c r="I76" s="486">
        <f t="shared" si="10"/>
        <v>0</v>
      </c>
      <c r="J76" s="486">
        <f t="shared" si="10"/>
        <v>0</v>
      </c>
      <c r="K76" s="486">
        <f t="shared" si="10"/>
        <v>0</v>
      </c>
      <c r="L76" s="486">
        <f t="shared" si="10"/>
        <v>0</v>
      </c>
      <c r="M76" s="486">
        <f t="shared" si="10"/>
        <v>0</v>
      </c>
      <c r="N76" s="486">
        <f>SUM(B76:M76)/12</f>
        <v>0</v>
      </c>
      <c r="O76" s="483" t="s">
        <v>2846</v>
      </c>
    </row>
    <row r="77" spans="1:15" ht="30" x14ac:dyDescent="0.25">
      <c r="A77" s="480" t="s">
        <v>2836</v>
      </c>
      <c r="B77" s="487">
        <f t="shared" ref="B77:L77" si="11">SUM(B49:B53,B55,B58,B60:B64)</f>
        <v>0</v>
      </c>
      <c r="C77" s="487">
        <f t="shared" si="11"/>
        <v>0</v>
      </c>
      <c r="D77" s="487">
        <f t="shared" si="11"/>
        <v>0</v>
      </c>
      <c r="E77" s="487">
        <f t="shared" si="11"/>
        <v>0</v>
      </c>
      <c r="F77" s="487">
        <f t="shared" si="11"/>
        <v>0</v>
      </c>
      <c r="G77" s="487">
        <f t="shared" si="11"/>
        <v>0</v>
      </c>
      <c r="H77" s="487">
        <f t="shared" si="11"/>
        <v>0</v>
      </c>
      <c r="I77" s="487">
        <f t="shared" si="11"/>
        <v>0</v>
      </c>
      <c r="J77" s="487">
        <f t="shared" si="11"/>
        <v>0</v>
      </c>
      <c r="K77" s="487">
        <f t="shared" si="11"/>
        <v>0</v>
      </c>
      <c r="L77" s="487">
        <f t="shared" si="11"/>
        <v>0</v>
      </c>
      <c r="M77" s="487">
        <f>SUM(M49:M53,M55,M58,M60:M64)</f>
        <v>0</v>
      </c>
      <c r="N77" s="487">
        <f>SUM(B77:M77)/12</f>
        <v>0</v>
      </c>
      <c r="O77" s="475"/>
    </row>
    <row r="78" spans="1:15" ht="45" x14ac:dyDescent="0.25">
      <c r="A78" s="472" t="str">
        <f>("SAU totale en horticulture - pépinière hors sol lors de la campagne n-1 ("&amp;Surfaces!P172&amp;")")</f>
        <v>SAU totale en horticulture - pépinière hors sol lors de la campagne n-1 (N-1)</v>
      </c>
      <c r="B78" s="486">
        <f t="shared" ref="B78:M78" si="12">B77+B73</f>
        <v>0</v>
      </c>
      <c r="C78" s="486">
        <f t="shared" si="12"/>
        <v>0</v>
      </c>
      <c r="D78" s="486">
        <f t="shared" si="12"/>
        <v>0</v>
      </c>
      <c r="E78" s="486">
        <f t="shared" si="12"/>
        <v>0</v>
      </c>
      <c r="F78" s="486">
        <f t="shared" si="12"/>
        <v>0</v>
      </c>
      <c r="G78" s="486">
        <f t="shared" si="12"/>
        <v>0</v>
      </c>
      <c r="H78" s="486">
        <f t="shared" si="12"/>
        <v>0</v>
      </c>
      <c r="I78" s="486">
        <f t="shared" si="12"/>
        <v>0</v>
      </c>
      <c r="J78" s="486">
        <f t="shared" si="12"/>
        <v>0</v>
      </c>
      <c r="K78" s="486">
        <f t="shared" si="12"/>
        <v>0</v>
      </c>
      <c r="L78" s="486">
        <f t="shared" si="12"/>
        <v>0</v>
      </c>
      <c r="M78" s="486">
        <f t="shared" si="12"/>
        <v>0</v>
      </c>
      <c r="N78" s="486">
        <f>SUM(B78:M78)/12</f>
        <v>0</v>
      </c>
      <c r="O78" s="483" t="s">
        <v>2847</v>
      </c>
    </row>
    <row r="79" spans="1:15" x14ac:dyDescent="0.25">
      <c r="A79" s="474"/>
    </row>
    <row r="80" spans="1:15" x14ac:dyDescent="0.25">
      <c r="A80" s="474"/>
    </row>
    <row r="81" spans="1:15" x14ac:dyDescent="0.25">
      <c r="A81" s="488" t="str">
        <f>("Calcul de l'assolement de la SAU en horticulture - pépinière lors de la campagne n-2 ("&amp;Surfaces!Q172&amp;")")</f>
        <v>Calcul de l'assolement de la SAU en horticulture - pépinière lors de la campagne n-2 (N-2)</v>
      </c>
      <c r="B81" s="489"/>
      <c r="C81" s="489"/>
      <c r="D81" s="489"/>
      <c r="E81" s="489"/>
      <c r="F81" s="489"/>
      <c r="G81" s="489"/>
      <c r="H81" s="489"/>
      <c r="I81" s="490"/>
      <c r="J81" s="489"/>
      <c r="K81" s="489"/>
      <c r="L81" s="489"/>
      <c r="M81" s="489"/>
      <c r="N81" s="489"/>
      <c r="O81" s="489"/>
    </row>
    <row r="82" spans="1:15" x14ac:dyDescent="0.25">
      <c r="A82" s="470" t="str">
        <f>"Saisir la surface cultivée pour chaque plante et la surface non cultivée chaque mois de la campagne "&amp;Surfaces!Q172&amp;" (zone B80 à M104)."</f>
        <v>Saisir la surface cultivée pour chaque plante et la surface non cultivée chaque mois de la campagne N-2 (zone B80 à M104).</v>
      </c>
      <c r="B82" s="423"/>
      <c r="C82" s="423"/>
      <c r="D82" s="423"/>
      <c r="E82" s="423"/>
      <c r="F82" s="423"/>
      <c r="G82" s="423"/>
      <c r="H82" s="423"/>
      <c r="I82" s="423"/>
      <c r="J82" s="423"/>
      <c r="K82" s="423"/>
      <c r="L82" s="423"/>
      <c r="M82" s="423"/>
      <c r="N82" s="423"/>
    </row>
    <row r="83" spans="1:15" x14ac:dyDescent="0.25">
      <c r="B83" s="471"/>
      <c r="C83" s="471"/>
      <c r="D83" s="471"/>
      <c r="E83" s="471"/>
      <c r="F83" s="471"/>
      <c r="G83" s="471"/>
      <c r="H83" s="471"/>
      <c r="I83" s="471"/>
      <c r="J83" s="471"/>
      <c r="K83" s="471"/>
      <c r="L83" s="471"/>
      <c r="M83" s="471"/>
      <c r="N83" s="471"/>
    </row>
    <row r="84" spans="1:15" x14ac:dyDescent="0.25">
      <c r="A84" s="472"/>
      <c r="B84" s="478">
        <v>1</v>
      </c>
      <c r="C84" s="478">
        <v>2</v>
      </c>
      <c r="D84" s="478">
        <v>3</v>
      </c>
      <c r="E84" s="478">
        <v>4</v>
      </c>
      <c r="F84" s="478">
        <v>5</v>
      </c>
      <c r="G84" s="478">
        <v>6</v>
      </c>
      <c r="H84" s="478">
        <v>7</v>
      </c>
      <c r="I84" s="478">
        <v>8</v>
      </c>
      <c r="J84" s="478">
        <v>9</v>
      </c>
      <c r="K84" s="478">
        <v>10</v>
      </c>
      <c r="L84" s="478">
        <v>11</v>
      </c>
      <c r="M84" s="478">
        <v>12</v>
      </c>
      <c r="O84" s="475" t="s">
        <v>2844</v>
      </c>
    </row>
    <row r="85" spans="1:15" x14ac:dyDescent="0.25">
      <c r="A85" s="473" t="s">
        <v>2837</v>
      </c>
      <c r="B85" s="469"/>
      <c r="C85" s="469"/>
      <c r="D85" s="469"/>
      <c r="E85" s="469"/>
      <c r="F85" s="469"/>
      <c r="G85" s="469"/>
      <c r="H85" s="469"/>
      <c r="I85" s="469"/>
      <c r="J85" s="469"/>
      <c r="K85" s="469"/>
      <c r="L85" s="469"/>
      <c r="M85" s="469"/>
      <c r="N85" s="104" t="s">
        <v>2839</v>
      </c>
    </row>
    <row r="86" spans="1:15" x14ac:dyDescent="0.25">
      <c r="A86" s="423" t="s">
        <v>2825</v>
      </c>
      <c r="B86" s="391"/>
      <c r="C86" s="391"/>
      <c r="D86" s="391"/>
      <c r="E86" s="391"/>
      <c r="F86" s="391"/>
      <c r="G86" s="391"/>
      <c r="H86" s="391"/>
      <c r="I86" s="391"/>
      <c r="J86" s="391"/>
      <c r="K86" s="391"/>
      <c r="L86" s="391"/>
      <c r="M86" s="391"/>
      <c r="N86" s="73">
        <f>SUM(B86:M86)/12</f>
        <v>0</v>
      </c>
    </row>
    <row r="87" spans="1:15" x14ac:dyDescent="0.25">
      <c r="A87" s="423" t="s">
        <v>389</v>
      </c>
      <c r="B87" s="391"/>
      <c r="C87" s="391"/>
      <c r="D87" s="391"/>
      <c r="E87" s="391"/>
      <c r="F87" s="391"/>
      <c r="G87" s="391"/>
      <c r="H87" s="391"/>
      <c r="I87" s="391"/>
      <c r="J87" s="391"/>
      <c r="K87" s="391"/>
      <c r="L87" s="391"/>
      <c r="M87" s="391"/>
      <c r="N87" s="73">
        <f t="shared" ref="N87:N93" si="13">SUM(B87:M87)/12</f>
        <v>0</v>
      </c>
    </row>
    <row r="88" spans="1:15" x14ac:dyDescent="0.25">
      <c r="A88" s="423" t="s">
        <v>405</v>
      </c>
      <c r="B88" s="391"/>
      <c r="C88" s="391"/>
      <c r="D88" s="391"/>
      <c r="E88" s="391"/>
      <c r="F88" s="391"/>
      <c r="G88" s="391"/>
      <c r="H88" s="391"/>
      <c r="I88" s="391"/>
      <c r="J88" s="391"/>
      <c r="K88" s="391"/>
      <c r="L88" s="391"/>
      <c r="M88" s="391"/>
      <c r="N88" s="73">
        <f t="shared" si="13"/>
        <v>0</v>
      </c>
    </row>
    <row r="89" spans="1:15" x14ac:dyDescent="0.25">
      <c r="A89" s="423" t="s">
        <v>406</v>
      </c>
      <c r="B89" s="391"/>
      <c r="C89" s="391"/>
      <c r="D89" s="391"/>
      <c r="E89" s="391"/>
      <c r="F89" s="391"/>
      <c r="G89" s="391"/>
      <c r="H89" s="391"/>
      <c r="I89" s="391"/>
      <c r="J89" s="391"/>
      <c r="K89" s="391"/>
      <c r="L89" s="391"/>
      <c r="M89" s="391"/>
      <c r="N89" s="73">
        <f t="shared" si="13"/>
        <v>0</v>
      </c>
    </row>
    <row r="90" spans="1:15" x14ac:dyDescent="0.25">
      <c r="A90" s="423" t="s">
        <v>2824</v>
      </c>
      <c r="B90" s="391"/>
      <c r="C90" s="391"/>
      <c r="D90" s="391"/>
      <c r="E90" s="391"/>
      <c r="F90" s="391"/>
      <c r="G90" s="391"/>
      <c r="H90" s="391"/>
      <c r="I90" s="391"/>
      <c r="J90" s="391"/>
      <c r="K90" s="391"/>
      <c r="L90" s="391"/>
      <c r="M90" s="391"/>
      <c r="N90" s="73">
        <f t="shared" si="13"/>
        <v>0</v>
      </c>
    </row>
    <row r="91" spans="1:15" x14ac:dyDescent="0.25">
      <c r="A91" s="423" t="s">
        <v>2828</v>
      </c>
      <c r="B91" s="391"/>
      <c r="C91" s="391"/>
      <c r="D91" s="391"/>
      <c r="E91" s="391"/>
      <c r="F91" s="391"/>
      <c r="G91" s="391"/>
      <c r="H91" s="391"/>
      <c r="I91" s="391"/>
      <c r="J91" s="391"/>
      <c r="K91" s="391"/>
      <c r="L91" s="391"/>
      <c r="M91" s="391"/>
      <c r="N91" s="73">
        <f t="shared" si="13"/>
        <v>0</v>
      </c>
    </row>
    <row r="92" spans="1:15" x14ac:dyDescent="0.25">
      <c r="A92" s="423" t="s">
        <v>2826</v>
      </c>
      <c r="B92" s="391"/>
      <c r="C92" s="391"/>
      <c r="D92" s="391"/>
      <c r="E92" s="391"/>
      <c r="F92" s="391"/>
      <c r="G92" s="391"/>
      <c r="H92" s="391"/>
      <c r="I92" s="391"/>
      <c r="J92" s="391"/>
      <c r="K92" s="391"/>
      <c r="L92" s="391"/>
      <c r="M92" s="391"/>
      <c r="N92" s="73">
        <f t="shared" si="13"/>
        <v>0</v>
      </c>
    </row>
    <row r="93" spans="1:15" x14ac:dyDescent="0.25">
      <c r="A93" s="423" t="s">
        <v>2827</v>
      </c>
      <c r="B93" s="391"/>
      <c r="C93" s="391"/>
      <c r="D93" s="391"/>
      <c r="E93" s="391"/>
      <c r="F93" s="391"/>
      <c r="G93" s="391"/>
      <c r="H93" s="391"/>
      <c r="I93" s="391"/>
      <c r="J93" s="391"/>
      <c r="K93" s="391"/>
      <c r="L93" s="391"/>
      <c r="M93" s="391"/>
      <c r="N93" s="73">
        <f t="shared" si="13"/>
        <v>0</v>
      </c>
    </row>
    <row r="94" spans="1:15" x14ac:dyDescent="0.25">
      <c r="A94" s="473" t="s">
        <v>2838</v>
      </c>
      <c r="B94" s="476"/>
      <c r="C94" s="476"/>
      <c r="D94" s="476"/>
      <c r="E94" s="476"/>
      <c r="F94" s="476"/>
      <c r="G94" s="476"/>
      <c r="H94" s="476"/>
      <c r="I94" s="476"/>
      <c r="J94" s="476"/>
      <c r="K94" s="476"/>
      <c r="L94" s="476"/>
      <c r="M94" s="476"/>
    </row>
    <row r="95" spans="1:15" x14ac:dyDescent="0.25">
      <c r="A95" s="423" t="s">
        <v>401</v>
      </c>
      <c r="B95" s="391"/>
      <c r="C95" s="391"/>
      <c r="D95" s="391"/>
      <c r="E95" s="391"/>
      <c r="F95" s="391"/>
      <c r="G95" s="391"/>
      <c r="H95" s="391"/>
      <c r="I95" s="391"/>
      <c r="J95" s="391"/>
      <c r="K95" s="391"/>
      <c r="L95" s="391"/>
      <c r="M95" s="391"/>
      <c r="N95" s="73">
        <f>SUM(B95:M95)/12</f>
        <v>0</v>
      </c>
    </row>
    <row r="96" spans="1:15" x14ac:dyDescent="0.25">
      <c r="A96" s="423" t="s">
        <v>402</v>
      </c>
      <c r="B96" s="391"/>
      <c r="C96" s="391"/>
      <c r="D96" s="391"/>
      <c r="E96" s="391"/>
      <c r="F96" s="391"/>
      <c r="G96" s="391"/>
      <c r="H96" s="391"/>
      <c r="I96" s="391"/>
      <c r="J96" s="391"/>
      <c r="K96" s="391"/>
      <c r="L96" s="391"/>
      <c r="M96" s="391"/>
      <c r="N96" s="73">
        <f t="shared" ref="N96:N106" si="14">SUM(B96:M96)/12</f>
        <v>0</v>
      </c>
    </row>
    <row r="97" spans="1:15" x14ac:dyDescent="0.25">
      <c r="A97" s="423" t="s">
        <v>403</v>
      </c>
      <c r="B97" s="391"/>
      <c r="C97" s="391"/>
      <c r="D97" s="391"/>
      <c r="E97" s="391"/>
      <c r="F97" s="391"/>
      <c r="G97" s="391"/>
      <c r="H97" s="391"/>
      <c r="I97" s="391"/>
      <c r="J97" s="391"/>
      <c r="K97" s="391"/>
      <c r="L97" s="391"/>
      <c r="M97" s="391"/>
      <c r="N97" s="73">
        <f t="shared" si="14"/>
        <v>0</v>
      </c>
    </row>
    <row r="98" spans="1:15" x14ac:dyDescent="0.25">
      <c r="A98" s="423" t="s">
        <v>389</v>
      </c>
      <c r="B98" s="391"/>
      <c r="C98" s="391"/>
      <c r="D98" s="391"/>
      <c r="E98" s="391"/>
      <c r="F98" s="391"/>
      <c r="G98" s="391"/>
      <c r="H98" s="391"/>
      <c r="I98" s="391"/>
      <c r="J98" s="391"/>
      <c r="K98" s="391"/>
      <c r="L98" s="391"/>
      <c r="M98" s="391"/>
      <c r="N98" s="73">
        <f t="shared" si="14"/>
        <v>0</v>
      </c>
    </row>
    <row r="99" spans="1:15" x14ac:dyDescent="0.25">
      <c r="A99" s="423" t="s">
        <v>405</v>
      </c>
      <c r="B99" s="391"/>
      <c r="C99" s="391"/>
      <c r="D99" s="391"/>
      <c r="E99" s="391"/>
      <c r="F99" s="391"/>
      <c r="G99" s="391"/>
      <c r="H99" s="391"/>
      <c r="I99" s="391"/>
      <c r="J99" s="391"/>
      <c r="K99" s="391"/>
      <c r="L99" s="391"/>
      <c r="M99" s="391"/>
      <c r="N99" s="73">
        <f t="shared" si="14"/>
        <v>0</v>
      </c>
    </row>
    <row r="100" spans="1:15" x14ac:dyDescent="0.25">
      <c r="A100" s="423" t="s">
        <v>2824</v>
      </c>
      <c r="B100" s="391"/>
      <c r="C100" s="391"/>
      <c r="D100" s="391"/>
      <c r="E100" s="391"/>
      <c r="F100" s="391"/>
      <c r="G100" s="391"/>
      <c r="H100" s="391"/>
      <c r="I100" s="391"/>
      <c r="J100" s="391"/>
      <c r="K100" s="391"/>
      <c r="L100" s="391"/>
      <c r="M100" s="391"/>
      <c r="N100" s="73">
        <f t="shared" si="14"/>
        <v>0</v>
      </c>
    </row>
    <row r="101" spans="1:15" x14ac:dyDescent="0.25">
      <c r="A101" s="423" t="s">
        <v>406</v>
      </c>
      <c r="B101" s="391"/>
      <c r="C101" s="391"/>
      <c r="D101" s="391"/>
      <c r="E101" s="391"/>
      <c r="F101" s="391"/>
      <c r="G101" s="391"/>
      <c r="H101" s="391"/>
      <c r="I101" s="391"/>
      <c r="J101" s="391"/>
      <c r="K101" s="391"/>
      <c r="L101" s="391"/>
      <c r="M101" s="391"/>
      <c r="N101" s="73">
        <f t="shared" si="14"/>
        <v>0</v>
      </c>
    </row>
    <row r="102" spans="1:15" x14ac:dyDescent="0.25">
      <c r="A102" s="423" t="s">
        <v>407</v>
      </c>
      <c r="B102" s="391"/>
      <c r="C102" s="391"/>
      <c r="D102" s="391"/>
      <c r="E102" s="391"/>
      <c r="F102" s="391"/>
      <c r="G102" s="391"/>
      <c r="H102" s="391"/>
      <c r="I102" s="391"/>
      <c r="J102" s="391"/>
      <c r="K102" s="391"/>
      <c r="L102" s="391"/>
      <c r="M102" s="391"/>
      <c r="N102" s="73">
        <f t="shared" si="14"/>
        <v>0</v>
      </c>
    </row>
    <row r="103" spans="1:15" x14ac:dyDescent="0.25">
      <c r="A103" s="423" t="s">
        <v>408</v>
      </c>
      <c r="B103" s="391"/>
      <c r="C103" s="391"/>
      <c r="D103" s="391"/>
      <c r="E103" s="391"/>
      <c r="F103" s="391"/>
      <c r="G103" s="391"/>
      <c r="H103" s="391"/>
      <c r="I103" s="391"/>
      <c r="J103" s="391"/>
      <c r="K103" s="391"/>
      <c r="L103" s="391"/>
      <c r="M103" s="391"/>
      <c r="N103" s="73">
        <f t="shared" si="14"/>
        <v>0</v>
      </c>
    </row>
    <row r="104" spans="1:15" x14ac:dyDescent="0.25">
      <c r="A104" s="423" t="s">
        <v>409</v>
      </c>
      <c r="B104" s="391"/>
      <c r="C104" s="391"/>
      <c r="D104" s="391"/>
      <c r="E104" s="391"/>
      <c r="F104" s="391"/>
      <c r="G104" s="391"/>
      <c r="H104" s="391"/>
      <c r="I104" s="391"/>
      <c r="J104" s="391"/>
      <c r="K104" s="391"/>
      <c r="L104" s="391"/>
      <c r="M104" s="391"/>
      <c r="N104" s="73">
        <f t="shared" si="14"/>
        <v>0</v>
      </c>
    </row>
    <row r="105" spans="1:15" x14ac:dyDescent="0.25">
      <c r="A105" s="423" t="s">
        <v>410</v>
      </c>
      <c r="B105" s="391"/>
      <c r="C105" s="391"/>
      <c r="D105" s="391"/>
      <c r="E105" s="391"/>
      <c r="F105" s="391"/>
      <c r="G105" s="391"/>
      <c r="H105" s="391"/>
      <c r="I105" s="391"/>
      <c r="J105" s="391"/>
      <c r="K105" s="391"/>
      <c r="L105" s="391"/>
      <c r="M105" s="391"/>
      <c r="N105" s="73">
        <f t="shared" si="14"/>
        <v>0</v>
      </c>
    </row>
    <row r="106" spans="1:15" x14ac:dyDescent="0.25">
      <c r="A106" s="423" t="s">
        <v>411</v>
      </c>
      <c r="B106" s="391"/>
      <c r="C106" s="391"/>
      <c r="D106" s="391"/>
      <c r="E106" s="391"/>
      <c r="F106" s="391"/>
      <c r="G106" s="391"/>
      <c r="H106" s="391"/>
      <c r="I106" s="391"/>
      <c r="J106" s="391"/>
      <c r="K106" s="391"/>
      <c r="L106" s="391"/>
      <c r="M106" s="391"/>
      <c r="N106" s="73">
        <f t="shared" si="14"/>
        <v>0</v>
      </c>
    </row>
    <row r="107" spans="1:15" x14ac:dyDescent="0.25">
      <c r="A107" s="423" t="s">
        <v>2829</v>
      </c>
      <c r="B107" s="391"/>
      <c r="C107" s="391"/>
      <c r="D107" s="391"/>
      <c r="E107" s="391"/>
      <c r="F107" s="391"/>
      <c r="G107" s="391"/>
      <c r="H107" s="391"/>
      <c r="I107" s="391"/>
      <c r="J107" s="391"/>
      <c r="K107" s="391"/>
      <c r="L107" s="391"/>
      <c r="M107" s="391"/>
      <c r="N107" s="73">
        <f>SUM(B107:M107)/12</f>
        <v>0</v>
      </c>
    </row>
    <row r="108" spans="1:15" x14ac:dyDescent="0.25">
      <c r="A108" s="473" t="s">
        <v>2843</v>
      </c>
      <c r="B108" s="476"/>
      <c r="C108" s="476"/>
      <c r="D108" s="476"/>
      <c r="E108" s="476"/>
      <c r="F108" s="476"/>
      <c r="G108" s="476"/>
      <c r="H108" s="476"/>
      <c r="I108" s="476"/>
      <c r="J108" s="476"/>
      <c r="K108" s="476"/>
      <c r="L108" s="476"/>
      <c r="M108" s="476"/>
    </row>
    <row r="109" spans="1:15" x14ac:dyDescent="0.25">
      <c r="A109" s="423" t="s">
        <v>2854</v>
      </c>
      <c r="B109" s="391"/>
      <c r="C109" s="391"/>
      <c r="D109" s="391"/>
      <c r="E109" s="391"/>
      <c r="F109" s="391"/>
      <c r="G109" s="391"/>
      <c r="H109" s="391"/>
      <c r="I109" s="391"/>
      <c r="J109" s="391"/>
      <c r="K109" s="391"/>
      <c r="L109" s="391"/>
      <c r="M109" s="391"/>
      <c r="N109" s="73">
        <f>SUM(B109:M109)/12</f>
        <v>0</v>
      </c>
    </row>
    <row r="110" spans="1:15" x14ac:dyDescent="0.25">
      <c r="A110" s="423" t="s">
        <v>2853</v>
      </c>
      <c r="B110" s="391"/>
      <c r="C110" s="391"/>
      <c r="D110" s="391"/>
      <c r="E110" s="391"/>
      <c r="F110" s="391"/>
      <c r="G110" s="391"/>
      <c r="H110" s="391"/>
      <c r="I110" s="391"/>
      <c r="J110" s="391"/>
      <c r="K110" s="391"/>
      <c r="L110" s="391"/>
      <c r="M110" s="391"/>
      <c r="N110" s="73">
        <f>SUM(B110:M110)/12</f>
        <v>0</v>
      </c>
    </row>
    <row r="111" spans="1:15" x14ac:dyDescent="0.25">
      <c r="A111" s="474"/>
      <c r="N111" s="580"/>
      <c r="O111" s="580"/>
    </row>
    <row r="112" spans="1:15" x14ac:dyDescent="0.25">
      <c r="A112" s="479" t="s">
        <v>2835</v>
      </c>
      <c r="B112" s="485">
        <f t="shared" ref="B112:L112" si="15">SUM(B86:B107)</f>
        <v>0</v>
      </c>
      <c r="C112" s="485">
        <f t="shared" si="15"/>
        <v>0</v>
      </c>
      <c r="D112" s="485">
        <f t="shared" si="15"/>
        <v>0</v>
      </c>
      <c r="E112" s="485">
        <f t="shared" si="15"/>
        <v>0</v>
      </c>
      <c r="F112" s="485">
        <f t="shared" si="15"/>
        <v>0</v>
      </c>
      <c r="G112" s="485">
        <f t="shared" si="15"/>
        <v>0</v>
      </c>
      <c r="H112" s="485">
        <f t="shared" si="15"/>
        <v>0</v>
      </c>
      <c r="I112" s="485">
        <f t="shared" si="15"/>
        <v>0</v>
      </c>
      <c r="J112" s="485">
        <f t="shared" si="15"/>
        <v>0</v>
      </c>
      <c r="K112" s="485">
        <f t="shared" si="15"/>
        <v>0</v>
      </c>
      <c r="L112" s="485">
        <f t="shared" si="15"/>
        <v>0</v>
      </c>
      <c r="M112" s="485">
        <f>SUM(M86:M107)</f>
        <v>0</v>
      </c>
      <c r="N112" s="485">
        <f>SUM(B112:M112)/12</f>
        <v>0</v>
      </c>
      <c r="O112" s="484"/>
    </row>
    <row r="113" spans="1:15" ht="45" x14ac:dyDescent="0.25">
      <c r="A113" s="472" t="str">
        <f>("SAU totale en horticulture - pépinière lors de la campagne n-2 ("&amp;Surfaces!Q172&amp;")")</f>
        <v>SAU totale en horticulture - pépinière lors de la campagne n-2 (N-2)</v>
      </c>
      <c r="B113" s="486">
        <f t="shared" ref="B113:M113" si="16">B112+B109</f>
        <v>0</v>
      </c>
      <c r="C113" s="486">
        <f t="shared" si="16"/>
        <v>0</v>
      </c>
      <c r="D113" s="486">
        <f t="shared" si="16"/>
        <v>0</v>
      </c>
      <c r="E113" s="486">
        <f t="shared" si="16"/>
        <v>0</v>
      </c>
      <c r="F113" s="486">
        <f t="shared" si="16"/>
        <v>0</v>
      </c>
      <c r="G113" s="486">
        <f t="shared" si="16"/>
        <v>0</v>
      </c>
      <c r="H113" s="486">
        <f t="shared" si="16"/>
        <v>0</v>
      </c>
      <c r="I113" s="486">
        <f t="shared" si="16"/>
        <v>0</v>
      </c>
      <c r="J113" s="486">
        <f t="shared" si="16"/>
        <v>0</v>
      </c>
      <c r="K113" s="486">
        <f t="shared" si="16"/>
        <v>0</v>
      </c>
      <c r="L113" s="486">
        <f t="shared" si="16"/>
        <v>0</v>
      </c>
      <c r="M113" s="486">
        <f t="shared" si="16"/>
        <v>0</v>
      </c>
      <c r="N113" s="486">
        <f>SUM(B113:M113)/12</f>
        <v>0</v>
      </c>
      <c r="O113" s="483" t="s">
        <v>2846</v>
      </c>
    </row>
    <row r="114" spans="1:15" ht="30" x14ac:dyDescent="0.25">
      <c r="A114" s="480" t="s">
        <v>2836</v>
      </c>
      <c r="B114" s="487">
        <f t="shared" ref="B114:L114" si="17">SUM(B86:B90,B92,B95,B97:B101)</f>
        <v>0</v>
      </c>
      <c r="C114" s="487">
        <f t="shared" si="17"/>
        <v>0</v>
      </c>
      <c r="D114" s="487">
        <f t="shared" si="17"/>
        <v>0</v>
      </c>
      <c r="E114" s="487">
        <f t="shared" si="17"/>
        <v>0</v>
      </c>
      <c r="F114" s="487">
        <f t="shared" si="17"/>
        <v>0</v>
      </c>
      <c r="G114" s="487">
        <f t="shared" si="17"/>
        <v>0</v>
      </c>
      <c r="H114" s="487">
        <f t="shared" si="17"/>
        <v>0</v>
      </c>
      <c r="I114" s="487">
        <f t="shared" si="17"/>
        <v>0</v>
      </c>
      <c r="J114" s="487">
        <f t="shared" si="17"/>
        <v>0</v>
      </c>
      <c r="K114" s="487">
        <f t="shared" si="17"/>
        <v>0</v>
      </c>
      <c r="L114" s="487">
        <f t="shared" si="17"/>
        <v>0</v>
      </c>
      <c r="M114" s="487">
        <f>SUM(M86:M90,M92,M95,M97:M101)</f>
        <v>0</v>
      </c>
      <c r="N114" s="487">
        <f>SUM(B114:M114)/12</f>
        <v>0</v>
      </c>
      <c r="O114" s="475"/>
    </row>
    <row r="115" spans="1:15" ht="45" x14ac:dyDescent="0.25">
      <c r="A115" s="472" t="str">
        <f>("SAU totale en horticulture - pépinière hors sol lors de la campagne n-2 ("&amp;Surfaces!Q172&amp;")")</f>
        <v>SAU totale en horticulture - pépinière hors sol lors de la campagne n-2 (N-2)</v>
      </c>
      <c r="B115" s="486">
        <f t="shared" ref="B115:M115" si="18">B114+B110</f>
        <v>0</v>
      </c>
      <c r="C115" s="486">
        <f t="shared" si="18"/>
        <v>0</v>
      </c>
      <c r="D115" s="486">
        <f t="shared" si="18"/>
        <v>0</v>
      </c>
      <c r="E115" s="486">
        <f t="shared" si="18"/>
        <v>0</v>
      </c>
      <c r="F115" s="486">
        <f t="shared" si="18"/>
        <v>0</v>
      </c>
      <c r="G115" s="486">
        <f t="shared" si="18"/>
        <v>0</v>
      </c>
      <c r="H115" s="486">
        <f t="shared" si="18"/>
        <v>0</v>
      </c>
      <c r="I115" s="486">
        <f t="shared" si="18"/>
        <v>0</v>
      </c>
      <c r="J115" s="486">
        <f t="shared" si="18"/>
        <v>0</v>
      </c>
      <c r="K115" s="486">
        <f t="shared" si="18"/>
        <v>0</v>
      </c>
      <c r="L115" s="486">
        <f t="shared" si="18"/>
        <v>0</v>
      </c>
      <c r="M115" s="486">
        <f t="shared" si="18"/>
        <v>0</v>
      </c>
      <c r="N115" s="486">
        <f>SUM(B115:M115)/12</f>
        <v>0</v>
      </c>
      <c r="O115" s="483" t="s">
        <v>2847</v>
      </c>
    </row>
    <row r="116" spans="1:15" x14ac:dyDescent="0.25">
      <c r="A116" s="474"/>
    </row>
    <row r="117" spans="1:15" x14ac:dyDescent="0.25">
      <c r="A117" s="474"/>
    </row>
    <row r="118" spans="1:15" x14ac:dyDescent="0.25">
      <c r="A118" s="474"/>
    </row>
    <row r="119" spans="1:15" x14ac:dyDescent="0.25">
      <c r="A119" s="474"/>
    </row>
    <row r="120" spans="1:15" x14ac:dyDescent="0.25">
      <c r="A120" s="474"/>
    </row>
    <row r="121" spans="1:15" x14ac:dyDescent="0.25">
      <c r="A121" s="474"/>
    </row>
    <row r="122" spans="1:15" x14ac:dyDescent="0.25">
      <c r="A122" s="474"/>
    </row>
    <row r="123" spans="1:15" x14ac:dyDescent="0.25">
      <c r="A123" s="474"/>
    </row>
    <row r="124" spans="1:15" x14ac:dyDescent="0.25">
      <c r="A124" s="474"/>
    </row>
    <row r="125" spans="1:15" x14ac:dyDescent="0.25">
      <c r="A125" s="474"/>
    </row>
    <row r="126" spans="1:15" x14ac:dyDescent="0.25">
      <c r="A126" s="474"/>
    </row>
    <row r="127" spans="1:15" x14ac:dyDescent="0.25">
      <c r="A127" s="474"/>
    </row>
    <row r="128" spans="1:15" x14ac:dyDescent="0.25">
      <c r="A128" s="474"/>
    </row>
    <row r="129" spans="1:1" x14ac:dyDescent="0.25">
      <c r="A129" s="474"/>
    </row>
    <row r="130" spans="1:1" x14ac:dyDescent="0.25">
      <c r="A130" s="474"/>
    </row>
    <row r="131" spans="1:1" x14ac:dyDescent="0.25">
      <c r="A131" s="474"/>
    </row>
    <row r="132" spans="1:1" x14ac:dyDescent="0.25">
      <c r="A132" s="474"/>
    </row>
    <row r="133" spans="1:1" x14ac:dyDescent="0.25">
      <c r="A133" s="474"/>
    </row>
    <row r="134" spans="1:1" x14ac:dyDescent="0.25">
      <c r="A134" s="474"/>
    </row>
    <row r="135" spans="1:1" x14ac:dyDescent="0.25">
      <c r="A135" s="474"/>
    </row>
    <row r="136" spans="1:1" x14ac:dyDescent="0.25">
      <c r="A136" s="474"/>
    </row>
    <row r="137" spans="1:1" x14ac:dyDescent="0.25">
      <c r="A137" s="474"/>
    </row>
    <row r="138" spans="1:1" x14ac:dyDescent="0.25">
      <c r="A138" s="474"/>
    </row>
    <row r="139" spans="1:1" x14ac:dyDescent="0.25">
      <c r="A139" s="474"/>
    </row>
    <row r="140" spans="1:1" x14ac:dyDescent="0.25">
      <c r="A140" s="474"/>
    </row>
    <row r="141" spans="1:1" x14ac:dyDescent="0.25">
      <c r="A141" s="474"/>
    </row>
    <row r="142" spans="1:1" x14ac:dyDescent="0.25">
      <c r="A142" s="474"/>
    </row>
    <row r="143" spans="1:1" x14ac:dyDescent="0.25">
      <c r="A143" s="474"/>
    </row>
    <row r="144" spans="1:1" x14ac:dyDescent="0.25">
      <c r="A144" s="474"/>
    </row>
    <row r="145" spans="1:1" x14ac:dyDescent="0.25">
      <c r="A145" s="474"/>
    </row>
    <row r="146" spans="1:1" x14ac:dyDescent="0.25">
      <c r="A146" s="474"/>
    </row>
    <row r="147" spans="1:1" x14ac:dyDescent="0.25">
      <c r="A147" s="474"/>
    </row>
    <row r="148" spans="1:1" x14ac:dyDescent="0.25">
      <c r="A148" s="474"/>
    </row>
    <row r="149" spans="1:1" x14ac:dyDescent="0.25">
      <c r="A149" s="474"/>
    </row>
    <row r="150" spans="1:1" x14ac:dyDescent="0.25">
      <c r="A150" s="474"/>
    </row>
    <row r="151" spans="1:1" x14ac:dyDescent="0.25">
      <c r="A151" s="474"/>
    </row>
    <row r="152" spans="1:1" x14ac:dyDescent="0.25">
      <c r="A152" s="474"/>
    </row>
    <row r="153" spans="1:1" x14ac:dyDescent="0.25">
      <c r="A153" s="474"/>
    </row>
    <row r="154" spans="1:1" x14ac:dyDescent="0.25">
      <c r="A154" s="474"/>
    </row>
    <row r="155" spans="1:1" x14ac:dyDescent="0.25">
      <c r="A155" s="474"/>
    </row>
    <row r="156" spans="1:1" x14ac:dyDescent="0.25">
      <c r="A156" s="474"/>
    </row>
    <row r="157" spans="1:1" x14ac:dyDescent="0.25">
      <c r="A157" s="474"/>
    </row>
    <row r="158" spans="1:1" x14ac:dyDescent="0.25">
      <c r="A158" s="474"/>
    </row>
    <row r="159" spans="1:1" x14ac:dyDescent="0.25">
      <c r="A159" s="474"/>
    </row>
    <row r="160" spans="1:1" x14ac:dyDescent="0.25">
      <c r="A160" s="474"/>
    </row>
    <row r="161" spans="1:1" x14ac:dyDescent="0.25">
      <c r="A161" s="474"/>
    </row>
    <row r="162" spans="1:1" x14ac:dyDescent="0.25">
      <c r="A162" s="474"/>
    </row>
    <row r="163" spans="1:1" x14ac:dyDescent="0.25">
      <c r="A163" s="474"/>
    </row>
    <row r="164" spans="1:1" x14ac:dyDescent="0.25">
      <c r="A164" s="474"/>
    </row>
    <row r="165" spans="1:1" x14ac:dyDescent="0.25">
      <c r="A165" s="474"/>
    </row>
    <row r="166" spans="1:1" x14ac:dyDescent="0.25">
      <c r="A166" s="474"/>
    </row>
    <row r="167" spans="1:1" x14ac:dyDescent="0.25">
      <c r="A167" s="474"/>
    </row>
    <row r="168" spans="1:1" x14ac:dyDescent="0.25">
      <c r="A168" s="474"/>
    </row>
    <row r="169" spans="1:1" x14ac:dyDescent="0.25">
      <c r="A169" s="474"/>
    </row>
    <row r="170" spans="1:1" x14ac:dyDescent="0.25">
      <c r="A170" s="474"/>
    </row>
    <row r="171" spans="1:1" x14ac:dyDescent="0.25">
      <c r="A171" s="474"/>
    </row>
    <row r="172" spans="1:1" x14ac:dyDescent="0.25">
      <c r="A172" s="474"/>
    </row>
    <row r="173" spans="1:1" x14ac:dyDescent="0.25">
      <c r="A173" s="474"/>
    </row>
    <row r="174" spans="1:1" x14ac:dyDescent="0.25">
      <c r="A174" s="474"/>
    </row>
    <row r="175" spans="1:1" x14ac:dyDescent="0.25">
      <c r="A175" s="474"/>
    </row>
    <row r="176" spans="1:1" x14ac:dyDescent="0.25">
      <c r="A176" s="474"/>
    </row>
    <row r="177" spans="1:1" x14ac:dyDescent="0.25">
      <c r="A177" s="474"/>
    </row>
    <row r="178" spans="1:1" x14ac:dyDescent="0.25">
      <c r="A178" s="474"/>
    </row>
    <row r="179" spans="1:1" x14ac:dyDescent="0.25">
      <c r="A179" s="474"/>
    </row>
    <row r="180" spans="1:1" x14ac:dyDescent="0.25">
      <c r="A180" s="474"/>
    </row>
    <row r="181" spans="1:1" x14ac:dyDescent="0.25">
      <c r="A181" s="474"/>
    </row>
    <row r="182" spans="1:1" x14ac:dyDescent="0.25">
      <c r="A182" s="474"/>
    </row>
    <row r="183" spans="1:1" x14ac:dyDescent="0.25">
      <c r="A183" s="474"/>
    </row>
    <row r="184" spans="1:1" x14ac:dyDescent="0.25">
      <c r="A184" s="474"/>
    </row>
    <row r="185" spans="1:1" x14ac:dyDescent="0.25">
      <c r="A185" s="474"/>
    </row>
    <row r="186" spans="1:1" x14ac:dyDescent="0.25">
      <c r="A186" s="474"/>
    </row>
    <row r="187" spans="1:1" x14ac:dyDescent="0.25">
      <c r="A187" s="474"/>
    </row>
    <row r="188" spans="1:1" x14ac:dyDescent="0.25">
      <c r="A188" s="474"/>
    </row>
    <row r="189" spans="1:1" x14ac:dyDescent="0.25">
      <c r="A189" s="474"/>
    </row>
    <row r="190" spans="1:1" x14ac:dyDescent="0.25">
      <c r="A190" s="474"/>
    </row>
    <row r="191" spans="1:1" x14ac:dyDescent="0.25">
      <c r="A191" s="474"/>
    </row>
    <row r="192" spans="1:1" x14ac:dyDescent="0.25">
      <c r="A192" s="474"/>
    </row>
    <row r="193" spans="1:1" x14ac:dyDescent="0.25">
      <c r="A193" s="474"/>
    </row>
    <row r="194" spans="1:1" x14ac:dyDescent="0.25">
      <c r="A194" s="474"/>
    </row>
    <row r="195" spans="1:1" x14ac:dyDescent="0.25">
      <c r="A195" s="474"/>
    </row>
    <row r="196" spans="1:1" x14ac:dyDescent="0.25">
      <c r="A196" s="474"/>
    </row>
    <row r="197" spans="1:1" x14ac:dyDescent="0.25">
      <c r="A197" s="474"/>
    </row>
    <row r="198" spans="1:1" x14ac:dyDescent="0.25">
      <c r="A198" s="474"/>
    </row>
    <row r="199" spans="1:1" x14ac:dyDescent="0.25">
      <c r="A199" s="474"/>
    </row>
    <row r="200" spans="1:1" x14ac:dyDescent="0.25">
      <c r="A200" s="474"/>
    </row>
    <row r="201" spans="1:1" x14ac:dyDescent="0.25">
      <c r="A201" s="474"/>
    </row>
    <row r="202" spans="1:1" x14ac:dyDescent="0.25">
      <c r="A202" s="474"/>
    </row>
    <row r="203" spans="1:1" x14ac:dyDescent="0.25">
      <c r="A203" s="474"/>
    </row>
    <row r="204" spans="1:1" x14ac:dyDescent="0.25">
      <c r="A204" s="474"/>
    </row>
    <row r="205" spans="1:1" x14ac:dyDescent="0.25">
      <c r="A205" s="474"/>
    </row>
    <row r="206" spans="1:1" x14ac:dyDescent="0.25">
      <c r="A206" s="474"/>
    </row>
    <row r="207" spans="1:1" x14ac:dyDescent="0.25">
      <c r="A207" s="474"/>
    </row>
    <row r="208" spans="1:1" x14ac:dyDescent="0.25">
      <c r="A208" s="474"/>
    </row>
    <row r="209" spans="1:1" x14ac:dyDescent="0.25">
      <c r="A209" s="474"/>
    </row>
    <row r="210" spans="1:1" x14ac:dyDescent="0.25">
      <c r="A210" s="474"/>
    </row>
    <row r="211" spans="1:1" x14ac:dyDescent="0.25">
      <c r="A211" s="474"/>
    </row>
    <row r="212" spans="1:1" x14ac:dyDescent="0.25">
      <c r="A212" s="474"/>
    </row>
    <row r="213" spans="1:1" x14ac:dyDescent="0.25">
      <c r="A213" s="474"/>
    </row>
    <row r="214" spans="1:1" x14ac:dyDescent="0.25">
      <c r="A214" s="474"/>
    </row>
  </sheetData>
  <sheetProtection algorithmName="SHA-512" hashValue="uSFv/n6vr6veUhPEkDmg5porN88up3E4miYCWmROl+QX213UmngwvKxILhZtCVJ2ze7rKY3kSwX4UDv8RrVecw==" saltValue="jsKgU1u2YmdsLxNGFdlo+Q==" spinCount="100000" sheet="1" scenarios="1"/>
  <mergeCells count="4">
    <mergeCell ref="N37:O37"/>
    <mergeCell ref="N74:O74"/>
    <mergeCell ref="N111:O111"/>
    <mergeCell ref="N1:O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AG278"/>
  <sheetViews>
    <sheetView showGridLines="0" zoomScaleNormal="100" workbookViewId="0">
      <pane ySplit="5" topLeftCell="A6" activePane="bottomLeft" state="frozen"/>
      <selection activeCell="AA19" sqref="AA19"/>
      <selection pane="bottomLeft" activeCell="M247" sqref="M247"/>
    </sheetView>
  </sheetViews>
  <sheetFormatPr baseColWidth="10" defaultColWidth="9.140625" defaultRowHeight="15" x14ac:dyDescent="0.25"/>
  <cols>
    <col min="22" max="22" width="2.140625" customWidth="1"/>
    <col min="26" max="26" width="10" customWidth="1"/>
    <col min="28" max="28" width="10.7109375" customWidth="1"/>
    <col min="29" max="29" width="0" hidden="1" customWidth="1"/>
    <col min="30" max="32" width="9.140625" hidden="1" customWidth="1"/>
    <col min="33" max="33" width="27" hidden="1" customWidth="1"/>
    <col min="34" max="42" width="0" hidden="1" customWidth="1"/>
  </cols>
  <sheetData>
    <row r="1" spans="1:32" x14ac:dyDescent="0.25">
      <c r="A1" s="26"/>
      <c r="B1" s="26"/>
      <c r="C1" s="26"/>
      <c r="D1" s="26"/>
      <c r="E1" s="26"/>
      <c r="F1" s="26"/>
      <c r="G1" s="26"/>
      <c r="H1" s="26"/>
      <c r="I1" s="26"/>
      <c r="J1" s="26"/>
      <c r="K1" s="74"/>
      <c r="L1" s="74"/>
      <c r="M1" s="74"/>
      <c r="N1" s="74"/>
      <c r="O1" s="26"/>
      <c r="P1" s="26"/>
      <c r="Q1" s="26"/>
      <c r="R1" s="26"/>
      <c r="S1" s="26"/>
      <c r="T1" s="26"/>
      <c r="U1" s="76" t="s">
        <v>706</v>
      </c>
      <c r="V1" s="26"/>
      <c r="W1" s="26"/>
      <c r="X1" s="26"/>
      <c r="Y1" s="26"/>
      <c r="Z1" s="26"/>
      <c r="AA1" s="26"/>
      <c r="AB1" s="26"/>
    </row>
    <row r="2" spans="1:32" x14ac:dyDescent="0.25">
      <c r="A2" s="26"/>
      <c r="B2" s="26"/>
      <c r="C2" s="26"/>
      <c r="D2" s="26"/>
      <c r="E2" s="26"/>
      <c r="F2" s="26"/>
      <c r="G2" s="26"/>
      <c r="H2" s="26"/>
      <c r="I2" s="26"/>
      <c r="J2" s="26"/>
      <c r="K2" s="74"/>
      <c r="L2" s="74"/>
      <c r="M2" s="74"/>
      <c r="N2" s="74"/>
      <c r="O2" s="26"/>
      <c r="P2" s="26"/>
      <c r="Q2" s="26"/>
      <c r="R2" s="26"/>
      <c r="S2" s="26"/>
      <c r="T2" s="26"/>
      <c r="U2" s="76" t="s">
        <v>705</v>
      </c>
      <c r="V2" s="26"/>
      <c r="W2" s="26"/>
      <c r="X2" s="26"/>
      <c r="Y2" s="26"/>
      <c r="Z2" s="26"/>
      <c r="AA2" s="26"/>
      <c r="AB2" s="26"/>
    </row>
    <row r="3" spans="1:32" x14ac:dyDescent="0.25">
      <c r="A3" s="26"/>
      <c r="B3" s="26"/>
      <c r="C3" s="26"/>
      <c r="D3" s="26"/>
      <c r="E3" s="26"/>
      <c r="F3" s="26"/>
      <c r="G3" s="26"/>
      <c r="H3" s="26"/>
      <c r="I3" s="26"/>
      <c r="J3" s="26"/>
      <c r="K3" s="74"/>
      <c r="L3" s="74"/>
      <c r="M3" s="74"/>
      <c r="N3" s="74"/>
      <c r="O3" s="26"/>
      <c r="P3" s="26"/>
      <c r="Q3" s="26"/>
      <c r="R3" s="26"/>
      <c r="S3" s="26"/>
      <c r="T3" s="26"/>
      <c r="U3" s="75" t="s">
        <v>572</v>
      </c>
      <c r="V3" s="26"/>
      <c r="W3" s="26"/>
      <c r="X3" s="26"/>
      <c r="Y3" s="26"/>
      <c r="Z3" s="26"/>
      <c r="AA3" s="26"/>
      <c r="AB3" s="26"/>
    </row>
    <row r="4" spans="1:32"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676" t="str">
        <f>Accueil!I6</f>
        <v>Version 1.11</v>
      </c>
      <c r="AB4" s="676"/>
    </row>
    <row r="5" spans="1:32"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7" spans="1:32" ht="15.75" thickBot="1" x14ac:dyDescent="0.3"/>
    <row r="8" spans="1:32" x14ac:dyDescent="0.25">
      <c r="B8" s="16"/>
      <c r="C8" s="17"/>
      <c r="D8" s="17"/>
      <c r="E8" s="17"/>
      <c r="F8" s="17"/>
      <c r="G8" s="17"/>
      <c r="H8" s="17"/>
      <c r="I8" s="17"/>
      <c r="J8" s="17"/>
      <c r="K8" s="17"/>
      <c r="L8" s="17"/>
      <c r="M8" s="17"/>
      <c r="N8" s="17"/>
      <c r="O8" s="17"/>
      <c r="P8" s="17"/>
      <c r="Q8" s="17"/>
      <c r="R8" s="17"/>
      <c r="S8" s="17"/>
      <c r="T8" s="17"/>
      <c r="U8" s="17"/>
      <c r="V8" s="17"/>
      <c r="W8" s="17"/>
      <c r="X8" s="17"/>
      <c r="Y8" s="17"/>
      <c r="Z8" s="17"/>
      <c r="AA8" s="18"/>
      <c r="AD8" t="s">
        <v>248</v>
      </c>
    </row>
    <row r="9" spans="1:32" x14ac:dyDescent="0.25">
      <c r="B9" s="19"/>
      <c r="AA9" s="20"/>
    </row>
    <row r="10" spans="1:32" x14ac:dyDescent="0.25">
      <c r="B10" s="19"/>
      <c r="C10" s="65" t="s">
        <v>2402</v>
      </c>
      <c r="P10" s="41"/>
      <c r="Q10" s="41"/>
      <c r="R10" s="41"/>
      <c r="S10" s="41"/>
      <c r="T10" s="41"/>
      <c r="U10" s="41"/>
      <c r="W10" s="41"/>
      <c r="X10" s="41"/>
      <c r="Y10" s="41"/>
      <c r="Z10" s="41"/>
      <c r="AA10" s="20"/>
    </row>
    <row r="11" spans="1:32" x14ac:dyDescent="0.25">
      <c r="B11" s="19"/>
      <c r="P11" s="41"/>
      <c r="Q11" s="41"/>
      <c r="R11" s="41"/>
      <c r="S11" s="41"/>
      <c r="T11" s="41"/>
      <c r="U11" s="41"/>
      <c r="W11" s="41"/>
      <c r="X11" s="41"/>
      <c r="Y11" s="41"/>
      <c r="Z11" s="41"/>
      <c r="AA11" s="20"/>
    </row>
    <row r="12" spans="1:32" x14ac:dyDescent="0.25">
      <c r="B12" s="19"/>
      <c r="P12" s="594" t="s">
        <v>2318</v>
      </c>
      <c r="Q12" s="594"/>
      <c r="R12" s="594"/>
      <c r="S12" s="594"/>
      <c r="T12" s="594"/>
      <c r="U12" s="594"/>
      <c r="W12" s="594" t="s">
        <v>2403</v>
      </c>
      <c r="X12" s="594"/>
      <c r="Y12" s="594"/>
      <c r="Z12" s="594"/>
      <c r="AA12" s="20"/>
    </row>
    <row r="13" spans="1:32" x14ac:dyDescent="0.25">
      <c r="B13" s="19"/>
      <c r="P13" s="594" t="s">
        <v>2319</v>
      </c>
      <c r="Q13" s="594"/>
      <c r="R13" s="594"/>
      <c r="S13" s="594"/>
      <c r="T13" s="761" t="s">
        <v>206</v>
      </c>
      <c r="U13" s="761"/>
      <c r="W13" s="594"/>
      <c r="X13" s="594"/>
      <c r="Y13" s="594"/>
      <c r="Z13" s="594"/>
      <c r="AA13" s="304"/>
    </row>
    <row r="14" spans="1:32" ht="15" customHeight="1" x14ac:dyDescent="0.25">
      <c r="B14" s="19"/>
      <c r="P14" s="757" t="s">
        <v>2321</v>
      </c>
      <c r="Q14" s="757"/>
      <c r="R14" s="759" t="s">
        <v>2404</v>
      </c>
      <c r="S14" s="759"/>
      <c r="T14" s="761"/>
      <c r="U14" s="761"/>
      <c r="W14" s="757" t="s">
        <v>2321</v>
      </c>
      <c r="X14" s="757"/>
      <c r="Y14" s="759" t="s">
        <v>2320</v>
      </c>
      <c r="Z14" s="759"/>
      <c r="AA14" s="20"/>
      <c r="AF14" s="36" t="s">
        <v>243</v>
      </c>
    </row>
    <row r="15" spans="1:32" x14ac:dyDescent="0.25">
      <c r="B15" s="19"/>
      <c r="P15" s="757"/>
      <c r="Q15" s="757"/>
      <c r="R15" s="759"/>
      <c r="S15" s="759"/>
      <c r="T15" s="761"/>
      <c r="U15" s="761"/>
      <c r="W15" s="757"/>
      <c r="X15" s="757"/>
      <c r="Y15" s="759"/>
      <c r="Z15" s="759"/>
      <c r="AA15" s="20"/>
      <c r="AF15" s="36"/>
    </row>
    <row r="16" spans="1:32" x14ac:dyDescent="0.25">
      <c r="B16" s="19"/>
      <c r="P16" s="758"/>
      <c r="Q16" s="758"/>
      <c r="R16" s="760"/>
      <c r="S16" s="760"/>
      <c r="T16" s="762"/>
      <c r="U16" s="762"/>
      <c r="W16" s="758"/>
      <c r="X16" s="758"/>
      <c r="Y16" s="760"/>
      <c r="Z16" s="760"/>
      <c r="AA16" s="20"/>
      <c r="AF16" s="36"/>
    </row>
    <row r="17" spans="2:32" ht="15" customHeight="1" x14ac:dyDescent="0.25">
      <c r="B17" s="19"/>
      <c r="C17" s="745" t="s">
        <v>208</v>
      </c>
      <c r="D17" s="745"/>
      <c r="E17" s="745"/>
      <c r="F17" s="745"/>
      <c r="G17" s="745"/>
      <c r="H17" s="745"/>
      <c r="I17" s="745"/>
      <c r="J17" s="745"/>
      <c r="K17" s="745"/>
      <c r="L17" s="745"/>
      <c r="M17" s="745"/>
      <c r="N17" s="745"/>
      <c r="O17" s="746"/>
      <c r="P17" s="723"/>
      <c r="Q17" s="724"/>
      <c r="R17" s="723"/>
      <c r="S17" s="724"/>
      <c r="T17" s="737" t="str">
        <f>IFERROR(INDEX(Paramètres!$E$5:$E$25,MATCH(Biodiversité!AF17,Paramètres!$G$5:$G$25,0)),"Unité non retrouvée")</f>
        <v>m linéaire</v>
      </c>
      <c r="U17" s="738"/>
      <c r="W17" s="749">
        <f>IFERROR(IF(OR(T17="m linéaire",T17="arbre"),(P17*INDEX(Paramètres!$F$5:$F$25,MATCH(Biodiversité!AF17,Paramètres!$G$5:$G$25,0))) / 10000,P17*INDEX(Paramètres!$F$5:$F$25,MATCH(Biodiversité!AF17,Paramètres!$G$5:$G$25,0))),0)</f>
        <v>0</v>
      </c>
      <c r="X17" s="750"/>
      <c r="Y17" s="743">
        <f>IFERROR(IF(OR(T17="m linéaire",T17="arbre"),(R17*INDEX(Paramètres!$F$5:$F$25,MATCH(Biodiversité!AF17,Paramètres!$G$5:$G$25,0))) / 10000, R17*INDEX(Paramètres!$F$5:$F$25,MATCH(Biodiversité!AF17,Paramètres!$G$5:$G$25,0))),0)</f>
        <v>0</v>
      </c>
      <c r="Z17" s="744"/>
      <c r="AA17" s="20"/>
      <c r="AD17">
        <f>IF(R17&gt;0,INDEX(Paramètres!$H$5:$H$23,MATCH(AF17,Paramètres!$G$5:$G$23,0)),0)</f>
        <v>0</v>
      </c>
      <c r="AF17" s="36">
        <v>1</v>
      </c>
    </row>
    <row r="18" spans="2:32" ht="15" customHeight="1" x14ac:dyDescent="0.25">
      <c r="B18" s="19"/>
      <c r="C18" s="716" t="s">
        <v>211</v>
      </c>
      <c r="D18" s="716"/>
      <c r="E18" s="716"/>
      <c r="F18" s="716"/>
      <c r="G18" s="716"/>
      <c r="H18" s="716"/>
      <c r="I18" s="716"/>
      <c r="J18" s="716"/>
      <c r="K18" s="716"/>
      <c r="L18" s="716"/>
      <c r="M18" s="716"/>
      <c r="N18" s="716"/>
      <c r="O18" s="717"/>
      <c r="P18" s="723"/>
      <c r="Q18" s="724"/>
      <c r="R18" s="723"/>
      <c r="S18" s="724"/>
      <c r="T18" s="737" t="str">
        <f>IFERROR(INDEX(Paramètres!$E$5:$E$25,MATCH(Biodiversité!AF18,Paramètres!$G$5:$G$25,0)),"Unité non retrouvée")</f>
        <v>m linéaire</v>
      </c>
      <c r="U18" s="738"/>
      <c r="W18" s="749">
        <f>IFERROR(IF(OR(T18="m linéaire",T18="arbre"),(P18*INDEX(Paramètres!$F$5:$F$25,MATCH(Biodiversité!AF18,Paramètres!$G$5:$G$25,0))) / 10000,P18*INDEX(Paramètres!$F$5:$F$25,MATCH(Biodiversité!AF18,Paramètres!$G$5:$G$25,0))),0)</f>
        <v>0</v>
      </c>
      <c r="X18" s="750"/>
      <c r="Y18" s="743">
        <f>IFERROR(IF(OR(T18="m linéaire",T18="arbre"),(R18*INDEX(Paramètres!$F$5:$F$25,MATCH(Biodiversité!AF18,Paramètres!$G$5:$G$25,0))) / 10000, R18*INDEX(Paramètres!$F$5:$F$25,MATCH(Biodiversité!AF18,Paramètres!$G$5:$G$25,0))),0)</f>
        <v>0</v>
      </c>
      <c r="Z18" s="744"/>
      <c r="AA18" s="20"/>
      <c r="AD18">
        <f>IF(R18&gt;0,INDEX(Paramètres!$H$5:$H$23,MATCH(AF18,Paramètres!$G$5:$G$23,0)),0)</f>
        <v>0</v>
      </c>
      <c r="AF18" s="36">
        <v>2</v>
      </c>
    </row>
    <row r="19" spans="2:32" ht="15" customHeight="1" x14ac:dyDescent="0.25">
      <c r="B19" s="19"/>
      <c r="C19" s="716" t="s">
        <v>212</v>
      </c>
      <c r="D19" s="716"/>
      <c r="E19" s="716"/>
      <c r="F19" s="716"/>
      <c r="G19" s="716"/>
      <c r="H19" s="716"/>
      <c r="I19" s="716"/>
      <c r="J19" s="716"/>
      <c r="K19" s="716"/>
      <c r="L19" s="716"/>
      <c r="M19" s="716"/>
      <c r="N19" s="716"/>
      <c r="O19" s="717"/>
      <c r="P19" s="723"/>
      <c r="Q19" s="724"/>
      <c r="R19" s="723"/>
      <c r="S19" s="724"/>
      <c r="T19" s="737" t="str">
        <f>IFERROR(INDEX(Paramètres!$E$5:$E$25,MATCH(Biodiversité!AF19,Paramètres!$G$5:$G$25,0)),"Unité non retrouvée")</f>
        <v>arbre</v>
      </c>
      <c r="U19" s="738"/>
      <c r="W19" s="749">
        <f>IFERROR(IF(OR(T19="m linéaire",T19="arbre"),(P19*INDEX(Paramètres!$F$5:$F$25,MATCH(Biodiversité!AF19,Paramètres!$G$5:$G$25,0))) / 10000,P19*INDEX(Paramètres!$F$5:$F$25,MATCH(Biodiversité!AF19,Paramètres!$G$5:$G$25,0))),0)</f>
        <v>0</v>
      </c>
      <c r="X19" s="750"/>
      <c r="Y19" s="743">
        <f>IFERROR(IF(OR(T19="m linéaire",T19="arbre"),(R19*INDEX(Paramètres!$F$5:$F$25,MATCH(Biodiversité!AF19,Paramètres!$G$5:$G$25,0))) / 10000, R19*INDEX(Paramètres!$F$5:$F$25,MATCH(Biodiversité!AF19,Paramètres!$G$5:$G$25,0))),0)</f>
        <v>0</v>
      </c>
      <c r="Z19" s="744"/>
      <c r="AA19" s="20"/>
      <c r="AD19">
        <f>IF(R19&gt;0,INDEX(Paramètres!$H$5:$H$23,MATCH(AF19,Paramètres!$G$5:$G$23,0)),0)</f>
        <v>0</v>
      </c>
      <c r="AF19" s="36">
        <v>3</v>
      </c>
    </row>
    <row r="20" spans="2:32" ht="15" customHeight="1" x14ac:dyDescent="0.25">
      <c r="B20" s="19"/>
      <c r="C20" s="716" t="s">
        <v>214</v>
      </c>
      <c r="D20" s="716"/>
      <c r="E20" s="716"/>
      <c r="F20" s="716"/>
      <c r="G20" s="716"/>
      <c r="H20" s="716"/>
      <c r="I20" s="716"/>
      <c r="J20" s="716"/>
      <c r="K20" s="716"/>
      <c r="L20" s="716"/>
      <c r="M20" s="716"/>
      <c r="N20" s="716"/>
      <c r="O20" s="717"/>
      <c r="P20" s="723"/>
      <c r="Q20" s="724"/>
      <c r="R20" s="723"/>
      <c r="S20" s="724"/>
      <c r="T20" s="737" t="str">
        <f>IFERROR(INDEX(Paramètres!$E$5:$E$25,MATCH(Biodiversité!AF20,Paramètres!$G$5:$G$25,0)),"Unité non retrouvée")</f>
        <v>hectares</v>
      </c>
      <c r="U20" s="738"/>
      <c r="W20" s="749">
        <f>IFERROR(IF(OR(T20="m linéaire",T20="arbre"),(P20*INDEX(Paramètres!$F$5:$F$25,MATCH(Biodiversité!AF20,Paramètres!$G$5:$G$25,0))) / 10000,P20*INDEX(Paramètres!$F$5:$F$25,MATCH(Biodiversité!AF20,Paramètres!$G$5:$G$25,0))),0)</f>
        <v>0</v>
      </c>
      <c r="X20" s="750"/>
      <c r="Y20" s="743">
        <f>IFERROR(IF(OR(T20="m linéaire",T20="arbre"),(R20*INDEX(Paramètres!$F$5:$F$25,MATCH(Biodiversité!AF20,Paramètres!$G$5:$G$25,0))) / 10000, R20*INDEX(Paramètres!$F$5:$F$25,MATCH(Biodiversité!AF20,Paramètres!$G$5:$G$25,0))),0)</f>
        <v>0</v>
      </c>
      <c r="Z20" s="744"/>
      <c r="AA20" s="20"/>
      <c r="AD20">
        <f>IF(R20&gt;0,INDEX(Paramètres!$H$5:$H$23,MATCH(AF20,Paramètres!$G$5:$G$23,0)),0)</f>
        <v>0</v>
      </c>
      <c r="AF20" s="36">
        <v>4</v>
      </c>
    </row>
    <row r="21" spans="2:32" ht="15" customHeight="1" x14ac:dyDescent="0.25">
      <c r="B21" s="19"/>
      <c r="C21" s="716" t="s">
        <v>215</v>
      </c>
      <c r="D21" s="716"/>
      <c r="E21" s="716"/>
      <c r="F21" s="716"/>
      <c r="G21" s="716"/>
      <c r="H21" s="716"/>
      <c r="I21" s="716"/>
      <c r="J21" s="716"/>
      <c r="K21" s="716"/>
      <c r="L21" s="716"/>
      <c r="M21" s="716"/>
      <c r="N21" s="716"/>
      <c r="O21" s="717"/>
      <c r="P21" s="723"/>
      <c r="Q21" s="724"/>
      <c r="R21" s="747"/>
      <c r="S21" s="748"/>
      <c r="T21" s="737" t="str">
        <f>IFERROR(INDEX(Paramètres!$E$5:$E$25,MATCH(Biodiversité!AF21,Paramètres!$G$5:$G$25,0)),"Unité non retrouvée")</f>
        <v>hectares</v>
      </c>
      <c r="U21" s="738"/>
      <c r="W21" s="749">
        <f>IFERROR(IF(OR(T21="m linéaire",T21="arbre"),(P21*INDEX(Paramètres!$F$5:$F$25,MATCH(Biodiversité!AF21,Paramètres!$G$5:$G$25,0))) / 10000,P21*INDEX(Paramètres!$F$5:$F$25,MATCH(Biodiversité!AF21,Paramètres!$G$5:$G$25,0))),0)</f>
        <v>0</v>
      </c>
      <c r="X21" s="750"/>
      <c r="Y21" s="743">
        <f>IFERROR(IF(OR(T21="m linéaire",T21="arbre"),(R21*INDEX(Paramètres!$F$5:$F$25,MATCH(Biodiversité!AF21,Paramètres!$G$5:$G$25,0))) / 10000, R21*INDEX(Paramètres!$F$5:$F$25,MATCH(Biodiversité!AF21,Paramètres!$G$5:$G$25,0))),0)</f>
        <v>0</v>
      </c>
      <c r="Z21" s="744"/>
      <c r="AA21" s="20"/>
      <c r="AD21">
        <f>IF(R21&gt;0,INDEX(Paramètres!$H$5:$H$23,MATCH(AF21,Paramètres!$G$5:$G$23,0)),0)</f>
        <v>0</v>
      </c>
      <c r="AF21" s="36">
        <v>5</v>
      </c>
    </row>
    <row r="22" spans="2:32" ht="15" customHeight="1" x14ac:dyDescent="0.25">
      <c r="B22" s="19"/>
      <c r="C22" s="716" t="s">
        <v>216</v>
      </c>
      <c r="D22" s="716"/>
      <c r="E22" s="716"/>
      <c r="F22" s="716"/>
      <c r="G22" s="716"/>
      <c r="H22" s="716"/>
      <c r="I22" s="716"/>
      <c r="J22" s="716"/>
      <c r="K22" s="716"/>
      <c r="L22" s="716"/>
      <c r="M22" s="716"/>
      <c r="N22" s="716"/>
      <c r="O22" s="717"/>
      <c r="P22" s="723"/>
      <c r="Q22" s="724"/>
      <c r="R22" s="723"/>
      <c r="S22" s="724"/>
      <c r="T22" s="737" t="str">
        <f>IFERROR(INDEX(Paramètres!$E$5:$E$25,MATCH(Biodiversité!AF22,Paramètres!$G$5:$G$25,0)),"Unité non retrouvée")</f>
        <v>m linéaire</v>
      </c>
      <c r="U22" s="738"/>
      <c r="W22" s="749">
        <f>IFERROR(IF(OR(T22="m linéaire",T22="arbre"),(P22*INDEX(Paramètres!$F$5:$F$25,MATCH(Biodiversité!AF22,Paramètres!$G$5:$G$25,0))) / 10000,P22*INDEX(Paramètres!$F$5:$F$25,MATCH(Biodiversité!AF22,Paramètres!$G$5:$G$25,0))),0)</f>
        <v>0</v>
      </c>
      <c r="X22" s="750"/>
      <c r="Y22" s="743">
        <f>IFERROR(IF(OR(T22="m linéaire",T22="arbre"),(R22*INDEX(Paramètres!$F$5:$F$25,MATCH(Biodiversité!AF22,Paramètres!$G$5:$G$25,0))) / 10000, R22*INDEX(Paramètres!$F$5:$F$25,MATCH(Biodiversité!AF22,Paramètres!$G$5:$G$25,0))),0)</f>
        <v>0</v>
      </c>
      <c r="Z22" s="744"/>
      <c r="AA22" s="20"/>
      <c r="AD22">
        <f>IF(R22&gt;0,INDEX(Paramètres!$H$5:$H$23,MATCH(AF22,Paramètres!$G$5:$G$23,0)),0)</f>
        <v>0</v>
      </c>
      <c r="AF22" s="36">
        <v>6</v>
      </c>
    </row>
    <row r="23" spans="2:32" ht="15" customHeight="1" x14ac:dyDescent="0.25">
      <c r="B23" s="19"/>
      <c r="C23" s="716" t="s">
        <v>217</v>
      </c>
      <c r="D23" s="716"/>
      <c r="E23" s="716"/>
      <c r="F23" s="716"/>
      <c r="G23" s="716"/>
      <c r="H23" s="716"/>
      <c r="I23" s="716"/>
      <c r="J23" s="716"/>
      <c r="K23" s="716"/>
      <c r="L23" s="716"/>
      <c r="M23" s="716"/>
      <c r="N23" s="716"/>
      <c r="O23" s="717"/>
      <c r="P23" s="723"/>
      <c r="Q23" s="724"/>
      <c r="R23" s="723"/>
      <c r="S23" s="724"/>
      <c r="T23" s="737" t="str">
        <f>IFERROR(INDEX(Paramètres!$E$5:$E$25,MATCH(Biodiversité!AF23,Paramètres!$G$5:$G$25,0)),"Unité non retrouvée")</f>
        <v>m linéaire</v>
      </c>
      <c r="U23" s="738"/>
      <c r="W23" s="749">
        <f>IFERROR(IF(OR(T23="m linéaire",T23="arbre"),(P23*INDEX(Paramètres!$F$5:$F$25,MATCH(Biodiversité!AF23,Paramètres!$G$5:$G$25,0))) / 10000,P23*INDEX(Paramètres!$F$5:$F$25,MATCH(Biodiversité!AF23,Paramètres!$G$5:$G$25,0))),0)</f>
        <v>0</v>
      </c>
      <c r="X23" s="750"/>
      <c r="Y23" s="743">
        <f>IFERROR(IF(OR(T23="m linéaire",T23="arbre"),(R23*INDEX(Paramètres!$F$5:$F$25,MATCH(Biodiversité!AF23,Paramètres!$G$5:$G$25,0))) / 10000, R23*INDEX(Paramètres!$F$5:$F$25,MATCH(Biodiversité!AF23,Paramètres!$G$5:$G$25,0))),0)</f>
        <v>0</v>
      </c>
      <c r="Z23" s="744"/>
      <c r="AA23" s="20"/>
      <c r="AD23">
        <f>IF(R23&gt;0,INDEX(Paramètres!$H$5:$H$23,MATCH(AF23,Paramètres!$G$5:$G$23,0)),0)</f>
        <v>0</v>
      </c>
      <c r="AF23" s="36">
        <v>7</v>
      </c>
    </row>
    <row r="24" spans="2:32" ht="15" customHeight="1" x14ac:dyDescent="0.25">
      <c r="B24" s="19"/>
      <c r="C24" s="716" t="s">
        <v>2548</v>
      </c>
      <c r="D24" s="716"/>
      <c r="E24" s="716"/>
      <c r="F24" s="716"/>
      <c r="G24" s="716"/>
      <c r="H24" s="716"/>
      <c r="I24" s="716"/>
      <c r="J24" s="716"/>
      <c r="K24" s="716"/>
      <c r="L24" s="716"/>
      <c r="M24" s="716"/>
      <c r="N24" s="716"/>
      <c r="O24" s="717"/>
      <c r="P24" s="723"/>
      <c r="Q24" s="724"/>
      <c r="R24" s="751"/>
      <c r="S24" s="752"/>
      <c r="T24" s="737" t="str">
        <f>IFERROR(INDEX(Paramètres!$E$5:$E$25,MATCH(Biodiversité!AF24,Paramètres!$G$5:$G$25,0)),"Unité non retrouvée")</f>
        <v>m linéaire</v>
      </c>
      <c r="U24" s="738"/>
      <c r="W24" s="749">
        <f>IFERROR(IF(OR(T24="m linéaire",T24="arbre"),(P24*INDEX(Paramètres!$F$5:$F$25,MATCH(Biodiversité!AF24,Paramètres!$G$5:$G$25,0))) / 10000,P24*INDEX(Paramètres!$F$5:$F$25,MATCH(Biodiversité!AF24,Paramètres!$G$5:$G$25,0))),0)</f>
        <v>0</v>
      </c>
      <c r="X24" s="750"/>
      <c r="Y24" s="753"/>
      <c r="Z24" s="754"/>
      <c r="AA24" s="20"/>
      <c r="AD24">
        <f>IF(R24&gt;0,INDEX(Paramètres!$H$5:$H$23,MATCH(AF24,Paramètres!$G$5:$G$23,0)),0)</f>
        <v>0</v>
      </c>
      <c r="AF24" s="36">
        <v>8</v>
      </c>
    </row>
    <row r="25" spans="2:32" x14ac:dyDescent="0.25">
      <c r="B25" s="19"/>
      <c r="C25" s="727" t="s">
        <v>2549</v>
      </c>
      <c r="D25" s="727"/>
      <c r="E25" s="727"/>
      <c r="F25" s="727"/>
      <c r="G25" s="727"/>
      <c r="H25" s="727"/>
      <c r="I25" s="727"/>
      <c r="J25" s="727"/>
      <c r="K25" s="727"/>
      <c r="L25" s="727"/>
      <c r="M25" s="727"/>
      <c r="N25" s="727"/>
      <c r="O25" s="728"/>
      <c r="P25" s="751"/>
      <c r="Q25" s="752"/>
      <c r="R25" s="723"/>
      <c r="S25" s="724"/>
      <c r="T25" s="737" t="str">
        <f>IFERROR(INDEX(Paramètres!$E$5:$E$25,MATCH(Biodiversité!AF25,Paramètres!$G$5:$G$25,0)),"Unité non retrouvée")</f>
        <v>m linéaire</v>
      </c>
      <c r="U25" s="738"/>
      <c r="W25" s="751"/>
      <c r="X25" s="752"/>
      <c r="Y25" s="743">
        <f>IFERROR(IF(OR(T25="m linéaire",T25="arbre"),(R25*INDEX(Paramètres!$F$5:$F$25,MATCH(Biodiversité!AF25,Paramètres!$G$5:$G$25,0))) / 10000, R25*INDEX(Paramètres!$F$5:$F$25,MATCH(Biodiversité!AF25,Paramètres!$G$5:$G$25,0))),0)</f>
        <v>0</v>
      </c>
      <c r="Z25" s="744"/>
      <c r="AA25" s="20"/>
      <c r="AD25">
        <f>IF(R25&gt;0,INDEX(Paramètres!$H$5:$H$23,MATCH(AF25,Paramètres!$G$5:$G$23,0)),0)</f>
        <v>0</v>
      </c>
      <c r="AF25" s="36">
        <v>9</v>
      </c>
    </row>
    <row r="26" spans="2:32" ht="15" customHeight="1" x14ac:dyDescent="0.25">
      <c r="B26" s="19"/>
      <c r="C26" s="716" t="s">
        <v>220</v>
      </c>
      <c r="D26" s="716"/>
      <c r="E26" s="716"/>
      <c r="F26" s="716"/>
      <c r="G26" s="716"/>
      <c r="H26" s="716"/>
      <c r="I26" s="716"/>
      <c r="J26" s="716"/>
      <c r="K26" s="716"/>
      <c r="L26" s="716"/>
      <c r="M26" s="716"/>
      <c r="N26" s="716"/>
      <c r="O26" s="717"/>
      <c r="P26" s="723"/>
      <c r="Q26" s="724"/>
      <c r="R26" s="723"/>
      <c r="S26" s="724"/>
      <c r="T26" s="737" t="str">
        <f>IFERROR(INDEX(Paramètres!$E$5:$E$25,MATCH(Biodiversité!AF26,Paramètres!$G$5:$G$25,0)),"Unité non retrouvée")</f>
        <v>hectares</v>
      </c>
      <c r="U26" s="738"/>
      <c r="W26" s="749">
        <f>IFERROR(IF(OR(T26="m linéaire",T26="arbre"),(P26*INDEX(Paramètres!$F$5:$F$25,MATCH(Biodiversité!AF26,Paramètres!$G$5:$G$25,0))) / 10000,P26*INDEX(Paramètres!$F$5:$F$25,MATCH(Biodiversité!AF26,Paramètres!$G$5:$G$25,0))),0)</f>
        <v>0</v>
      </c>
      <c r="X26" s="750"/>
      <c r="Y26" s="743">
        <f>IFERROR(IF(OR(T26="m linéaire",T26="arbre"),(R26*INDEX(Paramètres!$F$5:$F$25,MATCH(Biodiversité!AF26,Paramètres!$G$5:$G$25,0))) / 10000, R26*INDEX(Paramètres!$F$5:$F$25,MATCH(Biodiversité!AF26,Paramètres!$G$5:$G$25,0))),0)</f>
        <v>0</v>
      </c>
      <c r="Z26" s="744"/>
      <c r="AA26" s="20"/>
      <c r="AD26">
        <f>IF(R26&gt;0,INDEX(Paramètres!$H$5:$H$23,MATCH(AF26,Paramètres!$G$5:$G$23,0)),0)</f>
        <v>0</v>
      </c>
      <c r="AF26" s="36">
        <v>10</v>
      </c>
    </row>
    <row r="27" spans="2:32" ht="15" customHeight="1" x14ac:dyDescent="0.25">
      <c r="B27" s="19"/>
      <c r="C27" s="716" t="s">
        <v>221</v>
      </c>
      <c r="D27" s="716"/>
      <c r="E27" s="716"/>
      <c r="F27" s="716"/>
      <c r="G27" s="716"/>
      <c r="H27" s="716"/>
      <c r="I27" s="716"/>
      <c r="J27" s="716"/>
      <c r="K27" s="716"/>
      <c r="L27" s="716"/>
      <c r="M27" s="716"/>
      <c r="N27" s="716"/>
      <c r="O27" s="717"/>
      <c r="P27" s="723"/>
      <c r="Q27" s="724"/>
      <c r="R27" s="723"/>
      <c r="S27" s="724"/>
      <c r="T27" s="737" t="str">
        <f>IFERROR(INDEX(Paramètres!$E$5:$E$25,MATCH(Biodiversité!AF27,Paramètres!$G$5:$G$25,0)),"Unité non retrouvée")</f>
        <v>hectares</v>
      </c>
      <c r="U27" s="738"/>
      <c r="W27" s="749">
        <f>IFERROR(IF(OR(T27="m linéaire",T27="arbre"),(P27*INDEX(Paramètres!$F$5:$F$25,MATCH(Biodiversité!AF27,Paramètres!$G$5:$G$25,0))) / 10000,P27*INDEX(Paramètres!$F$5:$F$25,MATCH(Biodiversité!AF27,Paramètres!$G$5:$G$25,0))),0)</f>
        <v>0</v>
      </c>
      <c r="X27" s="750"/>
      <c r="Y27" s="743">
        <f>IFERROR(IF(OR(T27="m linéaire",T27="arbre"),(R27*INDEX(Paramètres!$F$5:$F$25,MATCH(Biodiversité!AF27,Paramètres!$G$5:$G$25,0))) / 10000, R27*INDEX(Paramètres!$F$5:$F$25,MATCH(Biodiversité!AF27,Paramètres!$G$5:$G$25,0))),0)</f>
        <v>0</v>
      </c>
      <c r="Z27" s="744"/>
      <c r="AA27" s="20"/>
      <c r="AD27">
        <f>IF(R27&gt;0,INDEX(Paramètres!$H$5:$H$23,MATCH(AF27,Paramètres!$G$5:$G$23,0)),0)</f>
        <v>0</v>
      </c>
      <c r="AF27" s="36">
        <v>11</v>
      </c>
    </row>
    <row r="28" spans="2:32" ht="15" customHeight="1" x14ac:dyDescent="0.25">
      <c r="B28" s="19"/>
      <c r="C28" s="716" t="s">
        <v>222</v>
      </c>
      <c r="D28" s="716"/>
      <c r="E28" s="716"/>
      <c r="F28" s="716"/>
      <c r="G28" s="716"/>
      <c r="H28" s="716"/>
      <c r="I28" s="716"/>
      <c r="J28" s="716"/>
      <c r="K28" s="716"/>
      <c r="L28" s="716"/>
      <c r="M28" s="716"/>
      <c r="N28" s="716"/>
      <c r="O28" s="717"/>
      <c r="P28" s="755"/>
      <c r="Q28" s="756"/>
      <c r="R28" s="723"/>
      <c r="S28" s="724"/>
      <c r="T28" s="737" t="str">
        <f>IFERROR(INDEX(Paramètres!$E$5:$E$25,MATCH(Biodiversité!AF28,Paramètres!$G$5:$G$25,0)),"Unité non retrouvée")</f>
        <v>hectares</v>
      </c>
      <c r="U28" s="738"/>
      <c r="W28" s="755"/>
      <c r="X28" s="756"/>
      <c r="Y28" s="743">
        <f>IFERROR(IF(OR(T28="m linéaire",T28="arbre"),(R28*INDEX(Paramètres!$F$5:$F$25,MATCH(Biodiversité!AF28,Paramètres!$G$5:$G$25,0))) / 10000, R28*INDEX(Paramètres!$F$5:$F$25,MATCH(Biodiversité!AF28,Paramètres!$G$5:$G$25,0))),0)</f>
        <v>0</v>
      </c>
      <c r="Z28" s="744"/>
      <c r="AA28" s="20"/>
      <c r="AD28">
        <f>IF(R28&gt;0,INDEX(Paramètres!$H$5:$H$23,MATCH(AF28,Paramètres!$G$5:$G$23,0)),0)</f>
        <v>0</v>
      </c>
      <c r="AF28" s="36">
        <v>12</v>
      </c>
    </row>
    <row r="29" spans="2:32" x14ac:dyDescent="0.25">
      <c r="B29" s="19"/>
      <c r="C29" s="727" t="s">
        <v>223</v>
      </c>
      <c r="D29" s="727"/>
      <c r="E29" s="727"/>
      <c r="F29" s="727"/>
      <c r="G29" s="727"/>
      <c r="H29" s="727"/>
      <c r="I29" s="727"/>
      <c r="J29" s="727"/>
      <c r="K29" s="727"/>
      <c r="L29" s="727"/>
      <c r="M29" s="727"/>
      <c r="N29" s="727"/>
      <c r="O29" s="728"/>
      <c r="P29" s="735"/>
      <c r="Q29" s="736"/>
      <c r="R29" s="723"/>
      <c r="S29" s="724"/>
      <c r="T29" s="737" t="str">
        <f>IFERROR(INDEX(Paramètres!$E$5:$E$25,MATCH(Biodiversité!AF29,Paramètres!$G$5:$G$25,0)),"Unité non retrouvée")</f>
        <v>hectares</v>
      </c>
      <c r="U29" s="738"/>
      <c r="W29" s="735"/>
      <c r="X29" s="736"/>
      <c r="Y29" s="743">
        <f>IFERROR(IF(OR(T29="m linéaire",T29="arbre"),(R29*INDEX(Paramètres!$F$5:$F$25,MATCH(Biodiversité!AF29,Paramètres!$G$5:$G$25,0))) / 10000, R29*INDEX(Paramètres!$F$5:$F$25,MATCH(Biodiversité!AF29,Paramètres!$G$5:$G$25,0))),0)</f>
        <v>0</v>
      </c>
      <c r="Z29" s="744"/>
      <c r="AA29" s="20"/>
      <c r="AD29">
        <f>IF(R29&gt;0,INDEX(Paramètres!$H$5:$H$23,MATCH(AF29,Paramètres!$G$5:$G$23,0)),0)</f>
        <v>0</v>
      </c>
      <c r="AF29" s="36">
        <v>13</v>
      </c>
    </row>
    <row r="30" spans="2:32" ht="15" customHeight="1" x14ac:dyDescent="0.25">
      <c r="B30" s="19"/>
      <c r="C30" s="716" t="s">
        <v>224</v>
      </c>
      <c r="D30" s="716"/>
      <c r="E30" s="716"/>
      <c r="F30" s="716"/>
      <c r="G30" s="716"/>
      <c r="H30" s="716"/>
      <c r="I30" s="716"/>
      <c r="J30" s="716"/>
      <c r="K30" s="716"/>
      <c r="L30" s="716"/>
      <c r="M30" s="716"/>
      <c r="N30" s="716"/>
      <c r="O30" s="717"/>
      <c r="P30" s="735"/>
      <c r="Q30" s="736"/>
      <c r="R30" s="723"/>
      <c r="S30" s="724"/>
      <c r="T30" s="737" t="str">
        <f>IFERROR(INDEX(Paramètres!$E$5:$E$25,MATCH(Biodiversité!AF30,Paramètres!$G$5:$G$25,0)),"Unité non retrouvée")</f>
        <v>m linéaire</v>
      </c>
      <c r="U30" s="738"/>
      <c r="W30" s="735"/>
      <c r="X30" s="736"/>
      <c r="Y30" s="743">
        <f>IFERROR(IF(OR(T30="m linéaire",T30="arbre"),(R30*INDEX(Paramètres!$F$5:$F$25,MATCH(Biodiversité!AF30,Paramètres!$G$5:$G$25,0))) / 10000, R30*INDEX(Paramètres!$F$5:$F$25,MATCH(Biodiversité!AF30,Paramètres!$G$5:$G$25,0))),0)</f>
        <v>0</v>
      </c>
      <c r="Z30" s="744"/>
      <c r="AA30" s="20"/>
      <c r="AD30">
        <f>IF(R30&gt;0,INDEX(Paramètres!$H$5:$H$23,MATCH(AF30,Paramètres!$G$5:$G$23,0)),0)</f>
        <v>0</v>
      </c>
      <c r="AF30" s="36">
        <v>14</v>
      </c>
    </row>
    <row r="31" spans="2:32" ht="15" customHeight="1" x14ac:dyDescent="0.25">
      <c r="B31" s="19"/>
      <c r="C31" s="716" t="s">
        <v>225</v>
      </c>
      <c r="D31" s="716"/>
      <c r="E31" s="716"/>
      <c r="F31" s="716"/>
      <c r="G31" s="716"/>
      <c r="H31" s="716"/>
      <c r="I31" s="716"/>
      <c r="J31" s="716"/>
      <c r="K31" s="716"/>
      <c r="L31" s="716"/>
      <c r="M31" s="716"/>
      <c r="N31" s="716"/>
      <c r="O31" s="717"/>
      <c r="P31" s="735"/>
      <c r="Q31" s="736"/>
      <c r="R31" s="723"/>
      <c r="S31" s="724"/>
      <c r="T31" s="737" t="str">
        <f>IFERROR(INDEX(Paramètres!$E$5:$E$25,MATCH(Biodiversité!AF31,Paramètres!$G$5:$G$25,0)),"Unité non retrouvée")</f>
        <v>hectares</v>
      </c>
      <c r="U31" s="738"/>
      <c r="W31" s="735"/>
      <c r="X31" s="736"/>
      <c r="Y31" s="743">
        <f>IFERROR(IF(OR(T31="m linéaire",T31="arbre"),(R31*INDEX(Paramètres!$F$5:$F$25,MATCH(Biodiversité!AF31,Paramètres!$G$5:$G$25,0))) / 10000, R31*INDEX(Paramètres!$F$5:$F$25,MATCH(Biodiversité!AF31,Paramètres!$G$5:$G$25,0))),0)</f>
        <v>0</v>
      </c>
      <c r="Z31" s="744"/>
      <c r="AA31" s="20"/>
      <c r="AD31">
        <f>IF(R31&gt;0,INDEX(Paramètres!$H$5:$H$23,MATCH(AF31,Paramètres!$G$5:$G$23,0)),0)</f>
        <v>0</v>
      </c>
      <c r="AF31" s="36">
        <v>15</v>
      </c>
    </row>
    <row r="32" spans="2:32" ht="15" customHeight="1" x14ac:dyDescent="0.25">
      <c r="B32" s="19"/>
      <c r="C32" s="716" t="s">
        <v>226</v>
      </c>
      <c r="D32" s="716"/>
      <c r="E32" s="716"/>
      <c r="F32" s="716"/>
      <c r="G32" s="716"/>
      <c r="H32" s="716"/>
      <c r="I32" s="716"/>
      <c r="J32" s="716"/>
      <c r="K32" s="716"/>
      <c r="L32" s="716"/>
      <c r="M32" s="716"/>
      <c r="N32" s="716"/>
      <c r="O32" s="717"/>
      <c r="P32" s="735"/>
      <c r="Q32" s="736"/>
      <c r="R32" s="723"/>
      <c r="S32" s="724"/>
      <c r="T32" s="737" t="str">
        <f>IFERROR(INDEX(Paramètres!$E$5:$E$25,MATCH(Biodiversité!AF32,Paramètres!$G$5:$G$25,0)),"Unité non retrouvée")</f>
        <v>m linéaire</v>
      </c>
      <c r="U32" s="738"/>
      <c r="W32" s="735"/>
      <c r="X32" s="736"/>
      <c r="Y32" s="743">
        <f>IFERROR(IF(OR(T32="m linéaire",T32="arbre"),(R32*INDEX(Paramètres!$F$5:$F$25,MATCH(Biodiversité!AF32,Paramètres!$G$5:$G$25,0))) / 10000, R32*INDEX(Paramètres!$F$5:$F$25,MATCH(Biodiversité!AF32,Paramètres!$G$5:$G$25,0))),0)</f>
        <v>0</v>
      </c>
      <c r="Z32" s="744"/>
      <c r="AA32" s="20"/>
      <c r="AD32">
        <f>IF(R32&gt;0,INDEX(Paramètres!$H$5:$H$23,MATCH(AF32,Paramètres!$G$5:$G$23,0)),0)</f>
        <v>0</v>
      </c>
      <c r="AF32" s="36">
        <v>16</v>
      </c>
    </row>
    <row r="33" spans="2:32" x14ac:dyDescent="0.25">
      <c r="B33" s="19"/>
      <c r="C33" s="716" t="s">
        <v>573</v>
      </c>
      <c r="D33" s="716"/>
      <c r="E33" s="716"/>
      <c r="F33" s="716"/>
      <c r="G33" s="716"/>
      <c r="H33" s="716"/>
      <c r="I33" s="716"/>
      <c r="J33" s="716"/>
      <c r="K33" s="716"/>
      <c r="L33" s="716"/>
      <c r="M33" s="716"/>
      <c r="N33" s="716"/>
      <c r="O33" s="717"/>
      <c r="P33" s="735"/>
      <c r="Q33" s="736"/>
      <c r="R33" s="723"/>
      <c r="S33" s="724"/>
      <c r="T33" s="737" t="str">
        <f>IFERROR(INDEX(Paramètres!$E$5:$E$25,MATCH(Biodiversité!AF33,Paramètres!$G$5:$G$25,0)),"Unité non retrouvée")</f>
        <v>hectares</v>
      </c>
      <c r="U33" s="738"/>
      <c r="W33" s="735"/>
      <c r="X33" s="736"/>
      <c r="Y33" s="743">
        <f>IFERROR(IF(OR(T33="m linéaire",T33="arbre"),(R33*INDEX(Paramètres!$F$5:$F$25,MATCH(Biodiversité!AF33,Paramètres!$G$5:$G$25,0))) / 10000, R33*INDEX(Paramètres!$F$5:$F$25,MATCH(Biodiversité!AF33,Paramètres!$G$5:$G$25,0))),0)</f>
        <v>0</v>
      </c>
      <c r="Z33" s="744"/>
      <c r="AA33" s="20"/>
      <c r="AD33">
        <f>IF(R33&gt;0,INDEX(Paramètres!$H$5:$H$23,MATCH(AF33,Paramètres!$G$5:$G$23,0)),0)</f>
        <v>0</v>
      </c>
      <c r="AF33" s="36">
        <v>17</v>
      </c>
    </row>
    <row r="34" spans="2:32" x14ac:dyDescent="0.25">
      <c r="B34" s="19"/>
      <c r="C34" s="716" t="s">
        <v>2322</v>
      </c>
      <c r="D34" s="716"/>
      <c r="E34" s="716"/>
      <c r="F34" s="716"/>
      <c r="G34" s="716"/>
      <c r="H34" s="716"/>
      <c r="I34" s="716"/>
      <c r="J34" s="716"/>
      <c r="K34" s="716"/>
      <c r="L34" s="716"/>
      <c r="M34" s="716"/>
      <c r="N34" s="716"/>
      <c r="O34" s="717"/>
      <c r="P34" s="735"/>
      <c r="Q34" s="736"/>
      <c r="R34" s="723"/>
      <c r="S34" s="724"/>
      <c r="T34" s="737" t="str">
        <f>IFERROR(INDEX(Paramètres!$E$5:$E$25,MATCH(Biodiversité!AF34,Paramètres!$G$5:$G$25,0)),"Unité non retrouvée")</f>
        <v>m linéaire</v>
      </c>
      <c r="U34" s="738"/>
      <c r="W34" s="735"/>
      <c r="X34" s="736"/>
      <c r="Y34" s="743">
        <f>IFERROR(IF(OR(T34="m linéaire",T34="arbre"),(R34*INDEX(Paramètres!$F$5:$F$25,MATCH(Biodiversité!AF34,Paramètres!$G$5:$G$25,0))) / 10000, R34*INDEX(Paramètres!$F$5:$F$25,MATCH(Biodiversité!AF34,Paramètres!$G$5:$G$25,0))),0)</f>
        <v>0</v>
      </c>
      <c r="Z34" s="744"/>
      <c r="AA34" s="20"/>
      <c r="AD34">
        <f>IF(R34&gt;0,INDEX(Paramètres!$H$5:$H$23,MATCH(AF34,Paramètres!$G$5:$G$23,0)),0)</f>
        <v>0</v>
      </c>
      <c r="AF34" s="36">
        <v>18</v>
      </c>
    </row>
    <row r="35" spans="2:32" x14ac:dyDescent="0.25">
      <c r="B35" s="19"/>
      <c r="C35" s="716" t="s">
        <v>2323</v>
      </c>
      <c r="D35" s="716"/>
      <c r="E35" s="716"/>
      <c r="F35" s="716"/>
      <c r="G35" s="716"/>
      <c r="H35" s="716"/>
      <c r="I35" s="716"/>
      <c r="J35" s="716"/>
      <c r="K35" s="716"/>
      <c r="L35" s="716"/>
      <c r="M35" s="716"/>
      <c r="N35" s="716"/>
      <c r="O35" s="717"/>
      <c r="P35" s="763"/>
      <c r="Q35" s="764"/>
      <c r="R35" s="723"/>
      <c r="S35" s="724"/>
      <c r="T35" s="737" t="str">
        <f>IFERROR(INDEX(Paramètres!$E$5:$E$25,MATCH(Biodiversité!AF35,Paramètres!$G$5:$G$25,0)),"Unité non retrouvée")</f>
        <v>m linéaire</v>
      </c>
      <c r="U35" s="738"/>
      <c r="W35" s="763"/>
      <c r="X35" s="764"/>
      <c r="Y35" s="743">
        <f>IFERROR(IF(OR(T35="m linéaire",T35="arbre"),(R35*INDEX(Paramètres!$F$5:$F$25,MATCH(Biodiversité!AF35,Paramètres!$G$5:$G$25,0))) / 10000, R35*INDEX(Paramètres!$F$5:$F$25,MATCH(Biodiversité!AF35,Paramètres!$G$5:$G$25,0))),0)</f>
        <v>0</v>
      </c>
      <c r="Z35" s="744"/>
      <c r="AA35" s="20"/>
      <c r="AD35">
        <f>IF(R35&gt;0,INDEX(Paramètres!$H$5:$H$23,MATCH(AF35,Paramètres!$G$5:$G$23,0)),0)</f>
        <v>0</v>
      </c>
      <c r="AF35" s="36">
        <v>19</v>
      </c>
    </row>
    <row r="36" spans="2:32" x14ac:dyDescent="0.25">
      <c r="B36" s="19"/>
      <c r="C36" s="347" t="s">
        <v>2550</v>
      </c>
      <c r="D36" s="179"/>
      <c r="E36" s="179"/>
      <c r="F36" s="179"/>
      <c r="G36" s="179"/>
      <c r="H36" s="179"/>
      <c r="I36" s="179"/>
      <c r="J36" s="179"/>
      <c r="K36" s="179"/>
      <c r="L36" s="179"/>
      <c r="M36" s="179"/>
      <c r="N36" s="179"/>
      <c r="O36" s="179"/>
      <c r="P36" s="348"/>
      <c r="Q36" s="348"/>
      <c r="R36" s="348"/>
      <c r="S36" s="348"/>
      <c r="T36" s="36"/>
      <c r="U36" s="36"/>
      <c r="W36" s="349"/>
      <c r="X36" s="349"/>
      <c r="Y36" s="349"/>
      <c r="Z36" s="349"/>
      <c r="AA36" s="20"/>
      <c r="AF36" s="36"/>
    </row>
    <row r="37" spans="2:32" x14ac:dyDescent="0.25">
      <c r="B37" s="19"/>
      <c r="C37" s="152" t="s">
        <v>2551</v>
      </c>
      <c r="AA37" s="20"/>
      <c r="AB37" s="19"/>
    </row>
    <row r="38" spans="2:32" x14ac:dyDescent="0.25">
      <c r="B38" s="19"/>
      <c r="AA38" s="20"/>
      <c r="AB38" s="19"/>
    </row>
    <row r="39" spans="2:32" x14ac:dyDescent="0.25">
      <c r="B39" s="19"/>
      <c r="W39" s="651" t="s">
        <v>239</v>
      </c>
      <c r="X39" s="651"/>
      <c r="AA39" s="20"/>
      <c r="AB39" s="19"/>
    </row>
    <row r="40" spans="2:32" x14ac:dyDescent="0.25">
      <c r="B40" s="19"/>
      <c r="E40" s="42" t="s">
        <v>302</v>
      </c>
      <c r="AA40" s="20"/>
      <c r="AB40" s="19" t="s">
        <v>384</v>
      </c>
    </row>
    <row r="41" spans="2:32" x14ac:dyDescent="0.25">
      <c r="B41" s="19"/>
      <c r="E41" s="42" t="s">
        <v>423</v>
      </c>
      <c r="W41" s="741" t="str">
        <f>IFERROR(IF(OR(T42&lt;10,T43&gt;0.75,T44&gt;0.75),"NON","OUI"),"")</f>
        <v>NON</v>
      </c>
      <c r="X41" s="742"/>
      <c r="Y41" s="143"/>
      <c r="AA41" s="20"/>
      <c r="AB41" s="19"/>
    </row>
    <row r="42" spans="2:32" x14ac:dyDescent="0.25">
      <c r="B42" s="19"/>
      <c r="E42" s="42"/>
      <c r="F42" s="65" t="s">
        <v>2545</v>
      </c>
      <c r="T42" s="729">
        <f>T47</f>
        <v>0</v>
      </c>
      <c r="U42" s="730"/>
      <c r="W42" s="65"/>
      <c r="AA42" s="20"/>
      <c r="AB42" s="19"/>
    </row>
    <row r="43" spans="2:32" x14ac:dyDescent="0.25">
      <c r="B43" s="19"/>
      <c r="E43" s="42"/>
      <c r="F43" s="65" t="s">
        <v>424</v>
      </c>
      <c r="T43" s="711">
        <f>IFERROR((SUM(Surfaces!O114:O118)+Surfaces!O95+Surfaces!O96+Surfaces!O93+Surfaces!O94+Surfaces!O104+Surfaces!O102+Surfaces!O103)/T47,0)</f>
        <v>0</v>
      </c>
      <c r="U43" s="731"/>
      <c r="W43" s="143"/>
      <c r="AA43" s="20"/>
      <c r="AB43" s="19"/>
    </row>
    <row r="44" spans="2:32" x14ac:dyDescent="0.25">
      <c r="B44" s="19"/>
      <c r="E44" s="42"/>
      <c r="F44" s="65" t="s">
        <v>425</v>
      </c>
      <c r="T44" s="711">
        <f>IF(cSAU=0,0,SUM(Surfaces!O114:O121,Surfaces!O81)/Surfaces!O24)</f>
        <v>0</v>
      </c>
      <c r="U44" s="731"/>
      <c r="W44" s="143"/>
      <c r="AA44" s="20"/>
      <c r="AB44" s="19"/>
    </row>
    <row r="45" spans="2:32" x14ac:dyDescent="0.25">
      <c r="B45" s="19"/>
      <c r="E45" s="42"/>
      <c r="F45" s="65"/>
      <c r="T45" s="142"/>
      <c r="U45" s="142"/>
      <c r="AA45" s="20"/>
      <c r="AB45" s="19"/>
    </row>
    <row r="46" spans="2:32" x14ac:dyDescent="0.25">
      <c r="B46" s="19"/>
      <c r="E46" s="106" t="s">
        <v>711</v>
      </c>
      <c r="F46" s="47"/>
      <c r="G46" s="47"/>
      <c r="H46" s="47"/>
      <c r="I46" s="47"/>
      <c r="J46" s="47"/>
      <c r="K46" s="47"/>
      <c r="L46" s="47"/>
      <c r="M46" s="47"/>
      <c r="N46" s="47"/>
      <c r="O46" s="47"/>
      <c r="P46" s="47"/>
      <c r="Q46" s="47"/>
      <c r="R46" s="47"/>
      <c r="S46" s="43"/>
      <c r="T46" s="729">
        <f>SUM(W17:X35)</f>
        <v>0</v>
      </c>
      <c r="U46" s="730"/>
      <c r="AA46" s="20"/>
      <c r="AB46" s="19"/>
    </row>
    <row r="47" spans="2:32" x14ac:dyDescent="0.25">
      <c r="B47" s="19"/>
      <c r="E47" s="108" t="s">
        <v>574</v>
      </c>
      <c r="F47" s="48"/>
      <c r="G47" s="48"/>
      <c r="H47" s="48"/>
      <c r="I47" s="48"/>
      <c r="J47" s="48"/>
      <c r="K47" s="48"/>
      <c r="L47" s="48"/>
      <c r="M47" s="48"/>
      <c r="N47" s="48"/>
      <c r="O47" s="48"/>
      <c r="P47" s="48"/>
      <c r="Q47" s="48"/>
      <c r="R47" s="48"/>
      <c r="S47" s="44"/>
      <c r="T47" s="729">
        <f>SUM(Surfaces!O76:O82)+SUM(Surfaces!O86:O89)+SUM(Surfaces!O93:O96)+Surfaces!O100+SUM(Surfaces!O108:O110)+SUM(Surfaces!O127:O128)+SUM(Surfaces!O132:O135)+SUM(Surfaces!O114:O118)+Surfaces!O102+Surfaces!O103</f>
        <v>0</v>
      </c>
      <c r="U47" s="730"/>
      <c r="AA47" s="20"/>
      <c r="AB47" s="19"/>
    </row>
    <row r="48" spans="2:32" x14ac:dyDescent="0.25">
      <c r="B48" s="19"/>
      <c r="E48" s="108" t="s">
        <v>240</v>
      </c>
      <c r="F48" s="48"/>
      <c r="G48" s="48"/>
      <c r="H48" s="48"/>
      <c r="I48" s="48"/>
      <c r="J48" s="48"/>
      <c r="K48" s="48"/>
      <c r="L48" s="48"/>
      <c r="M48" s="48"/>
      <c r="N48" s="48"/>
      <c r="O48" s="48"/>
      <c r="P48" s="48"/>
      <c r="Q48" s="48"/>
      <c r="R48" s="48"/>
      <c r="S48" s="44"/>
      <c r="T48" s="705">
        <f>IFERROR(T46/T47,0)</f>
        <v>0</v>
      </c>
      <c r="U48" s="706"/>
      <c r="W48" s="741" t="str">
        <f>IF(W41="NON","NON CONCERNÉE",IF(T48&lt;0.04,"KO","OK"))</f>
        <v>NON CONCERNÉE</v>
      </c>
      <c r="X48" s="742"/>
      <c r="AA48" s="20"/>
      <c r="AB48" s="19"/>
    </row>
    <row r="49" spans="2:28" x14ac:dyDescent="0.25">
      <c r="B49" s="19"/>
      <c r="E49" s="65"/>
      <c r="T49" s="139"/>
      <c r="U49" s="139"/>
      <c r="W49" s="36"/>
      <c r="X49" s="36"/>
      <c r="AA49" s="20"/>
      <c r="AB49" s="19"/>
    </row>
    <row r="50" spans="2:28" x14ac:dyDescent="0.25">
      <c r="B50" s="19"/>
      <c r="E50" s="42" t="s">
        <v>2325</v>
      </c>
      <c r="T50" s="36"/>
      <c r="U50" s="36"/>
      <c r="W50" s="36"/>
      <c r="X50" s="36"/>
      <c r="AA50" s="20"/>
      <c r="AB50" s="19"/>
    </row>
    <row r="51" spans="2:28" x14ac:dyDescent="0.25">
      <c r="B51" s="19"/>
      <c r="E51" s="106" t="s">
        <v>712</v>
      </c>
      <c r="F51" s="47"/>
      <c r="G51" s="47"/>
      <c r="H51" s="47"/>
      <c r="I51" s="47"/>
      <c r="J51" s="47"/>
      <c r="K51" s="47"/>
      <c r="L51" s="47"/>
      <c r="M51" s="47"/>
      <c r="N51" s="47"/>
      <c r="O51" s="47"/>
      <c r="P51" s="47"/>
      <c r="Q51" s="47"/>
      <c r="R51" s="47"/>
      <c r="S51" s="43"/>
      <c r="T51" s="709">
        <f>SUM(Y17:Z35)</f>
        <v>0</v>
      </c>
      <c r="U51" s="710"/>
      <c r="W51" s="36"/>
      <c r="X51" s="36"/>
      <c r="AA51" s="20"/>
      <c r="AB51" s="19"/>
    </row>
    <row r="52" spans="2:28" x14ac:dyDescent="0.25">
      <c r="B52" s="19"/>
      <c r="E52" s="108" t="s">
        <v>383</v>
      </c>
      <c r="F52" s="48"/>
      <c r="G52" s="48"/>
      <c r="H52" s="48"/>
      <c r="I52" s="48"/>
      <c r="J52" s="48"/>
      <c r="K52" s="48"/>
      <c r="L52" s="48"/>
      <c r="M52" s="48"/>
      <c r="N52" s="48"/>
      <c r="O52" s="48"/>
      <c r="P52" s="48"/>
      <c r="Q52" s="48"/>
      <c r="R52" s="48"/>
      <c r="S52" s="44"/>
      <c r="T52" s="709">
        <f>Surfaces!O22</f>
        <v>0</v>
      </c>
      <c r="U52" s="710"/>
      <c r="AA52" s="20"/>
      <c r="AB52" s="19"/>
    </row>
    <row r="53" spans="2:28" x14ac:dyDescent="0.25">
      <c r="B53" s="19"/>
      <c r="E53" s="108" t="s">
        <v>2326</v>
      </c>
      <c r="F53" s="48"/>
      <c r="G53" s="48"/>
      <c r="H53" s="48"/>
      <c r="I53" s="48"/>
      <c r="J53" s="48"/>
      <c r="K53" s="48"/>
      <c r="L53" s="48"/>
      <c r="M53" s="48"/>
      <c r="N53" s="48"/>
      <c r="O53" s="48"/>
      <c r="P53" s="48"/>
      <c r="Q53" s="48"/>
      <c r="R53" s="48"/>
      <c r="S53" s="44"/>
      <c r="T53" s="705">
        <f>IFERROR(T51/T52,0)</f>
        <v>0</v>
      </c>
      <c r="U53" s="706"/>
      <c r="W53" s="694">
        <f>IF(W48="NON CONCERNÉE",IF(T53&gt;=0.1,7,IF(T53&gt;=0.09,6,IF(T53&gt;=0.08,5,IF(T53&gt;=0.07,4,IF(T53&gt;=0.06,3,IF(T53&gt;=0.05,2,IF(T53&gt;=0.04,1,0))))))),IF(T48&gt;0.04,IF(T53&gt;=0.1,7,IF(T53&gt;=0.09,6,IF(T53&gt;=0.08,5,IF(T53&gt;=0.07,4,IF(T53&gt;=0.06,3,IF(T53&gt;=0.05,2,IF(T53&gt;=0.04,1,0))))))),0))</f>
        <v>0</v>
      </c>
      <c r="X53" s="695"/>
      <c r="AA53" s="20"/>
      <c r="AB53" s="19"/>
    </row>
    <row r="54" spans="2:28" x14ac:dyDescent="0.25">
      <c r="B54" s="19"/>
      <c r="E54" s="65"/>
      <c r="T54" s="139"/>
      <c r="U54" s="139"/>
      <c r="W54" s="353"/>
      <c r="X54" s="353"/>
      <c r="AA54" s="20"/>
      <c r="AB54" s="19"/>
    </row>
    <row r="55" spans="2:28" x14ac:dyDescent="0.25">
      <c r="B55" s="19"/>
      <c r="E55" s="42" t="s">
        <v>2327</v>
      </c>
      <c r="AA55" s="20"/>
      <c r="AB55" s="19"/>
    </row>
    <row r="56" spans="2:28" x14ac:dyDescent="0.25">
      <c r="B56" s="19"/>
      <c r="E56" s="106" t="s">
        <v>2328</v>
      </c>
      <c r="F56" s="47"/>
      <c r="G56" s="47"/>
      <c r="H56" s="47"/>
      <c r="I56" s="47"/>
      <c r="J56" s="47"/>
      <c r="K56" s="47"/>
      <c r="L56" s="47"/>
      <c r="M56" s="47"/>
      <c r="N56" s="47"/>
      <c r="O56" s="47"/>
      <c r="P56" s="47"/>
      <c r="Q56" s="47"/>
      <c r="R56" s="47"/>
      <c r="S56" s="43"/>
      <c r="T56" s="709" cm="1">
        <f t="array" ref="T56">SUM(IF(ISTEXT($AD$17:$AD$35),1/COUNTIF($AD$17:$AD$35,$AD$17:$AD$35),""))</f>
        <v>0</v>
      </c>
      <c r="U56" s="710"/>
      <c r="W56" s="694">
        <f>IFERROR(IF(AND(T48&lt;4%,W48="KO"),0,IF(T56&gt;=3,2,0)),"")</f>
        <v>0</v>
      </c>
      <c r="X56" s="695"/>
      <c r="AA56" s="20"/>
      <c r="AB56" s="19"/>
    </row>
    <row r="57" spans="2:28" x14ac:dyDescent="0.25">
      <c r="B57" s="19"/>
      <c r="Y57" s="680" t="s">
        <v>713</v>
      </c>
      <c r="Z57" s="680"/>
      <c r="AA57" s="20"/>
      <c r="AB57" s="19"/>
    </row>
    <row r="58" spans="2:28" x14ac:dyDescent="0.25">
      <c r="B58" s="19"/>
      <c r="E58" s="110" t="s">
        <v>2329</v>
      </c>
      <c r="F58" s="47"/>
      <c r="G58" s="47"/>
      <c r="H58" s="47"/>
      <c r="I58" s="47"/>
      <c r="J58" s="47"/>
      <c r="K58" s="47"/>
      <c r="L58" s="47"/>
      <c r="M58" s="47"/>
      <c r="N58" s="47"/>
      <c r="O58" s="47"/>
      <c r="P58" s="47"/>
      <c r="Q58" s="47"/>
      <c r="R58" s="47"/>
      <c r="S58" s="47"/>
      <c r="T58" s="47"/>
      <c r="U58" s="47"/>
      <c r="W58" s="694">
        <f>W53+W56</f>
        <v>0</v>
      </c>
      <c r="X58" s="695"/>
      <c r="Y58" s="707">
        <v>9</v>
      </c>
      <c r="Z58" s="708"/>
      <c r="AA58" s="20"/>
      <c r="AB58" s="19"/>
    </row>
    <row r="59" spans="2:28" x14ac:dyDescent="0.25">
      <c r="B59" s="19"/>
      <c r="AA59" s="20"/>
      <c r="AB59" s="19"/>
    </row>
    <row r="60" spans="2:28" x14ac:dyDescent="0.25">
      <c r="B60" s="19"/>
      <c r="E60" s="106" t="s">
        <v>714</v>
      </c>
      <c r="F60" s="47"/>
      <c r="G60" s="47"/>
      <c r="H60" s="47"/>
      <c r="I60" s="47"/>
      <c r="J60" s="47"/>
      <c r="K60" s="47"/>
      <c r="L60" s="47"/>
      <c r="M60" s="47"/>
      <c r="N60" s="47"/>
      <c r="O60" s="47"/>
      <c r="P60" s="47"/>
      <c r="Q60" s="47"/>
      <c r="R60" s="47"/>
      <c r="S60" s="43"/>
      <c r="T60" s="703"/>
      <c r="U60" s="704"/>
      <c r="AA60" s="20"/>
      <c r="AB60" s="19"/>
    </row>
    <row r="61" spans="2:28" x14ac:dyDescent="0.25">
      <c r="B61" s="19"/>
      <c r="AA61" s="20"/>
      <c r="AB61" s="19"/>
    </row>
    <row r="62" spans="2:28" x14ac:dyDescent="0.25">
      <c r="B62" s="19"/>
      <c r="E62" s="70" t="s">
        <v>2506</v>
      </c>
      <c r="AA62" s="20"/>
      <c r="AB62" s="19"/>
    </row>
    <row r="63" spans="2:28" x14ac:dyDescent="0.25">
      <c r="B63" s="19"/>
      <c r="E63" s="667"/>
      <c r="F63" s="668"/>
      <c r="G63" s="668"/>
      <c r="H63" s="668"/>
      <c r="I63" s="668"/>
      <c r="J63" s="668"/>
      <c r="K63" s="668"/>
      <c r="L63" s="668"/>
      <c r="M63" s="668"/>
      <c r="N63" s="668"/>
      <c r="O63" s="668"/>
      <c r="P63" s="668"/>
      <c r="Q63" s="668"/>
      <c r="R63" s="668"/>
      <c r="S63" s="668"/>
      <c r="T63" s="668"/>
      <c r="U63" s="668"/>
      <c r="V63" s="668"/>
      <c r="W63" s="668"/>
      <c r="X63" s="668"/>
      <c r="Y63" s="669"/>
      <c r="AA63" s="20"/>
      <c r="AB63" s="19"/>
    </row>
    <row r="64" spans="2:28" x14ac:dyDescent="0.25">
      <c r="B64" s="19"/>
      <c r="E64" s="670"/>
      <c r="F64" s="671"/>
      <c r="G64" s="671"/>
      <c r="H64" s="671"/>
      <c r="I64" s="671"/>
      <c r="J64" s="671"/>
      <c r="K64" s="671"/>
      <c r="L64" s="671"/>
      <c r="M64" s="671"/>
      <c r="N64" s="671"/>
      <c r="O64" s="671"/>
      <c r="P64" s="671"/>
      <c r="Q64" s="671"/>
      <c r="R64" s="671"/>
      <c r="S64" s="671"/>
      <c r="T64" s="671"/>
      <c r="U64" s="671"/>
      <c r="V64" s="671"/>
      <c r="W64" s="671"/>
      <c r="X64" s="671"/>
      <c r="Y64" s="672"/>
      <c r="AA64" s="20"/>
      <c r="AB64" s="19"/>
    </row>
    <row r="65" spans="2:28" x14ac:dyDescent="0.25">
      <c r="B65" s="19"/>
      <c r="E65" s="670"/>
      <c r="F65" s="671"/>
      <c r="G65" s="671"/>
      <c r="H65" s="671"/>
      <c r="I65" s="671"/>
      <c r="J65" s="671"/>
      <c r="K65" s="671"/>
      <c r="L65" s="671"/>
      <c r="M65" s="671"/>
      <c r="N65" s="671"/>
      <c r="O65" s="671"/>
      <c r="P65" s="671"/>
      <c r="Q65" s="671"/>
      <c r="R65" s="671"/>
      <c r="S65" s="671"/>
      <c r="T65" s="671"/>
      <c r="U65" s="671"/>
      <c r="V65" s="671"/>
      <c r="W65" s="671"/>
      <c r="X65" s="671"/>
      <c r="Y65" s="672"/>
      <c r="AA65" s="20"/>
      <c r="AB65" s="19"/>
    </row>
    <row r="66" spans="2:28" x14ac:dyDescent="0.25">
      <c r="B66" s="19"/>
      <c r="E66" s="670"/>
      <c r="F66" s="671"/>
      <c r="G66" s="671"/>
      <c r="H66" s="671"/>
      <c r="I66" s="671"/>
      <c r="J66" s="671"/>
      <c r="K66" s="671"/>
      <c r="L66" s="671"/>
      <c r="M66" s="671"/>
      <c r="N66" s="671"/>
      <c r="O66" s="671"/>
      <c r="P66" s="671"/>
      <c r="Q66" s="671"/>
      <c r="R66" s="671"/>
      <c r="S66" s="671"/>
      <c r="T66" s="671"/>
      <c r="U66" s="671"/>
      <c r="V66" s="671"/>
      <c r="W66" s="671"/>
      <c r="X66" s="671"/>
      <c r="Y66" s="672"/>
      <c r="AA66" s="20"/>
      <c r="AB66" s="19"/>
    </row>
    <row r="67" spans="2:28" x14ac:dyDescent="0.25">
      <c r="B67" s="19"/>
      <c r="E67" s="670"/>
      <c r="F67" s="671"/>
      <c r="G67" s="671"/>
      <c r="H67" s="671"/>
      <c r="I67" s="671"/>
      <c r="J67" s="671"/>
      <c r="K67" s="671"/>
      <c r="L67" s="671"/>
      <c r="M67" s="671"/>
      <c r="N67" s="671"/>
      <c r="O67" s="671"/>
      <c r="P67" s="671"/>
      <c r="Q67" s="671"/>
      <c r="R67" s="671"/>
      <c r="S67" s="671"/>
      <c r="T67" s="671"/>
      <c r="U67" s="671"/>
      <c r="V67" s="671"/>
      <c r="W67" s="671"/>
      <c r="X67" s="671"/>
      <c r="Y67" s="672"/>
      <c r="AA67" s="20"/>
      <c r="AB67" s="19"/>
    </row>
    <row r="68" spans="2:28" x14ac:dyDescent="0.25">
      <c r="B68" s="19"/>
      <c r="E68" s="670"/>
      <c r="F68" s="671"/>
      <c r="G68" s="671"/>
      <c r="H68" s="671"/>
      <c r="I68" s="671"/>
      <c r="J68" s="671"/>
      <c r="K68" s="671"/>
      <c r="L68" s="671"/>
      <c r="M68" s="671"/>
      <c r="N68" s="671"/>
      <c r="O68" s="671"/>
      <c r="P68" s="671"/>
      <c r="Q68" s="671"/>
      <c r="R68" s="671"/>
      <c r="S68" s="671"/>
      <c r="T68" s="671"/>
      <c r="U68" s="671"/>
      <c r="V68" s="671"/>
      <c r="W68" s="671"/>
      <c r="X68" s="671"/>
      <c r="Y68" s="672"/>
      <c r="AA68" s="20"/>
      <c r="AB68" s="19"/>
    </row>
    <row r="69" spans="2:28" x14ac:dyDescent="0.25">
      <c r="B69" s="19"/>
      <c r="E69" s="670"/>
      <c r="F69" s="671"/>
      <c r="G69" s="671"/>
      <c r="H69" s="671"/>
      <c r="I69" s="671"/>
      <c r="J69" s="671"/>
      <c r="K69" s="671"/>
      <c r="L69" s="671"/>
      <c r="M69" s="671"/>
      <c r="N69" s="671"/>
      <c r="O69" s="671"/>
      <c r="P69" s="671"/>
      <c r="Q69" s="671"/>
      <c r="R69" s="671"/>
      <c r="S69" s="671"/>
      <c r="T69" s="671"/>
      <c r="U69" s="671"/>
      <c r="V69" s="671"/>
      <c r="W69" s="671"/>
      <c r="X69" s="671"/>
      <c r="Y69" s="672"/>
      <c r="AA69" s="20"/>
      <c r="AB69" s="19"/>
    </row>
    <row r="70" spans="2:28" x14ac:dyDescent="0.25">
      <c r="B70" s="19"/>
      <c r="E70" s="670"/>
      <c r="F70" s="671"/>
      <c r="G70" s="671"/>
      <c r="H70" s="671"/>
      <c r="I70" s="671"/>
      <c r="J70" s="671"/>
      <c r="K70" s="671"/>
      <c r="L70" s="671"/>
      <c r="M70" s="671"/>
      <c r="N70" s="671"/>
      <c r="O70" s="671"/>
      <c r="P70" s="671"/>
      <c r="Q70" s="671"/>
      <c r="R70" s="671"/>
      <c r="S70" s="671"/>
      <c r="T70" s="671"/>
      <c r="U70" s="671"/>
      <c r="V70" s="671"/>
      <c r="W70" s="671"/>
      <c r="X70" s="671"/>
      <c r="Y70" s="672"/>
      <c r="AA70" s="20"/>
      <c r="AB70" s="19"/>
    </row>
    <row r="71" spans="2:28" x14ac:dyDescent="0.25">
      <c r="B71" s="19"/>
      <c r="E71" s="670"/>
      <c r="F71" s="671"/>
      <c r="G71" s="671"/>
      <c r="H71" s="671"/>
      <c r="I71" s="671"/>
      <c r="J71" s="671"/>
      <c r="K71" s="671"/>
      <c r="L71" s="671"/>
      <c r="M71" s="671"/>
      <c r="N71" s="671"/>
      <c r="O71" s="671"/>
      <c r="P71" s="671"/>
      <c r="Q71" s="671"/>
      <c r="R71" s="671"/>
      <c r="S71" s="671"/>
      <c r="T71" s="671"/>
      <c r="U71" s="671"/>
      <c r="V71" s="671"/>
      <c r="W71" s="671"/>
      <c r="X71" s="671"/>
      <c r="Y71" s="672"/>
      <c r="AA71" s="20"/>
      <c r="AB71" s="19"/>
    </row>
    <row r="72" spans="2:28" x14ac:dyDescent="0.25">
      <c r="B72" s="19"/>
      <c r="E72" s="673"/>
      <c r="F72" s="674"/>
      <c r="G72" s="674"/>
      <c r="H72" s="674"/>
      <c r="I72" s="674"/>
      <c r="J72" s="674"/>
      <c r="K72" s="674"/>
      <c r="L72" s="674"/>
      <c r="M72" s="674"/>
      <c r="N72" s="674"/>
      <c r="O72" s="674"/>
      <c r="P72" s="674"/>
      <c r="Q72" s="674"/>
      <c r="R72" s="674"/>
      <c r="S72" s="674"/>
      <c r="T72" s="674"/>
      <c r="U72" s="674"/>
      <c r="V72" s="674"/>
      <c r="W72" s="674"/>
      <c r="X72" s="674"/>
      <c r="Y72" s="675"/>
      <c r="AA72" s="20"/>
      <c r="AB72" s="19"/>
    </row>
    <row r="73" spans="2:28" x14ac:dyDescent="0.25">
      <c r="B73" s="19"/>
      <c r="AA73" s="20"/>
      <c r="AB73" s="19"/>
    </row>
    <row r="74" spans="2:28" ht="15.75" thickBot="1" x14ac:dyDescent="0.3">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4"/>
      <c r="AB74" s="19"/>
    </row>
    <row r="78" spans="2:28" ht="15.75" thickBot="1" x14ac:dyDescent="0.3"/>
    <row r="79" spans="2:28" x14ac:dyDescent="0.25">
      <c r="B79" s="81"/>
      <c r="C79" s="82"/>
      <c r="D79" s="82"/>
      <c r="E79" s="82"/>
      <c r="F79" s="82"/>
      <c r="G79" s="82"/>
      <c r="H79" s="82"/>
      <c r="I79" s="82"/>
      <c r="J79" s="82"/>
      <c r="K79" s="82"/>
      <c r="L79" s="82"/>
      <c r="M79" s="82"/>
      <c r="N79" s="82"/>
      <c r="O79" s="82"/>
      <c r="P79" s="82"/>
      <c r="Q79" s="82"/>
      <c r="R79" s="82"/>
      <c r="S79" s="82"/>
      <c r="T79" s="82"/>
      <c r="U79" s="82"/>
      <c r="V79" s="82"/>
      <c r="W79" s="82"/>
      <c r="X79" s="82"/>
      <c r="Y79" s="82"/>
      <c r="Z79" s="82"/>
      <c r="AA79" s="83"/>
    </row>
    <row r="80" spans="2:28" x14ac:dyDescent="0.25">
      <c r="B80" s="84"/>
      <c r="S80" s="651" t="s">
        <v>239</v>
      </c>
      <c r="T80" s="651"/>
      <c r="AA80" s="51"/>
    </row>
    <row r="81" spans="2:31" x14ac:dyDescent="0.25">
      <c r="B81" s="84"/>
      <c r="C81" s="42"/>
      <c r="AA81" s="51"/>
    </row>
    <row r="82" spans="2:31" x14ac:dyDescent="0.25">
      <c r="B82" s="84"/>
      <c r="E82" s="106" t="s">
        <v>2330</v>
      </c>
      <c r="F82" s="47"/>
      <c r="G82" s="47"/>
      <c r="H82" s="47"/>
      <c r="I82" s="47"/>
      <c r="J82" s="47"/>
      <c r="K82" s="392"/>
      <c r="L82" s="47"/>
      <c r="M82" s="47"/>
      <c r="N82" s="47"/>
      <c r="O82" s="43"/>
      <c r="P82" s="733"/>
      <c r="Q82" s="734"/>
      <c r="S82" s="520" t="str">
        <f>IF(P82&gt;(Surfaces!O24-(SUM(Surfaces!O119:O121))),"Attention : surface saisie &gt; SAU hors prairies permanentes","")</f>
        <v/>
      </c>
      <c r="AA82" s="51"/>
    </row>
    <row r="83" spans="2:31" x14ac:dyDescent="0.25">
      <c r="B83" s="84"/>
      <c r="E83" s="108" t="s">
        <v>455</v>
      </c>
      <c r="F83" s="48"/>
      <c r="G83" s="48"/>
      <c r="H83" s="48"/>
      <c r="I83" s="47"/>
      <c r="J83" s="47"/>
      <c r="K83" s="392"/>
      <c r="L83" s="47"/>
      <c r="M83" s="47"/>
      <c r="N83" s="47"/>
      <c r="O83" s="43"/>
      <c r="P83" s="739">
        <f>SUM(Surfaces!O119:O121)</f>
        <v>0</v>
      </c>
      <c r="Q83" s="740"/>
      <c r="S83" s="279"/>
      <c r="AA83" s="51"/>
    </row>
    <row r="84" spans="2:31" x14ac:dyDescent="0.25">
      <c r="B84" s="84"/>
      <c r="E84" s="106" t="s">
        <v>715</v>
      </c>
      <c r="F84" s="47"/>
      <c r="G84" s="47"/>
      <c r="H84" s="47"/>
      <c r="I84" s="47"/>
      <c r="J84" s="47"/>
      <c r="K84" s="47"/>
      <c r="L84" s="47"/>
      <c r="M84" s="47"/>
      <c r="N84" s="47"/>
      <c r="O84" s="43"/>
      <c r="P84" s="709">
        <f>Surfaces!O24</f>
        <v>0</v>
      </c>
      <c r="Q84" s="697"/>
      <c r="T84" s="279"/>
      <c r="AA84" s="51"/>
    </row>
    <row r="85" spans="2:31" x14ac:dyDescent="0.25">
      <c r="B85" s="84"/>
      <c r="E85" s="108" t="s">
        <v>251</v>
      </c>
      <c r="F85" s="48"/>
      <c r="G85" s="48"/>
      <c r="H85" s="48"/>
      <c r="I85" s="48"/>
      <c r="J85" s="48"/>
      <c r="K85" s="165"/>
      <c r="L85" s="48"/>
      <c r="M85" s="48"/>
      <c r="N85" s="48"/>
      <c r="O85" s="44"/>
      <c r="P85" s="705">
        <f>IFERROR((P82+P83)/P84,0)</f>
        <v>0</v>
      </c>
      <c r="Q85" s="706"/>
      <c r="S85" s="694">
        <f>IF(P85&gt;=0.8,5,IF(P85&gt;=0.7,4,IF(P85&gt;=0.6,3,IF(P85&gt;=0.5,2,IF(P85&gt;=0.4,1,0)))))</f>
        <v>0</v>
      </c>
      <c r="T85" s="695"/>
      <c r="W85" s="707">
        <v>5</v>
      </c>
      <c r="X85" s="708"/>
      <c r="AA85" s="51"/>
      <c r="AE85">
        <f>MIN(ROUNDUP(MAX(P85-40%,0)/10%,0),5)</f>
        <v>0</v>
      </c>
    </row>
    <row r="86" spans="2:31" x14ac:dyDescent="0.25">
      <c r="B86" s="84"/>
      <c r="AA86" s="51"/>
    </row>
    <row r="87" spans="2:31" x14ac:dyDescent="0.25">
      <c r="B87" s="84"/>
      <c r="E87" s="70" t="s">
        <v>2506</v>
      </c>
      <c r="AA87" s="51"/>
    </row>
    <row r="88" spans="2:31" x14ac:dyDescent="0.25">
      <c r="B88" s="84"/>
      <c r="E88" s="667"/>
      <c r="F88" s="668"/>
      <c r="G88" s="668"/>
      <c r="H88" s="668"/>
      <c r="I88" s="668"/>
      <c r="J88" s="668"/>
      <c r="K88" s="668"/>
      <c r="L88" s="668"/>
      <c r="M88" s="668"/>
      <c r="N88" s="668"/>
      <c r="O88" s="668"/>
      <c r="P88" s="668"/>
      <c r="Q88" s="668"/>
      <c r="R88" s="668"/>
      <c r="S88" s="668"/>
      <c r="T88" s="668"/>
      <c r="U88" s="668"/>
      <c r="V88" s="668"/>
      <c r="W88" s="668"/>
      <c r="X88" s="668"/>
      <c r="Y88" s="669"/>
      <c r="AA88" s="51"/>
    </row>
    <row r="89" spans="2:31" x14ac:dyDescent="0.25">
      <c r="B89" s="84"/>
      <c r="E89" s="670"/>
      <c r="F89" s="671"/>
      <c r="G89" s="671"/>
      <c r="H89" s="671"/>
      <c r="I89" s="671"/>
      <c r="J89" s="671"/>
      <c r="K89" s="671"/>
      <c r="L89" s="671"/>
      <c r="M89" s="671"/>
      <c r="N89" s="671"/>
      <c r="O89" s="671"/>
      <c r="P89" s="671"/>
      <c r="Q89" s="671"/>
      <c r="R89" s="671"/>
      <c r="S89" s="671"/>
      <c r="T89" s="671"/>
      <c r="U89" s="671"/>
      <c r="V89" s="671"/>
      <c r="W89" s="671"/>
      <c r="X89" s="671"/>
      <c r="Y89" s="672"/>
      <c r="AA89" s="51"/>
    </row>
    <row r="90" spans="2:31" x14ac:dyDescent="0.25">
      <c r="B90" s="84"/>
      <c r="E90" s="670"/>
      <c r="F90" s="671"/>
      <c r="G90" s="671"/>
      <c r="H90" s="671"/>
      <c r="I90" s="671"/>
      <c r="J90" s="671"/>
      <c r="K90" s="671"/>
      <c r="L90" s="671"/>
      <c r="M90" s="671"/>
      <c r="N90" s="671"/>
      <c r="O90" s="671"/>
      <c r="P90" s="671"/>
      <c r="Q90" s="671"/>
      <c r="R90" s="671"/>
      <c r="S90" s="671"/>
      <c r="T90" s="671"/>
      <c r="U90" s="671"/>
      <c r="V90" s="671"/>
      <c r="W90" s="671"/>
      <c r="X90" s="671"/>
      <c r="Y90" s="672"/>
      <c r="AA90" s="51"/>
    </row>
    <row r="91" spans="2:31" x14ac:dyDescent="0.25">
      <c r="B91" s="84"/>
      <c r="E91" s="670"/>
      <c r="F91" s="671"/>
      <c r="G91" s="671"/>
      <c r="H91" s="671"/>
      <c r="I91" s="671"/>
      <c r="J91" s="671"/>
      <c r="K91" s="671"/>
      <c r="L91" s="671"/>
      <c r="M91" s="671"/>
      <c r="N91" s="671"/>
      <c r="O91" s="671"/>
      <c r="P91" s="671"/>
      <c r="Q91" s="671"/>
      <c r="R91" s="671"/>
      <c r="S91" s="671"/>
      <c r="T91" s="671"/>
      <c r="U91" s="671"/>
      <c r="V91" s="671"/>
      <c r="W91" s="671"/>
      <c r="X91" s="671"/>
      <c r="Y91" s="672"/>
      <c r="AA91" s="51"/>
    </row>
    <row r="92" spans="2:31" x14ac:dyDescent="0.25">
      <c r="B92" s="84"/>
      <c r="E92" s="673"/>
      <c r="F92" s="674"/>
      <c r="G92" s="674"/>
      <c r="H92" s="674"/>
      <c r="I92" s="674"/>
      <c r="J92" s="674"/>
      <c r="K92" s="674"/>
      <c r="L92" s="674"/>
      <c r="M92" s="674"/>
      <c r="N92" s="674"/>
      <c r="O92" s="674"/>
      <c r="P92" s="674"/>
      <c r="Q92" s="674"/>
      <c r="R92" s="674"/>
      <c r="S92" s="674"/>
      <c r="T92" s="674"/>
      <c r="U92" s="674"/>
      <c r="V92" s="674"/>
      <c r="W92" s="674"/>
      <c r="X92" s="674"/>
      <c r="Y92" s="675"/>
      <c r="AA92" s="51"/>
    </row>
    <row r="93" spans="2:31" x14ac:dyDescent="0.25">
      <c r="B93" s="84"/>
      <c r="AA93" s="51"/>
    </row>
    <row r="94" spans="2:31" ht="15.75" thickBot="1" x14ac:dyDescent="0.3">
      <c r="B94" s="85"/>
      <c r="C94" s="86"/>
      <c r="D94" s="86"/>
      <c r="E94" s="86"/>
      <c r="F94" s="86"/>
      <c r="G94" s="86"/>
      <c r="H94" s="86"/>
      <c r="I94" s="86"/>
      <c r="J94" s="86"/>
      <c r="K94" s="86"/>
      <c r="L94" s="86"/>
      <c r="M94" s="86"/>
      <c r="N94" s="86"/>
      <c r="O94" s="86"/>
      <c r="P94" s="86"/>
      <c r="Q94" s="86"/>
      <c r="R94" s="86"/>
      <c r="S94" s="86"/>
      <c r="T94" s="86"/>
      <c r="U94" s="86"/>
      <c r="V94" s="86"/>
      <c r="W94" s="86"/>
      <c r="X94" s="86"/>
      <c r="Y94" s="86"/>
      <c r="Z94" s="86"/>
      <c r="AA94" s="50"/>
    </row>
    <row r="97" spans="2:27" ht="15.75" thickBot="1" x14ac:dyDescent="0.3"/>
    <row r="98" spans="2:27" x14ac:dyDescent="0.25">
      <c r="B98" s="16"/>
      <c r="C98" s="17"/>
      <c r="D98" s="17"/>
      <c r="E98" s="17"/>
      <c r="F98" s="17"/>
      <c r="G98" s="17"/>
      <c r="H98" s="17"/>
      <c r="I98" s="17"/>
      <c r="J98" s="17"/>
      <c r="K98" s="17"/>
      <c r="L98" s="17"/>
      <c r="M98" s="17"/>
      <c r="N98" s="17"/>
      <c r="O98" s="17"/>
      <c r="P98" s="17"/>
      <c r="Q98" s="17"/>
      <c r="R98" s="17"/>
      <c r="S98" s="17"/>
      <c r="T98" s="17"/>
      <c r="U98" s="17"/>
      <c r="V98" s="17"/>
      <c r="W98" s="17"/>
      <c r="X98" s="17"/>
      <c r="Y98" s="17"/>
      <c r="Z98" s="17"/>
      <c r="AA98" s="18"/>
    </row>
    <row r="99" spans="2:27" x14ac:dyDescent="0.25">
      <c r="B99" s="19"/>
      <c r="AA99" s="20"/>
    </row>
    <row r="100" spans="2:27" x14ac:dyDescent="0.25">
      <c r="B100" s="19"/>
      <c r="C100" t="s">
        <v>2331</v>
      </c>
      <c r="AA100" s="20"/>
    </row>
    <row r="101" spans="2:27" x14ac:dyDescent="0.25">
      <c r="B101" s="19"/>
      <c r="D101" s="21" t="s">
        <v>2332</v>
      </c>
      <c r="AA101" s="20"/>
    </row>
    <row r="102" spans="2:27" x14ac:dyDescent="0.25">
      <c r="B102" s="19"/>
      <c r="D102" s="21" t="s">
        <v>2333</v>
      </c>
      <c r="AA102" s="20"/>
    </row>
    <row r="103" spans="2:27" x14ac:dyDescent="0.25">
      <c r="B103" s="19"/>
      <c r="AA103" s="20"/>
    </row>
    <row r="104" spans="2:27" x14ac:dyDescent="0.25">
      <c r="B104" s="19"/>
      <c r="C104" s="725" t="s">
        <v>575</v>
      </c>
      <c r="D104" s="725"/>
      <c r="E104" s="725"/>
      <c r="F104" s="725"/>
      <c r="G104" s="725"/>
      <c r="H104" s="725"/>
      <c r="I104" s="725"/>
      <c r="J104" s="725"/>
      <c r="K104" s="725"/>
      <c r="L104" s="725"/>
      <c r="M104" s="726"/>
      <c r="N104" s="683"/>
      <c r="O104" s="732"/>
      <c r="P104" s="732"/>
      <c r="Q104" s="732"/>
      <c r="R104" s="684"/>
      <c r="AA104" s="20"/>
    </row>
    <row r="105" spans="2:27" x14ac:dyDescent="0.25">
      <c r="B105" s="19"/>
      <c r="C105" s="727" t="s">
        <v>253</v>
      </c>
      <c r="D105" s="727"/>
      <c r="E105" s="727"/>
      <c r="F105" s="727"/>
      <c r="G105" s="727"/>
      <c r="H105" s="727"/>
      <c r="I105" s="727"/>
      <c r="J105" s="727"/>
      <c r="K105" s="727"/>
      <c r="L105" s="727"/>
      <c r="M105" s="728"/>
      <c r="N105" s="733"/>
      <c r="O105" s="734"/>
      <c r="P105" s="65" t="s">
        <v>252</v>
      </c>
      <c r="Q105" s="65"/>
      <c r="R105" s="65"/>
      <c r="AA105" s="20"/>
    </row>
    <row r="106" spans="2:27" x14ac:dyDescent="0.25">
      <c r="B106" s="19"/>
      <c r="AA106" s="20"/>
    </row>
    <row r="107" spans="2:27" x14ac:dyDescent="0.25">
      <c r="B107" s="19"/>
      <c r="AA107" s="20"/>
    </row>
    <row r="108" spans="2:27" x14ac:dyDescent="0.25">
      <c r="B108" s="19"/>
      <c r="AA108" s="20"/>
    </row>
    <row r="109" spans="2:27" x14ac:dyDescent="0.25">
      <c r="B109" s="19"/>
      <c r="C109" s="42"/>
      <c r="E109" s="714" t="s">
        <v>2334</v>
      </c>
      <c r="F109" s="714"/>
      <c r="G109" s="714"/>
      <c r="H109" s="714"/>
      <c r="I109" s="714"/>
      <c r="J109" s="714"/>
      <c r="K109" s="714"/>
      <c r="L109" s="714"/>
      <c r="M109" s="715"/>
      <c r="N109" s="765">
        <f>IFERROR(SUM(Surfaces!O119:O121)/Surfaces!O24,0)</f>
        <v>0</v>
      </c>
      <c r="O109" s="766"/>
      <c r="Q109" s="651" t="s">
        <v>239</v>
      </c>
      <c r="R109" s="651"/>
      <c r="AA109" s="20"/>
    </row>
    <row r="110" spans="2:27" x14ac:dyDescent="0.25">
      <c r="B110" s="19"/>
      <c r="E110" s="714" t="s">
        <v>254</v>
      </c>
      <c r="F110" s="714"/>
      <c r="G110" s="714"/>
      <c r="H110" s="714"/>
      <c r="I110" s="714"/>
      <c r="J110" s="714"/>
      <c r="K110" s="714"/>
      <c r="L110" s="714"/>
      <c r="M110" s="715"/>
      <c r="N110" s="709">
        <f>SURFACE_CULTURE_PRINCIPALE</f>
        <v>0</v>
      </c>
      <c r="O110" s="710"/>
      <c r="AA110" s="20"/>
    </row>
    <row r="111" spans="2:27" x14ac:dyDescent="0.25">
      <c r="B111" s="19"/>
      <c r="E111" s="700" t="s">
        <v>576</v>
      </c>
      <c r="F111" s="700"/>
      <c r="G111" s="700"/>
      <c r="H111" s="700"/>
      <c r="I111" s="700"/>
      <c r="J111" s="700"/>
      <c r="K111" s="700"/>
      <c r="L111" s="700"/>
      <c r="M111" s="701"/>
      <c r="N111" s="709">
        <f>cSAU-Surfaces!O119-Surfaces!O120-Surfaces!O121</f>
        <v>0</v>
      </c>
      <c r="O111" s="710"/>
      <c r="W111" s="680" t="s">
        <v>713</v>
      </c>
      <c r="X111" s="680"/>
      <c r="AA111" s="20"/>
    </row>
    <row r="112" spans="2:27" x14ac:dyDescent="0.25">
      <c r="B112" s="19"/>
      <c r="E112" s="700" t="s">
        <v>251</v>
      </c>
      <c r="F112" s="700"/>
      <c r="G112" s="700"/>
      <c r="H112" s="700"/>
      <c r="I112" s="700"/>
      <c r="J112" s="700"/>
      <c r="K112" s="700"/>
      <c r="L112" s="700"/>
      <c r="M112" s="701"/>
      <c r="N112" s="705">
        <f>IFERROR(N110/N111,0)</f>
        <v>0</v>
      </c>
      <c r="O112" s="706"/>
      <c r="Q112" s="712">
        <f>IF(Surfaces!O24=0,0,IF(N109=1,0,IF(N105&gt;0,IF(AND(N112&gt;0,N112&lt;0.2),5,IF(AND(N112&gt;=0.2,N112&lt;0.3),4,IF(AND(N112&gt;=0.3,N112&lt;0.4),3,IF(AND(N112&gt;=0.4,N112&lt;0.5),2,IF(AND(N112&gt;=0.5,N112&lt;0.6),1,0))))),0)))</f>
        <v>0</v>
      </c>
      <c r="R112" s="713"/>
      <c r="W112" s="707">
        <v>5</v>
      </c>
      <c r="X112" s="708"/>
      <c r="AA112" s="20"/>
    </row>
    <row r="113" spans="2:29" x14ac:dyDescent="0.25">
      <c r="B113" s="19"/>
      <c r="AA113" s="20"/>
    </row>
    <row r="114" spans="2:29" x14ac:dyDescent="0.25">
      <c r="B114" s="19"/>
      <c r="AA114" s="20"/>
    </row>
    <row r="115" spans="2:29" x14ac:dyDescent="0.25">
      <c r="B115" s="19"/>
      <c r="E115" s="70" t="s">
        <v>2506</v>
      </c>
      <c r="AA115" s="20"/>
    </row>
    <row r="116" spans="2:29" x14ac:dyDescent="0.25">
      <c r="B116" s="19"/>
      <c r="E116" s="667"/>
      <c r="F116" s="668"/>
      <c r="G116" s="668"/>
      <c r="H116" s="668"/>
      <c r="I116" s="668"/>
      <c r="J116" s="668"/>
      <c r="K116" s="668"/>
      <c r="L116" s="668"/>
      <c r="M116" s="668"/>
      <c r="N116" s="668"/>
      <c r="O116" s="668"/>
      <c r="P116" s="668"/>
      <c r="Q116" s="668"/>
      <c r="R116" s="668"/>
      <c r="S116" s="668"/>
      <c r="T116" s="668"/>
      <c r="U116" s="668"/>
      <c r="V116" s="668"/>
      <c r="W116" s="668"/>
      <c r="X116" s="668"/>
      <c r="Y116" s="669"/>
      <c r="AA116" s="20"/>
    </row>
    <row r="117" spans="2:29" x14ac:dyDescent="0.25">
      <c r="B117" s="19"/>
      <c r="E117" s="670"/>
      <c r="F117" s="671"/>
      <c r="G117" s="671"/>
      <c r="H117" s="671"/>
      <c r="I117" s="671"/>
      <c r="J117" s="671"/>
      <c r="K117" s="671"/>
      <c r="L117" s="671"/>
      <c r="M117" s="671"/>
      <c r="N117" s="671"/>
      <c r="O117" s="671"/>
      <c r="P117" s="671"/>
      <c r="Q117" s="671"/>
      <c r="R117" s="671"/>
      <c r="S117" s="671"/>
      <c r="T117" s="671"/>
      <c r="U117" s="671"/>
      <c r="V117" s="671"/>
      <c r="W117" s="671"/>
      <c r="X117" s="671"/>
      <c r="Y117" s="672"/>
      <c r="AA117" s="20"/>
    </row>
    <row r="118" spans="2:29" x14ac:dyDescent="0.25">
      <c r="B118" s="19"/>
      <c r="E118" s="670"/>
      <c r="F118" s="671"/>
      <c r="G118" s="671"/>
      <c r="H118" s="671"/>
      <c r="I118" s="671"/>
      <c r="J118" s="671"/>
      <c r="K118" s="671"/>
      <c r="L118" s="671"/>
      <c r="M118" s="671"/>
      <c r="N118" s="671"/>
      <c r="O118" s="671"/>
      <c r="P118" s="671"/>
      <c r="Q118" s="671"/>
      <c r="R118" s="671"/>
      <c r="S118" s="671"/>
      <c r="T118" s="671"/>
      <c r="U118" s="671"/>
      <c r="V118" s="671"/>
      <c r="W118" s="671"/>
      <c r="X118" s="671"/>
      <c r="Y118" s="672"/>
      <c r="AA118" s="20"/>
    </row>
    <row r="119" spans="2:29" x14ac:dyDescent="0.25">
      <c r="B119" s="19"/>
      <c r="E119" s="670"/>
      <c r="F119" s="671"/>
      <c r="G119" s="671"/>
      <c r="H119" s="671"/>
      <c r="I119" s="671"/>
      <c r="J119" s="671"/>
      <c r="K119" s="671"/>
      <c r="L119" s="671"/>
      <c r="M119" s="671"/>
      <c r="N119" s="671"/>
      <c r="O119" s="671"/>
      <c r="P119" s="671"/>
      <c r="Q119" s="671"/>
      <c r="R119" s="671"/>
      <c r="S119" s="671"/>
      <c r="T119" s="671"/>
      <c r="U119" s="671"/>
      <c r="V119" s="671"/>
      <c r="W119" s="671"/>
      <c r="X119" s="671"/>
      <c r="Y119" s="672"/>
      <c r="AA119" s="20"/>
    </row>
    <row r="120" spans="2:29" x14ac:dyDescent="0.25">
      <c r="B120" s="19"/>
      <c r="E120" s="673"/>
      <c r="F120" s="674"/>
      <c r="G120" s="674"/>
      <c r="H120" s="674"/>
      <c r="I120" s="674"/>
      <c r="J120" s="674"/>
      <c r="K120" s="674"/>
      <c r="L120" s="674"/>
      <c r="M120" s="674"/>
      <c r="N120" s="674"/>
      <c r="O120" s="674"/>
      <c r="P120" s="674"/>
      <c r="Q120" s="674"/>
      <c r="R120" s="674"/>
      <c r="S120" s="674"/>
      <c r="T120" s="674"/>
      <c r="U120" s="674"/>
      <c r="V120" s="674"/>
      <c r="W120" s="674"/>
      <c r="X120" s="674"/>
      <c r="Y120" s="675"/>
      <c r="AA120" s="20"/>
    </row>
    <row r="121" spans="2:29" x14ac:dyDescent="0.25">
      <c r="B121" s="19"/>
      <c r="AA121" s="20"/>
    </row>
    <row r="122" spans="2:29" ht="15.75" thickBot="1" x14ac:dyDescent="0.3">
      <c r="B122" s="22"/>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4"/>
    </row>
    <row r="125" spans="2:29" ht="15.75" thickBot="1" x14ac:dyDescent="0.3"/>
    <row r="126" spans="2:29" x14ac:dyDescent="0.25">
      <c r="B126" s="16"/>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8"/>
    </row>
    <row r="127" spans="2:29" x14ac:dyDescent="0.25">
      <c r="B127" s="19"/>
      <c r="AA127" s="20"/>
    </row>
    <row r="128" spans="2:29" ht="15" customHeight="1" x14ac:dyDescent="0.25">
      <c r="B128" s="19"/>
      <c r="C128" s="70" t="s">
        <v>269</v>
      </c>
      <c r="I128" s="651" t="s">
        <v>257</v>
      </c>
      <c r="J128" s="651"/>
      <c r="K128" s="722" t="s">
        <v>577</v>
      </c>
      <c r="L128" s="722"/>
      <c r="M128" s="722"/>
      <c r="N128" s="722"/>
      <c r="O128" s="130"/>
      <c r="P128" s="130"/>
      <c r="Q128" s="130"/>
      <c r="R128" s="130"/>
      <c r="S128" s="130"/>
      <c r="T128" s="130"/>
      <c r="U128" s="130"/>
      <c r="V128" s="130"/>
      <c r="W128" s="130"/>
      <c r="X128" s="130"/>
      <c r="Y128" s="130"/>
      <c r="Z128" s="130"/>
      <c r="AA128" s="90"/>
      <c r="AB128" s="87"/>
      <c r="AC128" s="87"/>
    </row>
    <row r="129" spans="2:29" x14ac:dyDescent="0.25">
      <c r="B129" s="19"/>
      <c r="D129" s="47" t="s">
        <v>255</v>
      </c>
      <c r="E129" s="47"/>
      <c r="F129" s="47"/>
      <c r="G129" s="47"/>
      <c r="H129" s="43"/>
      <c r="I129" s="683"/>
      <c r="J129" s="684"/>
      <c r="K129" s="722"/>
      <c r="L129" s="722"/>
      <c r="M129" s="722"/>
      <c r="N129" s="722"/>
      <c r="O129" s="130"/>
      <c r="P129" s="130"/>
      <c r="Q129" s="130"/>
      <c r="R129" s="130"/>
      <c r="S129" s="130"/>
      <c r="T129" s="130"/>
      <c r="U129" s="130"/>
      <c r="V129" s="130"/>
      <c r="W129" s="130"/>
      <c r="X129" s="130"/>
      <c r="Y129" s="130"/>
      <c r="Z129" s="130"/>
      <c r="AA129" s="90"/>
      <c r="AB129" s="87"/>
      <c r="AC129" s="87"/>
    </row>
    <row r="130" spans="2:29" x14ac:dyDescent="0.25">
      <c r="B130" s="19"/>
      <c r="D130" s="48" t="s">
        <v>256</v>
      </c>
      <c r="E130" s="48"/>
      <c r="F130" s="48"/>
      <c r="G130" s="48"/>
      <c r="H130" s="44"/>
      <c r="I130" s="683"/>
      <c r="J130" s="684"/>
      <c r="L130" s="685">
        <f>SUM(I129:J130)</f>
        <v>0</v>
      </c>
      <c r="M130" s="686"/>
      <c r="N130" s="130"/>
      <c r="O130" s="130"/>
      <c r="P130" s="130"/>
      <c r="Q130" s="130"/>
      <c r="R130" s="130"/>
      <c r="S130" s="130"/>
      <c r="T130" s="130"/>
      <c r="U130" s="130"/>
      <c r="V130" s="130"/>
      <c r="W130" s="130"/>
      <c r="X130" s="130"/>
      <c r="Y130" s="130"/>
      <c r="Z130" s="130"/>
      <c r="AA130" s="90"/>
      <c r="AB130" s="87"/>
      <c r="AC130" s="87"/>
    </row>
    <row r="131" spans="2:29" x14ac:dyDescent="0.25">
      <c r="B131" s="19"/>
      <c r="AA131" s="20"/>
    </row>
    <row r="132" spans="2:29" ht="15" customHeight="1" x14ac:dyDescent="0.25">
      <c r="B132" s="19"/>
      <c r="C132" s="70" t="s">
        <v>258</v>
      </c>
      <c r="AA132" s="20"/>
    </row>
    <row r="133" spans="2:29" x14ac:dyDescent="0.25">
      <c r="B133" s="19"/>
      <c r="D133" s="47" t="s">
        <v>259</v>
      </c>
      <c r="E133" s="47"/>
      <c r="F133" s="47"/>
      <c r="G133" s="47"/>
      <c r="H133" s="43"/>
      <c r="I133" s="683"/>
      <c r="J133" s="684"/>
      <c r="L133" s="685">
        <f>IFERROR(I133,0)</f>
        <v>0</v>
      </c>
      <c r="M133" s="686"/>
      <c r="O133" s="130"/>
      <c r="P133" s="87"/>
      <c r="Q133" s="87"/>
      <c r="R133" s="87"/>
      <c r="S133" s="87"/>
      <c r="T133" s="87"/>
      <c r="U133" s="87"/>
      <c r="V133" s="87"/>
      <c r="W133" s="87"/>
      <c r="X133" s="87"/>
      <c r="Y133" s="87"/>
      <c r="Z133" s="87"/>
      <c r="AA133" s="20"/>
    </row>
    <row r="134" spans="2:29" x14ac:dyDescent="0.25">
      <c r="B134" s="19"/>
      <c r="D134" s="48" t="s">
        <v>260</v>
      </c>
      <c r="E134" s="48"/>
      <c r="F134" s="48"/>
      <c r="G134" s="48"/>
      <c r="H134" s="44"/>
      <c r="I134" s="709">
        <f>Surfaces!O115</f>
        <v>0</v>
      </c>
      <c r="J134" s="710"/>
      <c r="L134" s="685">
        <f>IFERROR(IF(I134&gt;0,2,0),0)</f>
        <v>0</v>
      </c>
      <c r="M134" s="686"/>
      <c r="O134" s="87"/>
      <c r="P134" s="87"/>
      <c r="Q134" s="87"/>
      <c r="R134" s="87"/>
      <c r="S134" s="87"/>
      <c r="T134" s="87"/>
      <c r="U134" s="87"/>
      <c r="V134" s="87"/>
      <c r="W134" s="87"/>
      <c r="X134" s="87"/>
      <c r="Y134" s="87"/>
      <c r="Z134" s="87"/>
      <c r="AA134" s="20"/>
    </row>
    <row r="135" spans="2:29" x14ac:dyDescent="0.25">
      <c r="B135" s="19"/>
      <c r="D135" s="48" t="s">
        <v>261</v>
      </c>
      <c r="E135" s="48"/>
      <c r="F135" s="48"/>
      <c r="G135" s="48"/>
      <c r="H135" s="44"/>
      <c r="I135" s="709">
        <f>Surfaces!O117</f>
        <v>0</v>
      </c>
      <c r="J135" s="710"/>
      <c r="L135" s="685">
        <f>IFERROR(IF(I135&gt;0,2,0),0)</f>
        <v>0</v>
      </c>
      <c r="M135" s="686"/>
      <c r="O135" s="87"/>
      <c r="P135" s="87"/>
      <c r="Q135" s="87"/>
      <c r="R135" s="87"/>
      <c r="S135" s="87"/>
      <c r="T135" s="87"/>
      <c r="U135" s="87"/>
      <c r="V135" s="87"/>
      <c r="W135" s="87"/>
      <c r="X135" s="87"/>
      <c r="Y135" s="87"/>
      <c r="Z135" s="87"/>
      <c r="AA135" s="20"/>
    </row>
    <row r="136" spans="2:29" x14ac:dyDescent="0.25">
      <c r="B136" s="19"/>
      <c r="D136" s="716" t="s">
        <v>262</v>
      </c>
      <c r="E136" s="716"/>
      <c r="F136" s="716"/>
      <c r="G136" s="716"/>
      <c r="H136" s="717"/>
      <c r="I136" s="718">
        <f>Surfaces!O118</f>
        <v>0</v>
      </c>
      <c r="J136" s="719"/>
      <c r="K136" s="91"/>
      <c r="L136" s="687">
        <f>IFERROR(IF(I136&gt;0,3,0),0)</f>
        <v>0</v>
      </c>
      <c r="M136" s="688"/>
      <c r="O136" s="87"/>
      <c r="P136" s="87"/>
      <c r="Q136" s="87"/>
      <c r="R136" s="87"/>
      <c r="S136" s="87"/>
      <c r="T136" s="87"/>
      <c r="U136" s="87"/>
      <c r="V136" s="87"/>
      <c r="W136" s="87"/>
      <c r="X136" s="87"/>
      <c r="Y136" s="87"/>
      <c r="Z136" s="87"/>
      <c r="AA136" s="20"/>
    </row>
    <row r="137" spans="2:29" x14ac:dyDescent="0.25">
      <c r="B137" s="19"/>
      <c r="D137" s="716"/>
      <c r="E137" s="716"/>
      <c r="F137" s="716"/>
      <c r="G137" s="716"/>
      <c r="H137" s="717"/>
      <c r="I137" s="720"/>
      <c r="J137" s="721"/>
      <c r="K137" s="91"/>
      <c r="L137" s="689">
        <f>IFERROR(IF(I137&gt;0,2,0),0)</f>
        <v>0</v>
      </c>
      <c r="M137" s="690"/>
      <c r="O137" s="87"/>
      <c r="P137" s="87"/>
      <c r="Q137" s="87"/>
      <c r="R137" s="87"/>
      <c r="S137" s="87"/>
      <c r="T137" s="87"/>
      <c r="U137" s="87"/>
      <c r="V137" s="87"/>
      <c r="W137" s="87"/>
      <c r="X137" s="87"/>
      <c r="Y137" s="87"/>
      <c r="Z137" s="87"/>
      <c r="AA137" s="20"/>
    </row>
    <row r="138" spans="2:29" x14ac:dyDescent="0.25">
      <c r="B138" s="19"/>
      <c r="AA138" s="20"/>
    </row>
    <row r="139" spans="2:29" x14ac:dyDescent="0.25">
      <c r="B139" s="19"/>
      <c r="C139" s="70" t="s">
        <v>264</v>
      </c>
      <c r="AA139" s="20"/>
    </row>
    <row r="140" spans="2:29" x14ac:dyDescent="0.25">
      <c r="B140" s="19"/>
      <c r="C140" s="70"/>
      <c r="D140" s="47" t="s">
        <v>386</v>
      </c>
      <c r="E140" s="47"/>
      <c r="F140" s="47"/>
      <c r="G140" s="47"/>
      <c r="H140" s="43"/>
      <c r="I140" s="709">
        <f>Surfaces!O119+Surfaces!O120+Surfaces!O121</f>
        <v>0</v>
      </c>
      <c r="J140" s="697"/>
      <c r="AA140" s="20"/>
    </row>
    <row r="141" spans="2:29" x14ac:dyDescent="0.25">
      <c r="B141" s="19"/>
      <c r="D141" s="47" t="s">
        <v>263</v>
      </c>
      <c r="E141" s="47"/>
      <c r="F141" s="47"/>
      <c r="G141" s="47"/>
      <c r="H141" s="43"/>
      <c r="I141" s="705">
        <f>IFERROR(I140/Surfaces!O24,0)</f>
        <v>0</v>
      </c>
      <c r="J141" s="706"/>
      <c r="L141" s="685">
        <f>MIN(ROUNDUP(I141/10%,0),10)</f>
        <v>0</v>
      </c>
      <c r="M141" s="686"/>
      <c r="O141" s="21"/>
      <c r="AA141" s="20"/>
    </row>
    <row r="142" spans="2:29" x14ac:dyDescent="0.25">
      <c r="B142" s="19"/>
      <c r="AA142" s="20"/>
    </row>
    <row r="143" spans="2:29" x14ac:dyDescent="0.25">
      <c r="B143" s="19"/>
      <c r="C143" s="70" t="s">
        <v>265</v>
      </c>
      <c r="I143" s="651" t="s">
        <v>257</v>
      </c>
      <c r="J143" s="651"/>
      <c r="AA143" s="20"/>
    </row>
    <row r="144" spans="2:29" x14ac:dyDescent="0.25">
      <c r="B144" s="19"/>
      <c r="D144" s="47" t="s">
        <v>125</v>
      </c>
      <c r="E144" s="47"/>
      <c r="F144" s="47"/>
      <c r="G144" s="47"/>
      <c r="H144" s="43"/>
      <c r="I144" s="696">
        <f>IF(Surfaces!O141&gt;0,1,0)</f>
        <v>0</v>
      </c>
      <c r="J144" s="697"/>
      <c r="AA144" s="20"/>
    </row>
    <row r="145" spans="2:27" x14ac:dyDescent="0.25">
      <c r="B145" s="19"/>
      <c r="D145" s="47" t="s">
        <v>266</v>
      </c>
      <c r="E145" s="47"/>
      <c r="F145" s="47"/>
      <c r="G145" s="47"/>
      <c r="H145" s="43"/>
      <c r="I145" s="683"/>
      <c r="J145" s="684"/>
      <c r="AA145" s="20"/>
    </row>
    <row r="146" spans="2:27" x14ac:dyDescent="0.25">
      <c r="B146" s="19"/>
      <c r="D146" s="48" t="s">
        <v>267</v>
      </c>
      <c r="E146" s="48"/>
      <c r="F146" s="48"/>
      <c r="G146" s="48"/>
      <c r="H146" s="44"/>
      <c r="I146" s="683"/>
      <c r="J146" s="684"/>
      <c r="AA146" s="20"/>
    </row>
    <row r="147" spans="2:27" x14ac:dyDescent="0.25">
      <c r="B147" s="19"/>
      <c r="D147" s="48" t="s">
        <v>268</v>
      </c>
      <c r="E147" s="48"/>
      <c r="F147" s="48"/>
      <c r="G147" s="48"/>
      <c r="H147" s="44"/>
      <c r="I147" s="683"/>
      <c r="J147" s="684"/>
      <c r="AA147" s="20"/>
    </row>
    <row r="148" spans="2:27" x14ac:dyDescent="0.25">
      <c r="B148" s="19"/>
      <c r="D148" s="48" t="s">
        <v>124</v>
      </c>
      <c r="E148" s="48"/>
      <c r="F148" s="48"/>
      <c r="G148" s="48"/>
      <c r="H148" s="44"/>
      <c r="I148" s="683"/>
      <c r="J148" s="684"/>
      <c r="L148" s="729">
        <f>SUM(I144:J148)</f>
        <v>0</v>
      </c>
      <c r="M148" s="686"/>
      <c r="AA148" s="20"/>
    </row>
    <row r="149" spans="2:27" x14ac:dyDescent="0.25">
      <c r="B149" s="19"/>
      <c r="AA149" s="20"/>
    </row>
    <row r="150" spans="2:27" x14ac:dyDescent="0.25">
      <c r="B150" s="19"/>
      <c r="C150" s="42"/>
      <c r="L150" s="651" t="s">
        <v>578</v>
      </c>
      <c r="M150" s="651"/>
      <c r="O150" s="651" t="s">
        <v>239</v>
      </c>
      <c r="P150" s="651"/>
      <c r="AA150" s="20"/>
    </row>
    <row r="151" spans="2:27" x14ac:dyDescent="0.25">
      <c r="B151" s="19"/>
      <c r="C151" s="42"/>
      <c r="L151" s="96"/>
      <c r="M151" s="96"/>
      <c r="AA151" s="20"/>
    </row>
    <row r="152" spans="2:27" x14ac:dyDescent="0.25">
      <c r="B152" s="19"/>
      <c r="C152" s="42"/>
      <c r="D152" s="77" t="s">
        <v>556</v>
      </c>
      <c r="E152" s="77"/>
      <c r="F152" s="77"/>
      <c r="G152" s="77"/>
      <c r="H152" s="77"/>
      <c r="I152" s="77"/>
      <c r="J152" s="77"/>
      <c r="K152" s="102"/>
      <c r="L152" s="685">
        <f>SUM(L130:M148)</f>
        <v>0</v>
      </c>
      <c r="M152" s="686"/>
      <c r="N152" s="143"/>
      <c r="W152" s="680" t="s">
        <v>713</v>
      </c>
      <c r="X152" s="680"/>
      <c r="AA152" s="20"/>
    </row>
    <row r="153" spans="2:27" x14ac:dyDescent="0.25">
      <c r="B153" s="19"/>
      <c r="C153" s="42"/>
      <c r="D153" s="77" t="s">
        <v>2335</v>
      </c>
      <c r="E153" s="77"/>
      <c r="F153" s="77"/>
      <c r="G153" s="77"/>
      <c r="H153" s="77"/>
      <c r="I153" s="77"/>
      <c r="J153" s="77"/>
      <c r="K153" s="102"/>
      <c r="L153" s="767">
        <f>IFERROR(SUM(Surfaces!O119:O121)/Surfaces!O24,0)</f>
        <v>0</v>
      </c>
      <c r="M153" s="768"/>
      <c r="N153" s="143"/>
      <c r="W153" s="305"/>
      <c r="X153" s="305"/>
      <c r="AA153" s="20"/>
    </row>
    <row r="154" spans="2:27" x14ac:dyDescent="0.25">
      <c r="B154" s="19"/>
      <c r="C154" s="42"/>
      <c r="D154" s="78" t="s">
        <v>579</v>
      </c>
      <c r="E154" s="78"/>
      <c r="F154" s="78"/>
      <c r="G154" s="78"/>
      <c r="H154" s="78"/>
      <c r="I154" s="78"/>
      <c r="J154" s="78"/>
      <c r="K154" s="103"/>
      <c r="L154" s="711">
        <f>N112</f>
        <v>0</v>
      </c>
      <c r="M154" s="686"/>
      <c r="N154" s="143"/>
      <c r="O154" s="694">
        <f>IF(L152=0,0,IF(AND(L154&gt;=0.6,L153&lt;1),MIN(MAX(L152-5,0)/1,5),MIN(MAX(L152-4,0)/1,6)))</f>
        <v>0</v>
      </c>
      <c r="P154" s="695"/>
      <c r="W154" s="707">
        <v>6</v>
      </c>
      <c r="X154" s="708"/>
      <c r="AA154" s="20"/>
    </row>
    <row r="155" spans="2:27" x14ac:dyDescent="0.25">
      <c r="B155" s="19"/>
      <c r="C155" s="42"/>
      <c r="E155" s="65"/>
      <c r="F155" s="65"/>
      <c r="G155" s="65"/>
      <c r="H155" s="65"/>
      <c r="I155" s="65"/>
      <c r="J155" s="65"/>
      <c r="K155" s="65"/>
      <c r="L155" s="36"/>
      <c r="M155" s="36"/>
      <c r="N155" s="143"/>
      <c r="AA155" s="20"/>
    </row>
    <row r="156" spans="2:27" x14ac:dyDescent="0.25">
      <c r="B156" s="19"/>
      <c r="C156" s="42"/>
      <c r="D156" s="65"/>
      <c r="E156" s="65"/>
      <c r="F156" s="65"/>
      <c r="G156" s="65"/>
      <c r="H156" s="65"/>
      <c r="I156" s="65"/>
      <c r="J156" s="65"/>
      <c r="K156" s="65"/>
      <c r="L156" s="36"/>
      <c r="M156" s="36"/>
      <c r="N156" s="143"/>
      <c r="AA156" s="20"/>
    </row>
    <row r="157" spans="2:27" x14ac:dyDescent="0.25">
      <c r="B157" s="19"/>
      <c r="C157" s="42"/>
      <c r="D157" s="70" t="s">
        <v>2506</v>
      </c>
      <c r="AA157" s="20"/>
    </row>
    <row r="158" spans="2:27" x14ac:dyDescent="0.25">
      <c r="B158" s="19"/>
      <c r="C158" s="42"/>
      <c r="D158" s="667"/>
      <c r="E158" s="668"/>
      <c r="F158" s="668"/>
      <c r="G158" s="668"/>
      <c r="H158" s="668"/>
      <c r="I158" s="668"/>
      <c r="J158" s="668"/>
      <c r="K158" s="668"/>
      <c r="L158" s="668"/>
      <c r="M158" s="668"/>
      <c r="N158" s="668"/>
      <c r="O158" s="668"/>
      <c r="P158" s="668"/>
      <c r="Q158" s="668"/>
      <c r="R158" s="668"/>
      <c r="S158" s="668"/>
      <c r="T158" s="668"/>
      <c r="U158" s="668"/>
      <c r="V158" s="668"/>
      <c r="W158" s="668"/>
      <c r="X158" s="669"/>
      <c r="AA158" s="20"/>
    </row>
    <row r="159" spans="2:27" x14ac:dyDescent="0.25">
      <c r="B159" s="19"/>
      <c r="C159" s="42"/>
      <c r="D159" s="670"/>
      <c r="E159" s="671"/>
      <c r="F159" s="671"/>
      <c r="G159" s="671"/>
      <c r="H159" s="671"/>
      <c r="I159" s="671"/>
      <c r="J159" s="671"/>
      <c r="K159" s="671"/>
      <c r="L159" s="671"/>
      <c r="M159" s="671"/>
      <c r="N159" s="671"/>
      <c r="O159" s="671"/>
      <c r="P159" s="671"/>
      <c r="Q159" s="671"/>
      <c r="R159" s="671"/>
      <c r="S159" s="671"/>
      <c r="T159" s="671"/>
      <c r="U159" s="671"/>
      <c r="V159" s="671"/>
      <c r="W159" s="671"/>
      <c r="X159" s="672"/>
      <c r="AA159" s="20"/>
    </row>
    <row r="160" spans="2:27" x14ac:dyDescent="0.25">
      <c r="B160" s="19"/>
      <c r="C160" s="42"/>
      <c r="D160" s="670"/>
      <c r="E160" s="671"/>
      <c r="F160" s="671"/>
      <c r="G160" s="671"/>
      <c r="H160" s="671"/>
      <c r="I160" s="671"/>
      <c r="J160" s="671"/>
      <c r="K160" s="671"/>
      <c r="L160" s="671"/>
      <c r="M160" s="671"/>
      <c r="N160" s="671"/>
      <c r="O160" s="671"/>
      <c r="P160" s="671"/>
      <c r="Q160" s="671"/>
      <c r="R160" s="671"/>
      <c r="S160" s="671"/>
      <c r="T160" s="671"/>
      <c r="U160" s="671"/>
      <c r="V160" s="671"/>
      <c r="W160" s="671"/>
      <c r="X160" s="672"/>
      <c r="AA160" s="20"/>
    </row>
    <row r="161" spans="2:27" x14ac:dyDescent="0.25">
      <c r="B161" s="19"/>
      <c r="C161" s="42"/>
      <c r="D161" s="670"/>
      <c r="E161" s="671"/>
      <c r="F161" s="671"/>
      <c r="G161" s="671"/>
      <c r="H161" s="671"/>
      <c r="I161" s="671"/>
      <c r="J161" s="671"/>
      <c r="K161" s="671"/>
      <c r="L161" s="671"/>
      <c r="M161" s="671"/>
      <c r="N161" s="671"/>
      <c r="O161" s="671"/>
      <c r="P161" s="671"/>
      <c r="Q161" s="671"/>
      <c r="R161" s="671"/>
      <c r="S161" s="671"/>
      <c r="T161" s="671"/>
      <c r="U161" s="671"/>
      <c r="V161" s="671"/>
      <c r="W161" s="671"/>
      <c r="X161" s="672"/>
      <c r="AA161" s="20"/>
    </row>
    <row r="162" spans="2:27" x14ac:dyDescent="0.25">
      <c r="B162" s="19"/>
      <c r="C162" s="42"/>
      <c r="D162" s="673"/>
      <c r="E162" s="674"/>
      <c r="F162" s="674"/>
      <c r="G162" s="674"/>
      <c r="H162" s="674"/>
      <c r="I162" s="674"/>
      <c r="J162" s="674"/>
      <c r="K162" s="674"/>
      <c r="L162" s="674"/>
      <c r="M162" s="674"/>
      <c r="N162" s="674"/>
      <c r="O162" s="674"/>
      <c r="P162" s="674"/>
      <c r="Q162" s="674"/>
      <c r="R162" s="674"/>
      <c r="S162" s="674"/>
      <c r="T162" s="674"/>
      <c r="U162" s="674"/>
      <c r="V162" s="674"/>
      <c r="W162" s="674"/>
      <c r="X162" s="675"/>
      <c r="AA162" s="20"/>
    </row>
    <row r="163" spans="2:27" x14ac:dyDescent="0.25">
      <c r="B163" s="19"/>
      <c r="C163" s="42"/>
      <c r="D163" s="65"/>
      <c r="E163" s="65"/>
      <c r="F163" s="65"/>
      <c r="G163" s="65"/>
      <c r="H163" s="65"/>
      <c r="I163" s="65"/>
      <c r="J163" s="65"/>
      <c r="K163" s="65"/>
      <c r="L163" s="36"/>
      <c r="M163" s="36"/>
      <c r="N163" s="143"/>
      <c r="AA163" s="20"/>
    </row>
    <row r="164" spans="2:27" ht="15.75" thickBot="1" x14ac:dyDescent="0.3">
      <c r="B164" s="22"/>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4"/>
    </row>
    <row r="167" spans="2:27" ht="15.75" thickBot="1" x14ac:dyDescent="0.3"/>
    <row r="168" spans="2:27" x14ac:dyDescent="0.25">
      <c r="B168" s="16"/>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8"/>
    </row>
    <row r="169" spans="2:27" x14ac:dyDescent="0.25">
      <c r="B169" s="19"/>
      <c r="AA169" s="20"/>
    </row>
    <row r="170" spans="2:27" x14ac:dyDescent="0.25">
      <c r="B170" s="19"/>
      <c r="C170" s="70" t="s">
        <v>2336</v>
      </c>
      <c r="AA170" s="20"/>
    </row>
    <row r="171" spans="2:27" x14ac:dyDescent="0.25">
      <c r="B171" s="19"/>
      <c r="D171" s="47" t="s">
        <v>271</v>
      </c>
      <c r="E171" s="47"/>
      <c r="F171" s="47"/>
      <c r="G171" s="47"/>
      <c r="H171" s="43"/>
      <c r="I171" s="683"/>
      <c r="J171" s="684"/>
      <c r="AA171" s="20"/>
    </row>
    <row r="172" spans="2:27" x14ac:dyDescent="0.25">
      <c r="B172" s="19"/>
      <c r="D172" s="48" t="s">
        <v>272</v>
      </c>
      <c r="E172" s="48"/>
      <c r="F172" s="48"/>
      <c r="G172" s="48"/>
      <c r="H172" s="44"/>
      <c r="I172" s="683"/>
      <c r="J172" s="684"/>
      <c r="AA172" s="20"/>
    </row>
    <row r="173" spans="2:27" x14ac:dyDescent="0.25">
      <c r="B173" s="19"/>
      <c r="D173" s="48" t="s">
        <v>273</v>
      </c>
      <c r="E173" s="48"/>
      <c r="F173" s="48"/>
      <c r="G173" s="48"/>
      <c r="H173" s="44"/>
      <c r="I173" s="683"/>
      <c r="J173" s="684"/>
      <c r="AA173" s="20"/>
    </row>
    <row r="174" spans="2:27" x14ac:dyDescent="0.25">
      <c r="B174" s="19"/>
      <c r="D174" s="48" t="s">
        <v>274</v>
      </c>
      <c r="E174" s="48"/>
      <c r="F174" s="48"/>
      <c r="G174" s="48"/>
      <c r="H174" s="44"/>
      <c r="I174" s="683"/>
      <c r="J174" s="684"/>
      <c r="AA174" s="20"/>
    </row>
    <row r="175" spans="2:27" x14ac:dyDescent="0.25">
      <c r="B175" s="19"/>
      <c r="D175" s="48" t="s">
        <v>275</v>
      </c>
      <c r="E175" s="48"/>
      <c r="F175" s="48"/>
      <c r="G175" s="48"/>
      <c r="H175" s="44"/>
      <c r="I175" s="703"/>
      <c r="J175" s="704"/>
      <c r="AA175" s="20"/>
    </row>
    <row r="176" spans="2:27" x14ac:dyDescent="0.25">
      <c r="B176" s="19"/>
      <c r="D176" s="48" t="s">
        <v>277</v>
      </c>
      <c r="E176" s="48"/>
      <c r="F176" s="48"/>
      <c r="G176" s="48"/>
      <c r="H176" s="44"/>
      <c r="I176" s="683"/>
      <c r="J176" s="684"/>
      <c r="AA176" s="20"/>
    </row>
    <row r="177" spans="2:27" x14ac:dyDescent="0.25">
      <c r="B177" s="19"/>
      <c r="AA177" s="20"/>
    </row>
    <row r="178" spans="2:27" x14ac:dyDescent="0.25">
      <c r="B178" s="19"/>
      <c r="AA178" s="20"/>
    </row>
    <row r="179" spans="2:27" x14ac:dyDescent="0.25">
      <c r="B179" s="19"/>
      <c r="C179" s="42"/>
      <c r="L179" s="651" t="s">
        <v>239</v>
      </c>
      <c r="M179" s="651"/>
      <c r="W179" s="680" t="s">
        <v>713</v>
      </c>
      <c r="X179" s="680"/>
      <c r="AA179" s="20"/>
    </row>
    <row r="180" spans="2:27" x14ac:dyDescent="0.25">
      <c r="B180" s="19"/>
      <c r="D180" s="40" t="s">
        <v>276</v>
      </c>
      <c r="E180" s="40"/>
      <c r="F180" s="40"/>
      <c r="G180" s="40"/>
      <c r="H180" s="45"/>
      <c r="I180" s="696">
        <f>IFERROR(SUM(I171:J176),0)</f>
        <v>0</v>
      </c>
      <c r="J180" s="697"/>
      <c r="L180" s="694">
        <f>IFERROR(IF(I180&gt;=4,3,IF(I180=3,2,IF(I180=2,1,0))),0)</f>
        <v>0</v>
      </c>
      <c r="M180" s="695"/>
      <c r="W180" s="707">
        <v>3</v>
      </c>
      <c r="X180" s="708"/>
      <c r="AA180" s="20"/>
    </row>
    <row r="181" spans="2:27" x14ac:dyDescent="0.25">
      <c r="B181" s="19"/>
      <c r="AA181" s="20"/>
    </row>
    <row r="182" spans="2:27" x14ac:dyDescent="0.25">
      <c r="B182" s="19"/>
      <c r="AA182" s="20"/>
    </row>
    <row r="183" spans="2:27" x14ac:dyDescent="0.25">
      <c r="B183" s="19"/>
      <c r="D183" s="70" t="s">
        <v>2506</v>
      </c>
      <c r="AA183" s="20"/>
    </row>
    <row r="184" spans="2:27" x14ac:dyDescent="0.25">
      <c r="B184" s="19"/>
      <c r="D184" s="667"/>
      <c r="E184" s="668"/>
      <c r="F184" s="668"/>
      <c r="G184" s="668"/>
      <c r="H184" s="668"/>
      <c r="I184" s="668"/>
      <c r="J184" s="668"/>
      <c r="K184" s="668"/>
      <c r="L184" s="668"/>
      <c r="M184" s="668"/>
      <c r="N184" s="668"/>
      <c r="O184" s="668"/>
      <c r="P184" s="668"/>
      <c r="Q184" s="668"/>
      <c r="R184" s="668"/>
      <c r="S184" s="668"/>
      <c r="T184" s="668"/>
      <c r="U184" s="668"/>
      <c r="V184" s="668"/>
      <c r="W184" s="668"/>
      <c r="X184" s="669"/>
      <c r="AA184" s="20"/>
    </row>
    <row r="185" spans="2:27" x14ac:dyDescent="0.25">
      <c r="B185" s="19"/>
      <c r="D185" s="670"/>
      <c r="E185" s="671"/>
      <c r="F185" s="671"/>
      <c r="G185" s="671"/>
      <c r="H185" s="671"/>
      <c r="I185" s="671"/>
      <c r="J185" s="671"/>
      <c r="K185" s="671"/>
      <c r="L185" s="671"/>
      <c r="M185" s="671"/>
      <c r="N185" s="671"/>
      <c r="O185" s="671"/>
      <c r="P185" s="671"/>
      <c r="Q185" s="671"/>
      <c r="R185" s="671"/>
      <c r="S185" s="671"/>
      <c r="T185" s="671"/>
      <c r="U185" s="671"/>
      <c r="V185" s="671"/>
      <c r="W185" s="671"/>
      <c r="X185" s="672"/>
      <c r="AA185" s="20"/>
    </row>
    <row r="186" spans="2:27" x14ac:dyDescent="0.25">
      <c r="B186" s="19"/>
      <c r="D186" s="670"/>
      <c r="E186" s="671"/>
      <c r="F186" s="671"/>
      <c r="G186" s="671"/>
      <c r="H186" s="671"/>
      <c r="I186" s="671"/>
      <c r="J186" s="671"/>
      <c r="K186" s="671"/>
      <c r="L186" s="671"/>
      <c r="M186" s="671"/>
      <c r="N186" s="671"/>
      <c r="O186" s="671"/>
      <c r="P186" s="671"/>
      <c r="Q186" s="671"/>
      <c r="R186" s="671"/>
      <c r="S186" s="671"/>
      <c r="T186" s="671"/>
      <c r="U186" s="671"/>
      <c r="V186" s="671"/>
      <c r="W186" s="671"/>
      <c r="X186" s="672"/>
      <c r="AA186" s="20"/>
    </row>
    <row r="187" spans="2:27" x14ac:dyDescent="0.25">
      <c r="B187" s="19"/>
      <c r="D187" s="670"/>
      <c r="E187" s="671"/>
      <c r="F187" s="671"/>
      <c r="G187" s="671"/>
      <c r="H187" s="671"/>
      <c r="I187" s="671"/>
      <c r="J187" s="671"/>
      <c r="K187" s="671"/>
      <c r="L187" s="671"/>
      <c r="M187" s="671"/>
      <c r="N187" s="671"/>
      <c r="O187" s="671"/>
      <c r="P187" s="671"/>
      <c r="Q187" s="671"/>
      <c r="R187" s="671"/>
      <c r="S187" s="671"/>
      <c r="T187" s="671"/>
      <c r="U187" s="671"/>
      <c r="V187" s="671"/>
      <c r="W187" s="671"/>
      <c r="X187" s="672"/>
      <c r="AA187" s="20"/>
    </row>
    <row r="188" spans="2:27" x14ac:dyDescent="0.25">
      <c r="B188" s="19"/>
      <c r="D188" s="673"/>
      <c r="E188" s="674"/>
      <c r="F188" s="674"/>
      <c r="G188" s="674"/>
      <c r="H188" s="674"/>
      <c r="I188" s="674"/>
      <c r="J188" s="674"/>
      <c r="K188" s="674"/>
      <c r="L188" s="674"/>
      <c r="M188" s="674"/>
      <c r="N188" s="674"/>
      <c r="O188" s="674"/>
      <c r="P188" s="674"/>
      <c r="Q188" s="674"/>
      <c r="R188" s="674"/>
      <c r="S188" s="674"/>
      <c r="T188" s="674"/>
      <c r="U188" s="674"/>
      <c r="V188" s="674"/>
      <c r="W188" s="674"/>
      <c r="X188" s="675"/>
      <c r="AA188" s="20"/>
    </row>
    <row r="189" spans="2:27" x14ac:dyDescent="0.25">
      <c r="B189" s="19"/>
      <c r="AA189" s="20"/>
    </row>
    <row r="190" spans="2:27" ht="15.75" thickBot="1" x14ac:dyDescent="0.3">
      <c r="B190" s="22"/>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4"/>
    </row>
    <row r="193" spans="2:27" ht="15.75" thickBot="1" x14ac:dyDescent="0.3"/>
    <row r="194" spans="2:27" x14ac:dyDescent="0.25">
      <c r="B194" s="16"/>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8"/>
    </row>
    <row r="195" spans="2:27" x14ac:dyDescent="0.25">
      <c r="B195" s="19"/>
      <c r="AA195" s="20"/>
    </row>
    <row r="196" spans="2:27" x14ac:dyDescent="0.25">
      <c r="B196" s="19"/>
      <c r="C196" s="92" t="s">
        <v>278</v>
      </c>
      <c r="D196" s="47"/>
      <c r="E196" s="47"/>
      <c r="F196" s="47"/>
      <c r="G196" s="47"/>
      <c r="H196" s="43"/>
      <c r="I196" s="683"/>
      <c r="J196" s="684"/>
      <c r="AA196" s="20"/>
    </row>
    <row r="197" spans="2:27" x14ac:dyDescent="0.25">
      <c r="B197" s="19"/>
      <c r="AA197" s="20"/>
    </row>
    <row r="198" spans="2:27" x14ac:dyDescent="0.25">
      <c r="B198" s="19"/>
      <c r="C198" s="42"/>
      <c r="L198" s="693" t="s">
        <v>239</v>
      </c>
      <c r="M198" s="693"/>
      <c r="W198" s="680" t="s">
        <v>713</v>
      </c>
      <c r="X198" s="680"/>
      <c r="AA198" s="20"/>
    </row>
    <row r="199" spans="2:27" x14ac:dyDescent="0.25">
      <c r="B199" s="19"/>
      <c r="D199" s="40" t="s">
        <v>284</v>
      </c>
      <c r="E199" s="40"/>
      <c r="F199" s="40"/>
      <c r="G199" s="40"/>
      <c r="H199" s="45"/>
      <c r="I199" s="696">
        <f>IFERROR(SUM(I196),0)</f>
        <v>0</v>
      </c>
      <c r="J199" s="697"/>
      <c r="L199" s="694">
        <f>IFERROR(IF(I199&gt;=3,1,0),0)</f>
        <v>0</v>
      </c>
      <c r="M199" s="695"/>
      <c r="N199" s="143"/>
      <c r="W199" s="707">
        <v>1</v>
      </c>
      <c r="X199" s="708"/>
      <c r="AA199" s="20"/>
    </row>
    <row r="200" spans="2:27" x14ac:dyDescent="0.25">
      <c r="B200" s="19"/>
      <c r="AA200" s="20"/>
    </row>
    <row r="201" spans="2:27" x14ac:dyDescent="0.25">
      <c r="B201" s="19"/>
      <c r="AA201" s="20"/>
    </row>
    <row r="202" spans="2:27" x14ac:dyDescent="0.25">
      <c r="B202" s="19"/>
      <c r="D202" s="70" t="s">
        <v>2506</v>
      </c>
      <c r="AA202" s="20"/>
    </row>
    <row r="203" spans="2:27" x14ac:dyDescent="0.25">
      <c r="B203" s="19"/>
      <c r="D203" s="667"/>
      <c r="E203" s="668"/>
      <c r="F203" s="668"/>
      <c r="G203" s="668"/>
      <c r="H203" s="668"/>
      <c r="I203" s="668"/>
      <c r="J203" s="668"/>
      <c r="K203" s="668"/>
      <c r="L203" s="668"/>
      <c r="M203" s="668"/>
      <c r="N203" s="668"/>
      <c r="O203" s="668"/>
      <c r="P203" s="668"/>
      <c r="Q203" s="668"/>
      <c r="R203" s="668"/>
      <c r="S203" s="668"/>
      <c r="T203" s="668"/>
      <c r="U203" s="668"/>
      <c r="V203" s="668"/>
      <c r="W203" s="668"/>
      <c r="X203" s="669"/>
      <c r="AA203" s="20"/>
    </row>
    <row r="204" spans="2:27" x14ac:dyDescent="0.25">
      <c r="B204" s="19"/>
      <c r="D204" s="670"/>
      <c r="E204" s="671"/>
      <c r="F204" s="671"/>
      <c r="G204" s="671"/>
      <c r="H204" s="671"/>
      <c r="I204" s="671"/>
      <c r="J204" s="671"/>
      <c r="K204" s="671"/>
      <c r="L204" s="671"/>
      <c r="M204" s="671"/>
      <c r="N204" s="671"/>
      <c r="O204" s="671"/>
      <c r="P204" s="671"/>
      <c r="Q204" s="671"/>
      <c r="R204" s="671"/>
      <c r="S204" s="671"/>
      <c r="T204" s="671"/>
      <c r="U204" s="671"/>
      <c r="V204" s="671"/>
      <c r="W204" s="671"/>
      <c r="X204" s="672"/>
      <c r="AA204" s="20"/>
    </row>
    <row r="205" spans="2:27" x14ac:dyDescent="0.25">
      <c r="B205" s="19"/>
      <c r="D205" s="670"/>
      <c r="E205" s="671"/>
      <c r="F205" s="671"/>
      <c r="G205" s="671"/>
      <c r="H205" s="671"/>
      <c r="I205" s="671"/>
      <c r="J205" s="671"/>
      <c r="K205" s="671"/>
      <c r="L205" s="671"/>
      <c r="M205" s="671"/>
      <c r="N205" s="671"/>
      <c r="O205" s="671"/>
      <c r="P205" s="671"/>
      <c r="Q205" s="671"/>
      <c r="R205" s="671"/>
      <c r="S205" s="671"/>
      <c r="T205" s="671"/>
      <c r="U205" s="671"/>
      <c r="V205" s="671"/>
      <c r="W205" s="671"/>
      <c r="X205" s="672"/>
      <c r="AA205" s="20"/>
    </row>
    <row r="206" spans="2:27" x14ac:dyDescent="0.25">
      <c r="B206" s="19"/>
      <c r="D206" s="670"/>
      <c r="E206" s="671"/>
      <c r="F206" s="671"/>
      <c r="G206" s="671"/>
      <c r="H206" s="671"/>
      <c r="I206" s="671"/>
      <c r="J206" s="671"/>
      <c r="K206" s="671"/>
      <c r="L206" s="671"/>
      <c r="M206" s="671"/>
      <c r="N206" s="671"/>
      <c r="O206" s="671"/>
      <c r="P206" s="671"/>
      <c r="Q206" s="671"/>
      <c r="R206" s="671"/>
      <c r="S206" s="671"/>
      <c r="T206" s="671"/>
      <c r="U206" s="671"/>
      <c r="V206" s="671"/>
      <c r="W206" s="671"/>
      <c r="X206" s="672"/>
      <c r="AA206" s="20"/>
    </row>
    <row r="207" spans="2:27" x14ac:dyDescent="0.25">
      <c r="B207" s="19"/>
      <c r="D207" s="673"/>
      <c r="E207" s="674"/>
      <c r="F207" s="674"/>
      <c r="G207" s="674"/>
      <c r="H207" s="674"/>
      <c r="I207" s="674"/>
      <c r="J207" s="674"/>
      <c r="K207" s="674"/>
      <c r="L207" s="674"/>
      <c r="M207" s="674"/>
      <c r="N207" s="674"/>
      <c r="O207" s="674"/>
      <c r="P207" s="674"/>
      <c r="Q207" s="674"/>
      <c r="R207" s="674"/>
      <c r="S207" s="674"/>
      <c r="T207" s="674"/>
      <c r="U207" s="674"/>
      <c r="V207" s="674"/>
      <c r="W207" s="674"/>
      <c r="X207" s="675"/>
      <c r="AA207" s="20"/>
    </row>
    <row r="208" spans="2:27" x14ac:dyDescent="0.25">
      <c r="B208" s="19"/>
      <c r="AA208" s="20"/>
    </row>
    <row r="209" spans="2:27" ht="15.75" thickBot="1" x14ac:dyDescent="0.3">
      <c r="B209" s="22"/>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4"/>
    </row>
    <row r="212" spans="2:27" ht="15.75" thickBot="1" x14ac:dyDescent="0.3"/>
    <row r="213" spans="2:27" x14ac:dyDescent="0.25">
      <c r="B213" s="16"/>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8"/>
    </row>
    <row r="214" spans="2:27" x14ac:dyDescent="0.25">
      <c r="B214" s="19"/>
      <c r="AA214" s="20"/>
    </row>
    <row r="215" spans="2:27" x14ac:dyDescent="0.25">
      <c r="B215" s="19"/>
      <c r="C215" s="70" t="s">
        <v>2580</v>
      </c>
      <c r="I215" s="683"/>
      <c r="J215" s="684"/>
      <c r="AA215" s="20"/>
    </row>
    <row r="216" spans="2:27" x14ac:dyDescent="0.25">
      <c r="B216" s="19"/>
      <c r="C216" s="70" t="s">
        <v>2581</v>
      </c>
      <c r="I216" s="683"/>
      <c r="J216" s="684"/>
      <c r="AA216" s="20"/>
    </row>
    <row r="217" spans="2:27" x14ac:dyDescent="0.25">
      <c r="B217" s="19"/>
      <c r="AA217" s="20"/>
    </row>
    <row r="218" spans="2:27" x14ac:dyDescent="0.25">
      <c r="B218" s="19"/>
      <c r="AA218" s="20"/>
    </row>
    <row r="219" spans="2:27" x14ac:dyDescent="0.25">
      <c r="B219" s="19"/>
      <c r="C219" s="70" t="s">
        <v>2546</v>
      </c>
      <c r="AA219" s="20"/>
    </row>
    <row r="220" spans="2:27" x14ac:dyDescent="0.25">
      <c r="B220" s="19"/>
      <c r="C220" s="702"/>
      <c r="D220" s="668"/>
      <c r="E220" s="668"/>
      <c r="F220" s="668"/>
      <c r="G220" s="668"/>
      <c r="H220" s="668"/>
      <c r="I220" s="668"/>
      <c r="J220" s="668"/>
      <c r="K220" s="668"/>
      <c r="L220" s="668"/>
      <c r="M220" s="668"/>
      <c r="N220" s="668"/>
      <c r="O220" s="668"/>
      <c r="P220" s="668"/>
      <c r="Q220" s="668"/>
      <c r="R220" s="668"/>
      <c r="S220" s="668"/>
      <c r="T220" s="668"/>
      <c r="U220" s="669"/>
      <c r="AA220" s="20"/>
    </row>
    <row r="221" spans="2:27" x14ac:dyDescent="0.25">
      <c r="B221" s="19"/>
      <c r="C221" s="670"/>
      <c r="D221" s="671"/>
      <c r="E221" s="671"/>
      <c r="F221" s="671"/>
      <c r="G221" s="671"/>
      <c r="H221" s="671"/>
      <c r="I221" s="671"/>
      <c r="J221" s="671"/>
      <c r="K221" s="671"/>
      <c r="L221" s="671"/>
      <c r="M221" s="671"/>
      <c r="N221" s="671"/>
      <c r="O221" s="671"/>
      <c r="P221" s="671"/>
      <c r="Q221" s="671"/>
      <c r="R221" s="671"/>
      <c r="S221" s="671"/>
      <c r="T221" s="671"/>
      <c r="U221" s="672"/>
      <c r="AA221" s="20"/>
    </row>
    <row r="222" spans="2:27" x14ac:dyDescent="0.25">
      <c r="B222" s="19"/>
      <c r="C222" s="670"/>
      <c r="D222" s="671"/>
      <c r="E222" s="671"/>
      <c r="F222" s="671"/>
      <c r="G222" s="671"/>
      <c r="H222" s="671"/>
      <c r="I222" s="671"/>
      <c r="J222" s="671"/>
      <c r="K222" s="671"/>
      <c r="L222" s="671"/>
      <c r="M222" s="671"/>
      <c r="N222" s="671"/>
      <c r="O222" s="671"/>
      <c r="P222" s="671"/>
      <c r="Q222" s="671"/>
      <c r="R222" s="671"/>
      <c r="S222" s="671"/>
      <c r="T222" s="671"/>
      <c r="U222" s="672"/>
      <c r="AA222" s="20"/>
    </row>
    <row r="223" spans="2:27" x14ac:dyDescent="0.25">
      <c r="B223" s="19"/>
      <c r="C223" s="670"/>
      <c r="D223" s="671"/>
      <c r="E223" s="671"/>
      <c r="F223" s="671"/>
      <c r="G223" s="671"/>
      <c r="H223" s="671"/>
      <c r="I223" s="671"/>
      <c r="J223" s="671"/>
      <c r="K223" s="671"/>
      <c r="L223" s="671"/>
      <c r="M223" s="671"/>
      <c r="N223" s="671"/>
      <c r="O223" s="671"/>
      <c r="P223" s="671"/>
      <c r="Q223" s="671"/>
      <c r="R223" s="671"/>
      <c r="S223" s="671"/>
      <c r="T223" s="671"/>
      <c r="U223" s="672"/>
      <c r="AA223" s="20"/>
    </row>
    <row r="224" spans="2:27" x14ac:dyDescent="0.25">
      <c r="B224" s="19"/>
      <c r="C224" s="670"/>
      <c r="D224" s="671"/>
      <c r="E224" s="671"/>
      <c r="F224" s="671"/>
      <c r="G224" s="671"/>
      <c r="H224" s="671"/>
      <c r="I224" s="671"/>
      <c r="J224" s="671"/>
      <c r="K224" s="671"/>
      <c r="L224" s="671"/>
      <c r="M224" s="671"/>
      <c r="N224" s="671"/>
      <c r="O224" s="671"/>
      <c r="P224" s="671"/>
      <c r="Q224" s="671"/>
      <c r="R224" s="671"/>
      <c r="S224" s="671"/>
      <c r="T224" s="671"/>
      <c r="U224" s="672"/>
      <c r="AA224" s="20"/>
    </row>
    <row r="225" spans="2:27" x14ac:dyDescent="0.25">
      <c r="B225" s="19"/>
      <c r="C225" s="673"/>
      <c r="D225" s="674"/>
      <c r="E225" s="674"/>
      <c r="F225" s="674"/>
      <c r="G225" s="674"/>
      <c r="H225" s="674"/>
      <c r="I225" s="674"/>
      <c r="J225" s="674"/>
      <c r="K225" s="674"/>
      <c r="L225" s="674"/>
      <c r="M225" s="674"/>
      <c r="N225" s="674"/>
      <c r="O225" s="674"/>
      <c r="P225" s="674"/>
      <c r="Q225" s="674"/>
      <c r="R225" s="674"/>
      <c r="S225" s="674"/>
      <c r="T225" s="674"/>
      <c r="U225" s="675"/>
      <c r="AA225" s="20"/>
    </row>
    <row r="226" spans="2:27" x14ac:dyDescent="0.25">
      <c r="B226" s="19"/>
      <c r="AA226" s="20"/>
    </row>
    <row r="227" spans="2:27" x14ac:dyDescent="0.25">
      <c r="B227" s="19"/>
      <c r="AA227" s="20"/>
    </row>
    <row r="228" spans="2:27" x14ac:dyDescent="0.25">
      <c r="B228" s="19"/>
      <c r="C228" s="42"/>
      <c r="L228" s="693" t="s">
        <v>239</v>
      </c>
      <c r="M228" s="693"/>
      <c r="W228" s="680" t="s">
        <v>713</v>
      </c>
      <c r="X228" s="680"/>
      <c r="AA228" s="20"/>
    </row>
    <row r="229" spans="2:27" x14ac:dyDescent="0.25">
      <c r="B229" s="19"/>
      <c r="C229" s="42"/>
      <c r="D229" s="40" t="s">
        <v>2582</v>
      </c>
      <c r="E229" s="40"/>
      <c r="F229" s="40"/>
      <c r="G229" s="40"/>
      <c r="H229" s="40"/>
      <c r="I229" s="40"/>
      <c r="J229" s="40"/>
      <c r="K229" s="45"/>
      <c r="L229" s="698">
        <f>IF(I215=0,0,IF(I215&lt;1,0,IF(I215=1,1,IF(I215=2,2,IF(I215&gt;=3,3,0)))))</f>
        <v>0</v>
      </c>
      <c r="M229" s="699"/>
      <c r="W229" s="305"/>
      <c r="X229" s="305"/>
      <c r="AA229" s="20"/>
    </row>
    <row r="230" spans="2:27" x14ac:dyDescent="0.25">
      <c r="B230" s="19"/>
      <c r="C230" s="42"/>
      <c r="D230" s="79" t="s">
        <v>2583</v>
      </c>
      <c r="E230" s="79"/>
      <c r="F230" s="79"/>
      <c r="G230" s="79"/>
      <c r="H230" s="79"/>
      <c r="I230" s="79"/>
      <c r="J230" s="79"/>
      <c r="K230" s="80"/>
      <c r="L230" s="698">
        <f>IF(I216=0,0,IF(I216&lt;1,0,IF(I216=1,1,IF(I216=2,2,IF(I216&gt;=3,3,0)))))</f>
        <v>0</v>
      </c>
      <c r="M230" s="699"/>
      <c r="W230" s="305"/>
      <c r="X230" s="305"/>
      <c r="AA230" s="20"/>
    </row>
    <row r="231" spans="2:27" x14ac:dyDescent="0.25">
      <c r="B231" s="19"/>
      <c r="D231" s="79" t="s">
        <v>421</v>
      </c>
      <c r="E231" s="79"/>
      <c r="F231" s="79"/>
      <c r="G231" s="79"/>
      <c r="H231" s="79"/>
      <c r="I231" s="79"/>
      <c r="J231" s="79"/>
      <c r="K231" s="80"/>
      <c r="L231" s="691">
        <f>IF(AND(I215="",I216=""),0,SUM(L229:M230))</f>
        <v>0</v>
      </c>
      <c r="M231" s="692"/>
      <c r="N231" s="143"/>
      <c r="W231" s="681">
        <v>6</v>
      </c>
      <c r="X231" s="682"/>
      <c r="AA231" s="20"/>
    </row>
    <row r="232" spans="2:27" x14ac:dyDescent="0.25">
      <c r="B232" s="19"/>
      <c r="AA232" s="20"/>
    </row>
    <row r="233" spans="2:27" ht="15.75" thickBot="1" x14ac:dyDescent="0.3">
      <c r="B233" s="22"/>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4"/>
    </row>
    <row r="236" spans="2:27" ht="15.75" thickBot="1" x14ac:dyDescent="0.3"/>
    <row r="237" spans="2:27" x14ac:dyDescent="0.25">
      <c r="B237" s="16"/>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8"/>
    </row>
    <row r="238" spans="2:27" x14ac:dyDescent="0.25">
      <c r="B238" s="19"/>
      <c r="AA238" s="20"/>
    </row>
    <row r="239" spans="2:27" x14ac:dyDescent="0.25">
      <c r="B239" s="19"/>
      <c r="C239" s="143" t="s">
        <v>2588</v>
      </c>
      <c r="AA239" s="20"/>
    </row>
    <row r="240" spans="2:27" x14ac:dyDescent="0.25">
      <c r="B240" s="19"/>
      <c r="AA240" s="20"/>
    </row>
    <row r="241" spans="2:27" x14ac:dyDescent="0.25">
      <c r="B241" s="19"/>
      <c r="C241" s="70" t="s">
        <v>580</v>
      </c>
      <c r="AA241" s="20"/>
    </row>
    <row r="242" spans="2:27" x14ac:dyDescent="0.25">
      <c r="B242" s="19"/>
      <c r="D242" s="47" t="s">
        <v>2584</v>
      </c>
      <c r="E242" s="47"/>
      <c r="F242" s="47"/>
      <c r="G242" s="47"/>
      <c r="H242" s="47"/>
      <c r="I242" s="47"/>
      <c r="J242" s="47"/>
      <c r="K242" s="47"/>
      <c r="L242" s="47"/>
      <c r="M242" s="47"/>
      <c r="N242" s="43"/>
      <c r="O242" s="683"/>
      <c r="P242" s="684"/>
      <c r="AA242" s="20"/>
    </row>
    <row r="243" spans="2:27" x14ac:dyDescent="0.25">
      <c r="B243" s="19"/>
      <c r="D243" s="48" t="s">
        <v>2547</v>
      </c>
      <c r="E243" s="48"/>
      <c r="F243" s="48"/>
      <c r="G243" s="48"/>
      <c r="H243" s="48"/>
      <c r="I243" s="48"/>
      <c r="J243" s="48"/>
      <c r="K243" s="48"/>
      <c r="L243" s="48"/>
      <c r="M243" s="48"/>
      <c r="N243" s="44"/>
      <c r="O243" s="683"/>
      <c r="P243" s="684"/>
      <c r="AA243" s="20"/>
    </row>
    <row r="244" spans="2:27" x14ac:dyDescent="0.25">
      <c r="B244" s="19"/>
      <c r="AA244" s="20"/>
    </row>
    <row r="245" spans="2:27" x14ac:dyDescent="0.25">
      <c r="B245" s="19"/>
      <c r="AA245" s="20"/>
    </row>
    <row r="246" spans="2:27" x14ac:dyDescent="0.25">
      <c r="B246" s="19"/>
      <c r="C246" s="42"/>
      <c r="O246" s="693" t="s">
        <v>239</v>
      </c>
      <c r="P246" s="693"/>
      <c r="W246" s="680" t="s">
        <v>713</v>
      </c>
      <c r="X246" s="680"/>
      <c r="AA246" s="20"/>
    </row>
    <row r="247" spans="2:27" x14ac:dyDescent="0.25">
      <c r="B247" s="19"/>
      <c r="O247" s="691">
        <f>IFERROR(IF(OR(O242="Oui",O243="Oui"),1,0),0)</f>
        <v>0</v>
      </c>
      <c r="P247" s="692"/>
      <c r="W247" s="681">
        <v>1</v>
      </c>
      <c r="X247" s="682"/>
      <c r="AA247" s="20"/>
    </row>
    <row r="248" spans="2:27" x14ac:dyDescent="0.25">
      <c r="B248" s="19"/>
      <c r="AA248" s="20"/>
    </row>
    <row r="249" spans="2:27" x14ac:dyDescent="0.25">
      <c r="B249" s="19"/>
      <c r="D249" s="70" t="s">
        <v>2506</v>
      </c>
      <c r="AA249" s="20"/>
    </row>
    <row r="250" spans="2:27" x14ac:dyDescent="0.25">
      <c r="B250" s="19"/>
      <c r="D250" s="667"/>
      <c r="E250" s="668"/>
      <c r="F250" s="668"/>
      <c r="G250" s="668"/>
      <c r="H250" s="668"/>
      <c r="I250" s="668"/>
      <c r="J250" s="668"/>
      <c r="K250" s="668"/>
      <c r="L250" s="668"/>
      <c r="M250" s="668"/>
      <c r="N250" s="668"/>
      <c r="O250" s="668"/>
      <c r="P250" s="668"/>
      <c r="Q250" s="668"/>
      <c r="R250" s="668"/>
      <c r="S250" s="668"/>
      <c r="T250" s="668"/>
      <c r="U250" s="668"/>
      <c r="V250" s="668"/>
      <c r="W250" s="668"/>
      <c r="X250" s="669"/>
      <c r="AA250" s="20"/>
    </row>
    <row r="251" spans="2:27" x14ac:dyDescent="0.25">
      <c r="B251" s="19"/>
      <c r="D251" s="670"/>
      <c r="E251" s="671"/>
      <c r="F251" s="671"/>
      <c r="G251" s="671"/>
      <c r="H251" s="671"/>
      <c r="I251" s="671"/>
      <c r="J251" s="671"/>
      <c r="K251" s="671"/>
      <c r="L251" s="671"/>
      <c r="M251" s="671"/>
      <c r="N251" s="671"/>
      <c r="O251" s="671"/>
      <c r="P251" s="671"/>
      <c r="Q251" s="671"/>
      <c r="R251" s="671"/>
      <c r="S251" s="671"/>
      <c r="T251" s="671"/>
      <c r="U251" s="671"/>
      <c r="V251" s="671"/>
      <c r="W251" s="671"/>
      <c r="X251" s="672"/>
      <c r="AA251" s="20"/>
    </row>
    <row r="252" spans="2:27" x14ac:dyDescent="0.25">
      <c r="B252" s="19"/>
      <c r="D252" s="670"/>
      <c r="E252" s="671"/>
      <c r="F252" s="671"/>
      <c r="G252" s="671"/>
      <c r="H252" s="671"/>
      <c r="I252" s="671"/>
      <c r="J252" s="671"/>
      <c r="K252" s="671"/>
      <c r="L252" s="671"/>
      <c r="M252" s="671"/>
      <c r="N252" s="671"/>
      <c r="O252" s="671"/>
      <c r="P252" s="671"/>
      <c r="Q252" s="671"/>
      <c r="R252" s="671"/>
      <c r="S252" s="671"/>
      <c r="T252" s="671"/>
      <c r="U252" s="671"/>
      <c r="V252" s="671"/>
      <c r="W252" s="671"/>
      <c r="X252" s="672"/>
      <c r="AA252" s="20"/>
    </row>
    <row r="253" spans="2:27" x14ac:dyDescent="0.25">
      <c r="B253" s="19"/>
      <c r="D253" s="670"/>
      <c r="E253" s="671"/>
      <c r="F253" s="671"/>
      <c r="G253" s="671"/>
      <c r="H253" s="671"/>
      <c r="I253" s="671"/>
      <c r="J253" s="671"/>
      <c r="K253" s="671"/>
      <c r="L253" s="671"/>
      <c r="M253" s="671"/>
      <c r="N253" s="671"/>
      <c r="O253" s="671"/>
      <c r="P253" s="671"/>
      <c r="Q253" s="671"/>
      <c r="R253" s="671"/>
      <c r="S253" s="671"/>
      <c r="T253" s="671"/>
      <c r="U253" s="671"/>
      <c r="V253" s="671"/>
      <c r="W253" s="671"/>
      <c r="X253" s="672"/>
      <c r="AA253" s="20"/>
    </row>
    <row r="254" spans="2:27" x14ac:dyDescent="0.25">
      <c r="B254" s="19"/>
      <c r="D254" s="673"/>
      <c r="E254" s="674"/>
      <c r="F254" s="674"/>
      <c r="G254" s="674"/>
      <c r="H254" s="674"/>
      <c r="I254" s="674"/>
      <c r="J254" s="674"/>
      <c r="K254" s="674"/>
      <c r="L254" s="674"/>
      <c r="M254" s="674"/>
      <c r="N254" s="674"/>
      <c r="O254" s="674"/>
      <c r="P254" s="674"/>
      <c r="Q254" s="674"/>
      <c r="R254" s="674"/>
      <c r="S254" s="674"/>
      <c r="T254" s="674"/>
      <c r="U254" s="674"/>
      <c r="V254" s="674"/>
      <c r="W254" s="674"/>
      <c r="X254" s="675"/>
      <c r="AA254" s="20"/>
    </row>
    <row r="255" spans="2:27" x14ac:dyDescent="0.25">
      <c r="B255" s="19"/>
      <c r="AA255" s="20"/>
    </row>
    <row r="256" spans="2:27" ht="15.75" thickBot="1" x14ac:dyDescent="0.3">
      <c r="B256" s="22"/>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4"/>
    </row>
    <row r="259" spans="2:27" ht="15.75" thickBot="1" x14ac:dyDescent="0.3"/>
    <row r="260" spans="2:27" x14ac:dyDescent="0.25">
      <c r="B260" s="8"/>
      <c r="C260" s="9"/>
      <c r="D260" s="9"/>
      <c r="E260" s="9"/>
      <c r="F260" s="9"/>
      <c r="G260" s="9"/>
      <c r="H260" s="9"/>
      <c r="I260" s="9"/>
      <c r="J260" s="9"/>
      <c r="K260" s="9"/>
      <c r="L260" s="9"/>
      <c r="M260" s="9"/>
      <c r="N260" s="9"/>
      <c r="O260" s="9"/>
      <c r="P260" s="9"/>
      <c r="Q260" s="9"/>
      <c r="R260" s="9"/>
      <c r="S260" s="9"/>
      <c r="T260" s="9"/>
      <c r="U260" s="9"/>
      <c r="V260" s="9"/>
      <c r="W260" s="9"/>
      <c r="X260" s="9"/>
      <c r="Y260" s="9"/>
      <c r="Z260" s="9"/>
      <c r="AA260" s="10"/>
    </row>
    <row r="261" spans="2:27" x14ac:dyDescent="0.25">
      <c r="B261" s="11"/>
      <c r="AA261" s="12"/>
    </row>
    <row r="262" spans="2:27" x14ac:dyDescent="0.25">
      <c r="B262" s="11"/>
      <c r="W262" s="680" t="s">
        <v>713</v>
      </c>
      <c r="X262" s="680"/>
      <c r="AA262" s="12"/>
    </row>
    <row r="263" spans="2:27" x14ac:dyDescent="0.25">
      <c r="B263" s="11"/>
      <c r="D263" s="77" t="s">
        <v>2337</v>
      </c>
      <c r="E263" s="40"/>
      <c r="F263" s="40"/>
      <c r="G263" s="40"/>
      <c r="H263" s="40"/>
      <c r="I263" s="40"/>
      <c r="J263" s="40"/>
      <c r="K263" s="40"/>
      <c r="L263" s="40"/>
      <c r="M263" s="40"/>
      <c r="N263" s="40"/>
      <c r="O263" s="40"/>
      <c r="P263" s="40"/>
      <c r="Q263" s="40"/>
      <c r="R263" s="45"/>
      <c r="S263" s="691">
        <f>W58+S85+Q112+O154+L180+L199+L231+O247</f>
        <v>0</v>
      </c>
      <c r="T263" s="692"/>
      <c r="W263" s="681">
        <f>Y58+W85+W112+W154+W180+W199+W231+W247</f>
        <v>36</v>
      </c>
      <c r="X263" s="682"/>
      <c r="AA263" s="12"/>
    </row>
    <row r="264" spans="2:27" x14ac:dyDescent="0.25">
      <c r="B264" s="11"/>
      <c r="AA264" s="12"/>
    </row>
    <row r="265" spans="2:27" x14ac:dyDescent="0.25">
      <c r="B265" s="11"/>
      <c r="AA265" s="12"/>
    </row>
    <row r="266" spans="2:27" x14ac:dyDescent="0.25">
      <c r="B266" s="11"/>
      <c r="D266" s="70" t="s">
        <v>2506</v>
      </c>
      <c r="AA266" s="12"/>
    </row>
    <row r="267" spans="2:27" x14ac:dyDescent="0.25">
      <c r="B267" s="11"/>
      <c r="D267" s="667"/>
      <c r="E267" s="668"/>
      <c r="F267" s="668"/>
      <c r="G267" s="668"/>
      <c r="H267" s="668"/>
      <c r="I267" s="668"/>
      <c r="J267" s="668"/>
      <c r="K267" s="668"/>
      <c r="L267" s="668"/>
      <c r="M267" s="668"/>
      <c r="N267" s="668"/>
      <c r="O267" s="668"/>
      <c r="P267" s="668"/>
      <c r="Q267" s="668"/>
      <c r="R267" s="668"/>
      <c r="S267" s="668"/>
      <c r="T267" s="668"/>
      <c r="U267" s="668"/>
      <c r="V267" s="668"/>
      <c r="W267" s="668"/>
      <c r="X267" s="669"/>
      <c r="AA267" s="12"/>
    </row>
    <row r="268" spans="2:27" x14ac:dyDescent="0.25">
      <c r="B268" s="11"/>
      <c r="D268" s="670"/>
      <c r="E268" s="671"/>
      <c r="F268" s="671"/>
      <c r="G268" s="671"/>
      <c r="H268" s="671"/>
      <c r="I268" s="671"/>
      <c r="J268" s="671"/>
      <c r="K268" s="671"/>
      <c r="L268" s="671"/>
      <c r="M268" s="671"/>
      <c r="N268" s="671"/>
      <c r="O268" s="671"/>
      <c r="P268" s="671"/>
      <c r="Q268" s="671"/>
      <c r="R268" s="671"/>
      <c r="S268" s="671"/>
      <c r="T268" s="671"/>
      <c r="U268" s="671"/>
      <c r="V268" s="671"/>
      <c r="W268" s="671"/>
      <c r="X268" s="672"/>
      <c r="AA268" s="12"/>
    </row>
    <row r="269" spans="2:27" x14ac:dyDescent="0.25">
      <c r="B269" s="11"/>
      <c r="D269" s="670"/>
      <c r="E269" s="671"/>
      <c r="F269" s="671"/>
      <c r="G269" s="671"/>
      <c r="H269" s="671"/>
      <c r="I269" s="671"/>
      <c r="J269" s="671"/>
      <c r="K269" s="671"/>
      <c r="L269" s="671"/>
      <c r="M269" s="671"/>
      <c r="N269" s="671"/>
      <c r="O269" s="671"/>
      <c r="P269" s="671"/>
      <c r="Q269" s="671"/>
      <c r="R269" s="671"/>
      <c r="S269" s="671"/>
      <c r="T269" s="671"/>
      <c r="U269" s="671"/>
      <c r="V269" s="671"/>
      <c r="W269" s="671"/>
      <c r="X269" s="672"/>
      <c r="AA269" s="12"/>
    </row>
    <row r="270" spans="2:27" x14ac:dyDescent="0.25">
      <c r="B270" s="11"/>
      <c r="D270" s="670"/>
      <c r="E270" s="671"/>
      <c r="F270" s="671"/>
      <c r="G270" s="671"/>
      <c r="H270" s="671"/>
      <c r="I270" s="671"/>
      <c r="J270" s="671"/>
      <c r="K270" s="671"/>
      <c r="L270" s="671"/>
      <c r="M270" s="671"/>
      <c r="N270" s="671"/>
      <c r="O270" s="671"/>
      <c r="P270" s="671"/>
      <c r="Q270" s="671"/>
      <c r="R270" s="671"/>
      <c r="S270" s="671"/>
      <c r="T270" s="671"/>
      <c r="U270" s="671"/>
      <c r="V270" s="671"/>
      <c r="W270" s="671"/>
      <c r="X270" s="672"/>
      <c r="AA270" s="12"/>
    </row>
    <row r="271" spans="2:27" x14ac:dyDescent="0.25">
      <c r="B271" s="11"/>
      <c r="D271" s="670"/>
      <c r="E271" s="671"/>
      <c r="F271" s="671"/>
      <c r="G271" s="671"/>
      <c r="H271" s="671"/>
      <c r="I271" s="671"/>
      <c r="J271" s="671"/>
      <c r="K271" s="671"/>
      <c r="L271" s="671"/>
      <c r="M271" s="671"/>
      <c r="N271" s="671"/>
      <c r="O271" s="671"/>
      <c r="P271" s="671"/>
      <c r="Q271" s="671"/>
      <c r="R271" s="671"/>
      <c r="S271" s="671"/>
      <c r="T271" s="671"/>
      <c r="U271" s="671"/>
      <c r="V271" s="671"/>
      <c r="W271" s="671"/>
      <c r="X271" s="672"/>
      <c r="AA271" s="12"/>
    </row>
    <row r="272" spans="2:27" x14ac:dyDescent="0.25">
      <c r="B272" s="11"/>
      <c r="D272" s="670"/>
      <c r="E272" s="671"/>
      <c r="F272" s="671"/>
      <c r="G272" s="671"/>
      <c r="H272" s="671"/>
      <c r="I272" s="671"/>
      <c r="J272" s="671"/>
      <c r="K272" s="671"/>
      <c r="L272" s="671"/>
      <c r="M272" s="671"/>
      <c r="N272" s="671"/>
      <c r="O272" s="671"/>
      <c r="P272" s="671"/>
      <c r="Q272" s="671"/>
      <c r="R272" s="671"/>
      <c r="S272" s="671"/>
      <c r="T272" s="671"/>
      <c r="U272" s="671"/>
      <c r="V272" s="671"/>
      <c r="W272" s="671"/>
      <c r="X272" s="672"/>
      <c r="AA272" s="12"/>
    </row>
    <row r="273" spans="2:27" x14ac:dyDescent="0.25">
      <c r="B273" s="11"/>
      <c r="D273" s="670"/>
      <c r="E273" s="671"/>
      <c r="F273" s="671"/>
      <c r="G273" s="671"/>
      <c r="H273" s="671"/>
      <c r="I273" s="671"/>
      <c r="J273" s="671"/>
      <c r="K273" s="671"/>
      <c r="L273" s="671"/>
      <c r="M273" s="671"/>
      <c r="N273" s="671"/>
      <c r="O273" s="671"/>
      <c r="P273" s="671"/>
      <c r="Q273" s="671"/>
      <c r="R273" s="671"/>
      <c r="S273" s="671"/>
      <c r="T273" s="671"/>
      <c r="U273" s="671"/>
      <c r="V273" s="671"/>
      <c r="W273" s="671"/>
      <c r="X273" s="672"/>
      <c r="AA273" s="12"/>
    </row>
    <row r="274" spans="2:27" x14ac:dyDescent="0.25">
      <c r="B274" s="11"/>
      <c r="D274" s="670"/>
      <c r="E274" s="671"/>
      <c r="F274" s="671"/>
      <c r="G274" s="671"/>
      <c r="H274" s="671"/>
      <c r="I274" s="671"/>
      <c r="J274" s="671"/>
      <c r="K274" s="671"/>
      <c r="L274" s="671"/>
      <c r="M274" s="671"/>
      <c r="N274" s="671"/>
      <c r="O274" s="671"/>
      <c r="P274" s="671"/>
      <c r="Q274" s="671"/>
      <c r="R274" s="671"/>
      <c r="S274" s="671"/>
      <c r="T274" s="671"/>
      <c r="U274" s="671"/>
      <c r="V274" s="671"/>
      <c r="W274" s="671"/>
      <c r="X274" s="672"/>
      <c r="AA274" s="12"/>
    </row>
    <row r="275" spans="2:27" x14ac:dyDescent="0.25">
      <c r="B275" s="11"/>
      <c r="D275" s="670"/>
      <c r="E275" s="671"/>
      <c r="F275" s="671"/>
      <c r="G275" s="671"/>
      <c r="H275" s="671"/>
      <c r="I275" s="671"/>
      <c r="J275" s="671"/>
      <c r="K275" s="671"/>
      <c r="L275" s="671"/>
      <c r="M275" s="671"/>
      <c r="N275" s="671"/>
      <c r="O275" s="671"/>
      <c r="P275" s="671"/>
      <c r="Q275" s="671"/>
      <c r="R275" s="671"/>
      <c r="S275" s="671"/>
      <c r="T275" s="671"/>
      <c r="U275" s="671"/>
      <c r="V275" s="671"/>
      <c r="W275" s="671"/>
      <c r="X275" s="672"/>
      <c r="AA275" s="12"/>
    </row>
    <row r="276" spans="2:27" x14ac:dyDescent="0.25">
      <c r="B276" s="11"/>
      <c r="D276" s="673"/>
      <c r="E276" s="674"/>
      <c r="F276" s="674"/>
      <c r="G276" s="674"/>
      <c r="H276" s="674"/>
      <c r="I276" s="674"/>
      <c r="J276" s="674"/>
      <c r="K276" s="674"/>
      <c r="L276" s="674"/>
      <c r="M276" s="674"/>
      <c r="N276" s="674"/>
      <c r="O276" s="674"/>
      <c r="P276" s="674"/>
      <c r="Q276" s="674"/>
      <c r="R276" s="674"/>
      <c r="S276" s="674"/>
      <c r="T276" s="674"/>
      <c r="U276" s="674"/>
      <c r="V276" s="674"/>
      <c r="W276" s="674"/>
      <c r="X276" s="675"/>
      <c r="AA276" s="12"/>
    </row>
    <row r="277" spans="2:27" x14ac:dyDescent="0.25">
      <c r="B277" s="11"/>
      <c r="AA277" s="12"/>
    </row>
    <row r="278" spans="2:27" ht="15.75" thickBot="1" x14ac:dyDescent="0.3">
      <c r="B278" s="13"/>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5"/>
    </row>
  </sheetData>
  <sheetProtection algorithmName="SHA-512" hashValue="5k86scgCobjjYM9lyrTjRy9rtbXAuEi3fTDOD/gP4CDNnt9axKZyjOBAwIsoSdy6y476xtLjl34ZV2E5c1nHhA==" saltValue="dStjmu1tCaPRu5vwIMTXyQ==" spinCount="100000" sheet="1" scenarios="1"/>
  <mergeCells count="242">
    <mergeCell ref="D250:X254"/>
    <mergeCell ref="D267:X276"/>
    <mergeCell ref="W262:X262"/>
    <mergeCell ref="W263:X263"/>
    <mergeCell ref="S263:T263"/>
    <mergeCell ref="W58:X58"/>
    <mergeCell ref="E63:Y72"/>
    <mergeCell ref="E88:Y92"/>
    <mergeCell ref="E109:M109"/>
    <mergeCell ref="N109:O109"/>
    <mergeCell ref="E116:Y120"/>
    <mergeCell ref="L153:M153"/>
    <mergeCell ref="D158:X162"/>
    <mergeCell ref="D184:X188"/>
    <mergeCell ref="L180:M180"/>
    <mergeCell ref="O154:P154"/>
    <mergeCell ref="I129:J129"/>
    <mergeCell ref="I130:J130"/>
    <mergeCell ref="L130:M130"/>
    <mergeCell ref="N110:O110"/>
    <mergeCell ref="I196:J196"/>
    <mergeCell ref="I176:J176"/>
    <mergeCell ref="I174:J174"/>
    <mergeCell ref="W85:X85"/>
    <mergeCell ref="P14:Q16"/>
    <mergeCell ref="R14:S16"/>
    <mergeCell ref="T13:U16"/>
    <mergeCell ref="W14:X16"/>
    <mergeCell ref="Y14:Z16"/>
    <mergeCell ref="C35:O35"/>
    <mergeCell ref="P35:Q35"/>
    <mergeCell ref="R35:S35"/>
    <mergeCell ref="T35:U35"/>
    <mergeCell ref="W35:X35"/>
    <mergeCell ref="Y35:Z35"/>
    <mergeCell ref="T18:U18"/>
    <mergeCell ref="T17:U17"/>
    <mergeCell ref="T29:U29"/>
    <mergeCell ref="P20:Q20"/>
    <mergeCell ref="P19:Q19"/>
    <mergeCell ref="P18:Q18"/>
    <mergeCell ref="P29:Q29"/>
    <mergeCell ref="P28:Q28"/>
    <mergeCell ref="P27:Q27"/>
    <mergeCell ref="P17:Q17"/>
    <mergeCell ref="P13:S13"/>
    <mergeCell ref="T26:U26"/>
    <mergeCell ref="T25:U25"/>
    <mergeCell ref="AA4:AB4"/>
    <mergeCell ref="W12:Z12"/>
    <mergeCell ref="T28:U28"/>
    <mergeCell ref="T27:U27"/>
    <mergeCell ref="I140:J140"/>
    <mergeCell ref="L152:M152"/>
    <mergeCell ref="L148:M148"/>
    <mergeCell ref="W17:X17"/>
    <mergeCell ref="P26:Q26"/>
    <mergeCell ref="P25:Q25"/>
    <mergeCell ref="P24:Q24"/>
    <mergeCell ref="P23:Q23"/>
    <mergeCell ref="P22:Q22"/>
    <mergeCell ref="P21:Q21"/>
    <mergeCell ref="P33:Q33"/>
    <mergeCell ref="P32:Q32"/>
    <mergeCell ref="P31:Q31"/>
    <mergeCell ref="P30:Q30"/>
    <mergeCell ref="W23:X23"/>
    <mergeCell ref="W22:X22"/>
    <mergeCell ref="W21:X21"/>
    <mergeCell ref="P12:U12"/>
    <mergeCell ref="T19:U19"/>
    <mergeCell ref="Y13:Z13"/>
    <mergeCell ref="W13:X13"/>
    <mergeCell ref="Y22:Z22"/>
    <mergeCell ref="Y21:Z21"/>
    <mergeCell ref="Y20:Z20"/>
    <mergeCell ref="Y19:Z19"/>
    <mergeCell ref="Y18:Z18"/>
    <mergeCell ref="Y17:Z17"/>
    <mergeCell ref="W20:X20"/>
    <mergeCell ref="W19:X19"/>
    <mergeCell ref="Y28:Z28"/>
    <mergeCell ref="Y27:Z27"/>
    <mergeCell ref="Y26:Z26"/>
    <mergeCell ref="Y25:Z25"/>
    <mergeCell ref="Y24:Z24"/>
    <mergeCell ref="Y23:Z23"/>
    <mergeCell ref="W28:X28"/>
    <mergeCell ref="W27:X27"/>
    <mergeCell ref="T24:U24"/>
    <mergeCell ref="T23:U23"/>
    <mergeCell ref="C21:O21"/>
    <mergeCell ref="C20:O20"/>
    <mergeCell ref="C19:O19"/>
    <mergeCell ref="C18:O18"/>
    <mergeCell ref="R21:S21"/>
    <mergeCell ref="W26:X26"/>
    <mergeCell ref="W25:X25"/>
    <mergeCell ref="W24:X24"/>
    <mergeCell ref="W18:X18"/>
    <mergeCell ref="T22:U22"/>
    <mergeCell ref="T21:U21"/>
    <mergeCell ref="T20:U20"/>
    <mergeCell ref="R22:S22"/>
    <mergeCell ref="R23:S23"/>
    <mergeCell ref="R24:S24"/>
    <mergeCell ref="Y34:Z34"/>
    <mergeCell ref="Y57:Z57"/>
    <mergeCell ref="T56:U56"/>
    <mergeCell ref="T53:U53"/>
    <mergeCell ref="R27:S27"/>
    <mergeCell ref="C17:O17"/>
    <mergeCell ref="R17:S17"/>
    <mergeCell ref="R18:S18"/>
    <mergeCell ref="R19:S19"/>
    <mergeCell ref="R20:S20"/>
    <mergeCell ref="C33:O33"/>
    <mergeCell ref="C32:O32"/>
    <mergeCell ref="C31:O31"/>
    <mergeCell ref="C30:O30"/>
    <mergeCell ref="C29:O29"/>
    <mergeCell ref="C28:O28"/>
    <mergeCell ref="C27:O27"/>
    <mergeCell ref="C26:O26"/>
    <mergeCell ref="C25:O25"/>
    <mergeCell ref="R30:S30"/>
    <mergeCell ref="R31:S31"/>
    <mergeCell ref="C24:O24"/>
    <mergeCell ref="C23:O23"/>
    <mergeCell ref="C22:O22"/>
    <mergeCell ref="W53:X53"/>
    <mergeCell ref="W56:X56"/>
    <mergeCell ref="W39:X39"/>
    <mergeCell ref="W48:X48"/>
    <mergeCell ref="W41:X41"/>
    <mergeCell ref="R25:S25"/>
    <mergeCell ref="R26:S26"/>
    <mergeCell ref="Y58:Z58"/>
    <mergeCell ref="T60:U60"/>
    <mergeCell ref="Y33:Z33"/>
    <mergeCell ref="W34:X34"/>
    <mergeCell ref="Y31:Z31"/>
    <mergeCell ref="Y30:Z30"/>
    <mergeCell ref="Y29:Z29"/>
    <mergeCell ref="Y32:Z32"/>
    <mergeCell ref="T33:U33"/>
    <mergeCell ref="T32:U32"/>
    <mergeCell ref="T30:U30"/>
    <mergeCell ref="T31:U31"/>
    <mergeCell ref="W33:X33"/>
    <mergeCell ref="W32:X32"/>
    <mergeCell ref="W31:X31"/>
    <mergeCell ref="W30:X30"/>
    <mergeCell ref="W29:X29"/>
    <mergeCell ref="R28:S28"/>
    <mergeCell ref="R29:S29"/>
    <mergeCell ref="R32:S32"/>
    <mergeCell ref="R33:S33"/>
    <mergeCell ref="C104:M104"/>
    <mergeCell ref="C105:M105"/>
    <mergeCell ref="T46:U46"/>
    <mergeCell ref="T47:U47"/>
    <mergeCell ref="T48:U48"/>
    <mergeCell ref="T42:U42"/>
    <mergeCell ref="T43:U43"/>
    <mergeCell ref="T44:U44"/>
    <mergeCell ref="N104:R104"/>
    <mergeCell ref="N105:O105"/>
    <mergeCell ref="T52:U52"/>
    <mergeCell ref="P85:Q85"/>
    <mergeCell ref="P82:Q82"/>
    <mergeCell ref="P84:Q84"/>
    <mergeCell ref="C34:O34"/>
    <mergeCell ref="P34:Q34"/>
    <mergeCell ref="R34:S34"/>
    <mergeCell ref="T34:U34"/>
    <mergeCell ref="T51:U51"/>
    <mergeCell ref="P83:Q83"/>
    <mergeCell ref="S80:T80"/>
    <mergeCell ref="S85:T85"/>
    <mergeCell ref="N111:O111"/>
    <mergeCell ref="N112:O112"/>
    <mergeCell ref="L179:M179"/>
    <mergeCell ref="L154:M154"/>
    <mergeCell ref="W111:X111"/>
    <mergeCell ref="W112:X112"/>
    <mergeCell ref="W152:X152"/>
    <mergeCell ref="W154:X154"/>
    <mergeCell ref="W179:X179"/>
    <mergeCell ref="Q109:R109"/>
    <mergeCell ref="Q112:R112"/>
    <mergeCell ref="E110:M110"/>
    <mergeCell ref="L133:M133"/>
    <mergeCell ref="L134:M134"/>
    <mergeCell ref="D136:H137"/>
    <mergeCell ref="I133:J133"/>
    <mergeCell ref="I134:J134"/>
    <mergeCell ref="I135:J135"/>
    <mergeCell ref="I136:J137"/>
    <mergeCell ref="I128:J128"/>
    <mergeCell ref="K128:N129"/>
    <mergeCell ref="E112:M112"/>
    <mergeCell ref="E111:M111"/>
    <mergeCell ref="C220:U225"/>
    <mergeCell ref="I180:J180"/>
    <mergeCell ref="I173:J173"/>
    <mergeCell ref="I172:J172"/>
    <mergeCell ref="I171:J171"/>
    <mergeCell ref="I175:J175"/>
    <mergeCell ref="I147:J147"/>
    <mergeCell ref="I148:J148"/>
    <mergeCell ref="I141:J141"/>
    <mergeCell ref="L141:M141"/>
    <mergeCell ref="I143:J143"/>
    <mergeCell ref="I145:J145"/>
    <mergeCell ref="D203:X207"/>
    <mergeCell ref="W180:X180"/>
    <mergeCell ref="W198:X198"/>
    <mergeCell ref="W199:X199"/>
    <mergeCell ref="W228:X228"/>
    <mergeCell ref="W231:X231"/>
    <mergeCell ref="W246:X246"/>
    <mergeCell ref="W247:X247"/>
    <mergeCell ref="I146:J146"/>
    <mergeCell ref="L135:M135"/>
    <mergeCell ref="L136:M137"/>
    <mergeCell ref="L150:M150"/>
    <mergeCell ref="O150:P150"/>
    <mergeCell ref="O247:P247"/>
    <mergeCell ref="L228:M228"/>
    <mergeCell ref="L231:M231"/>
    <mergeCell ref="O242:P242"/>
    <mergeCell ref="O243:P243"/>
    <mergeCell ref="O246:P246"/>
    <mergeCell ref="L199:M199"/>
    <mergeCell ref="L198:M198"/>
    <mergeCell ref="I199:J199"/>
    <mergeCell ref="I215:J215"/>
    <mergeCell ref="I216:J216"/>
    <mergeCell ref="L229:M229"/>
    <mergeCell ref="L230:M230"/>
    <mergeCell ref="I144:J144"/>
  </mergeCells>
  <phoneticPr fontId="15" type="noConversion"/>
  <conditionalFormatting sqref="S82:Y82">
    <cfRule type="expression" dxfId="57" priority="1">
      <formula>$S$82&lt;&gt;""</formula>
    </cfRule>
  </conditionalFormatting>
  <conditionalFormatting sqref="W41:X41">
    <cfRule type="expression" dxfId="56" priority="2">
      <formula>$W$48="OK"</formula>
    </cfRule>
    <cfRule type="expression" dxfId="55" priority="3">
      <formula>$W$48="KO"</formula>
    </cfRule>
  </conditionalFormatting>
  <conditionalFormatting sqref="W48:X48">
    <cfRule type="expression" dxfId="54" priority="4">
      <formula>$W$48="OK"</formula>
    </cfRule>
    <cfRule type="expression" dxfId="53" priority="5">
      <formula>$W$48="KO"</formula>
    </cfRule>
  </conditionalFormatting>
  <dataValidations count="6">
    <dataValidation type="list" allowBlank="1" showInputMessage="1" showErrorMessage="1" sqref="O242:P243 T60:U60">
      <formula1>"Oui,Non"</formula1>
    </dataValidation>
    <dataValidation type="whole" allowBlank="1" showInputMessage="1" showErrorMessage="1" sqref="I215:J216">
      <formula1>0</formula1>
      <formula2>1000</formula2>
    </dataValidation>
    <dataValidation type="whole" allowBlank="1" showInputMessage="1" showErrorMessage="1" sqref="I196:J196">
      <formula1>0</formula1>
      <formula2>100000</formula2>
    </dataValidation>
    <dataValidation type="whole" allowBlank="1" showInputMessage="1" showErrorMessage="1" sqref="I171:J176">
      <formula1>0</formula1>
      <formula2>100</formula2>
    </dataValidation>
    <dataValidation type="whole" allowBlank="1" showInputMessage="1" showErrorMessage="1" sqref="I129:J130 I133:J133 I145:J148">
      <formula1>0</formula1>
      <formula2>10000</formula2>
    </dataValidation>
    <dataValidation type="custom" allowBlank="1" showInputMessage="1" showErrorMessage="1" sqref="N105:O105">
      <formula1>ISNUMBER(N105)</formula1>
    </dataValidation>
  </dataValidations>
  <pageMargins left="0.7" right="0.7" top="0.75" bottom="0.75" header="0.3" footer="0.3"/>
  <pageSetup paperSize="9" scale="52" fitToHeight="0" orientation="landscape" r:id="rId1"/>
  <ignoredErrors>
    <ignoredError sqref="N109 P83 S8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P395"/>
  <sheetViews>
    <sheetView showGridLines="0" zoomScaleNormal="100" workbookViewId="0">
      <pane ySplit="5" topLeftCell="A6" activePane="bottomLeft" state="frozen"/>
      <selection activeCell="AA19" sqref="AA19"/>
      <selection pane="bottomLeft" activeCell="M119" sqref="M119"/>
    </sheetView>
  </sheetViews>
  <sheetFormatPr baseColWidth="10" defaultColWidth="9.140625" defaultRowHeight="15" x14ac:dyDescent="0.25"/>
  <cols>
    <col min="7" max="7" width="19.7109375" customWidth="1"/>
    <col min="8" max="8" width="9.85546875" customWidth="1"/>
    <col min="26" max="26" width="11.85546875" customWidth="1"/>
    <col min="28" max="28" width="12.140625" customWidth="1"/>
    <col min="29" max="29" width="14.42578125" bestFit="1" customWidth="1"/>
    <col min="30" max="30" width="7.140625" bestFit="1" customWidth="1"/>
    <col min="31" max="31" width="8.140625" customWidth="1"/>
    <col min="32" max="32" width="9" customWidth="1"/>
    <col min="33" max="33" width="7" hidden="1" customWidth="1"/>
    <col min="34" max="34" width="52.140625" hidden="1" customWidth="1"/>
    <col min="35" max="40" width="9.140625" hidden="1" customWidth="1"/>
    <col min="41" max="43" width="9.140625" customWidth="1"/>
  </cols>
  <sheetData>
    <row r="1" spans="1:30" x14ac:dyDescent="0.25">
      <c r="A1" s="26"/>
      <c r="B1" s="26"/>
      <c r="C1" s="26"/>
      <c r="D1" s="26"/>
      <c r="E1" s="26"/>
      <c r="F1" s="26"/>
      <c r="G1" s="26"/>
      <c r="H1" s="26"/>
      <c r="I1" s="26"/>
      <c r="J1" s="26"/>
      <c r="K1" s="74"/>
      <c r="L1" s="74"/>
      <c r="M1" s="74"/>
      <c r="N1" s="74"/>
      <c r="O1" s="26"/>
      <c r="P1" s="26"/>
      <c r="Q1" s="26"/>
      <c r="R1" s="26"/>
      <c r="S1" s="26"/>
      <c r="T1" s="26"/>
      <c r="U1" s="26"/>
      <c r="V1" s="26"/>
      <c r="W1" s="74" t="s">
        <v>706</v>
      </c>
      <c r="X1" s="26"/>
      <c r="Y1" s="26"/>
      <c r="Z1" s="26"/>
      <c r="AA1" s="26"/>
      <c r="AB1" s="26"/>
      <c r="AC1" s="26"/>
      <c r="AD1" s="26"/>
    </row>
    <row r="2" spans="1:30" x14ac:dyDescent="0.25">
      <c r="A2" s="26"/>
      <c r="B2" s="26"/>
      <c r="C2" s="26"/>
      <c r="D2" s="26"/>
      <c r="E2" s="26"/>
      <c r="F2" s="26"/>
      <c r="G2" s="26"/>
      <c r="H2" s="26"/>
      <c r="I2" s="26"/>
      <c r="J2" s="26"/>
      <c r="K2" s="74"/>
      <c r="L2" s="74"/>
      <c r="M2" s="74"/>
      <c r="N2" s="74"/>
      <c r="O2" s="26"/>
      <c r="P2" s="26"/>
      <c r="Q2" s="26"/>
      <c r="R2" s="26"/>
      <c r="S2" s="26"/>
      <c r="T2" s="26"/>
      <c r="U2" s="26"/>
      <c r="V2" s="26"/>
      <c r="W2" s="74" t="s">
        <v>707</v>
      </c>
      <c r="X2" s="26"/>
      <c r="Y2" s="26"/>
      <c r="Z2" s="26"/>
      <c r="AA2" s="26"/>
      <c r="AB2" s="26"/>
      <c r="AC2" s="26"/>
      <c r="AD2" s="26"/>
    </row>
    <row r="3" spans="1:30" x14ac:dyDescent="0.25">
      <c r="A3" s="26"/>
      <c r="B3" s="26"/>
      <c r="C3" s="26"/>
      <c r="D3" s="26"/>
      <c r="E3" s="26"/>
      <c r="F3" s="26"/>
      <c r="G3" s="26"/>
      <c r="H3" s="26"/>
      <c r="I3" s="26"/>
      <c r="J3" s="26"/>
      <c r="K3" s="74"/>
      <c r="L3" s="74"/>
      <c r="M3" s="74"/>
      <c r="N3" s="74"/>
      <c r="O3" s="26"/>
      <c r="P3" s="26"/>
      <c r="Q3" s="26"/>
      <c r="R3" s="26"/>
      <c r="S3" s="26"/>
      <c r="T3" s="26"/>
      <c r="U3" s="26"/>
      <c r="V3" s="26"/>
      <c r="W3" s="75" t="s">
        <v>581</v>
      </c>
      <c r="X3" s="26"/>
      <c r="Y3" s="26"/>
      <c r="Z3" s="26"/>
      <c r="AA3" s="26"/>
      <c r="AB3" s="26"/>
      <c r="AC3" s="26"/>
      <c r="AD3" s="26"/>
    </row>
    <row r="4" spans="1:30"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676" t="str">
        <f>Accueil!I6</f>
        <v>Version 1.11</v>
      </c>
      <c r="AC4" s="676"/>
      <c r="AD4" s="195"/>
    </row>
    <row r="5" spans="1:30"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15.75" thickBot="1" x14ac:dyDescent="0.3"/>
    <row r="8" spans="1:30" x14ac:dyDescent="0.25">
      <c r="B8" s="16"/>
      <c r="C8" s="17"/>
      <c r="D8" s="17"/>
      <c r="E8" s="17"/>
      <c r="F8" s="17"/>
      <c r="G8" s="17"/>
      <c r="H8" s="17"/>
      <c r="I8" s="17"/>
      <c r="J8" s="17"/>
      <c r="K8" s="17"/>
      <c r="L8" s="17"/>
      <c r="M8" s="17"/>
      <c r="N8" s="17"/>
      <c r="O8" s="17"/>
      <c r="P8" s="17"/>
      <c r="Q8" s="17"/>
      <c r="R8" s="17"/>
      <c r="S8" s="17"/>
      <c r="T8" s="17"/>
      <c r="U8" s="17"/>
      <c r="V8" s="17"/>
      <c r="W8" s="17"/>
      <c r="X8" s="17"/>
      <c r="Y8" s="18"/>
    </row>
    <row r="9" spans="1:30" x14ac:dyDescent="0.25">
      <c r="B9" s="19"/>
      <c r="P9" s="651"/>
      <c r="Q9" s="651"/>
      <c r="Y9" s="20"/>
    </row>
    <row r="10" spans="1:30" x14ac:dyDescent="0.25">
      <c r="B10" s="19"/>
      <c r="S10" s="893"/>
      <c r="T10" s="893"/>
      <c r="U10" s="65"/>
      <c r="Y10" s="20"/>
    </row>
    <row r="11" spans="1:30" x14ac:dyDescent="0.25">
      <c r="B11" s="19"/>
      <c r="D11" s="47" t="s">
        <v>2590</v>
      </c>
      <c r="E11" s="47"/>
      <c r="F11" s="47"/>
      <c r="G11" s="47"/>
      <c r="H11" s="47"/>
      <c r="I11" s="47"/>
      <c r="J11" s="47"/>
      <c r="K11" s="43"/>
      <c r="L11" s="703"/>
      <c r="M11" s="897"/>
      <c r="N11" s="704"/>
      <c r="S11" s="853" t="str">
        <f>IF(UTILISATION_CMR1="Oui","INVALIDATION DE L'AUDIT","")</f>
        <v/>
      </c>
      <c r="T11" s="853"/>
      <c r="U11" s="853"/>
      <c r="V11" s="853"/>
      <c r="Y11" s="20"/>
    </row>
    <row r="12" spans="1:30" x14ac:dyDescent="0.25">
      <c r="B12" s="19"/>
      <c r="L12" s="143" t="s">
        <v>2876</v>
      </c>
      <c r="Y12" s="20"/>
    </row>
    <row r="13" spans="1:30" x14ac:dyDescent="0.25">
      <c r="B13" s="19"/>
      <c r="D13" s="42" t="s">
        <v>297</v>
      </c>
      <c r="Y13" s="20"/>
    </row>
    <row r="14" spans="1:30" x14ac:dyDescent="0.25">
      <c r="B14" s="19"/>
      <c r="D14" s="667"/>
      <c r="E14" s="668"/>
      <c r="F14" s="668"/>
      <c r="G14" s="668"/>
      <c r="H14" s="668"/>
      <c r="I14" s="668"/>
      <c r="J14" s="668"/>
      <c r="K14" s="668"/>
      <c r="L14" s="668"/>
      <c r="M14" s="668"/>
      <c r="N14" s="668"/>
      <c r="O14" s="668"/>
      <c r="P14" s="668"/>
      <c r="Q14" s="668"/>
      <c r="R14" s="668"/>
      <c r="S14" s="668"/>
      <c r="T14" s="668"/>
      <c r="U14" s="668"/>
      <c r="V14" s="669"/>
      <c r="Y14" s="20"/>
    </row>
    <row r="15" spans="1:30" x14ac:dyDescent="0.25">
      <c r="B15" s="19"/>
      <c r="D15" s="670"/>
      <c r="E15" s="671"/>
      <c r="F15" s="671"/>
      <c r="G15" s="671"/>
      <c r="H15" s="671"/>
      <c r="I15" s="671"/>
      <c r="J15" s="671"/>
      <c r="K15" s="671"/>
      <c r="L15" s="671"/>
      <c r="M15" s="671"/>
      <c r="N15" s="671"/>
      <c r="O15" s="671"/>
      <c r="P15" s="671"/>
      <c r="Q15" s="671"/>
      <c r="R15" s="671"/>
      <c r="S15" s="671"/>
      <c r="T15" s="671"/>
      <c r="U15" s="671"/>
      <c r="V15" s="672"/>
      <c r="Y15" s="20"/>
    </row>
    <row r="16" spans="1:30" x14ac:dyDescent="0.25">
      <c r="B16" s="19"/>
      <c r="D16" s="670"/>
      <c r="E16" s="671"/>
      <c r="F16" s="671"/>
      <c r="G16" s="671"/>
      <c r="H16" s="671"/>
      <c r="I16" s="671"/>
      <c r="J16" s="671"/>
      <c r="K16" s="671"/>
      <c r="L16" s="671"/>
      <c r="M16" s="671"/>
      <c r="N16" s="671"/>
      <c r="O16" s="671"/>
      <c r="P16" s="671"/>
      <c r="Q16" s="671"/>
      <c r="R16" s="671"/>
      <c r="S16" s="671"/>
      <c r="T16" s="671"/>
      <c r="U16" s="671"/>
      <c r="V16" s="672"/>
      <c r="Y16" s="20"/>
    </row>
    <row r="17" spans="2:25" x14ac:dyDescent="0.25">
      <c r="B17" s="19"/>
      <c r="D17" s="670"/>
      <c r="E17" s="671"/>
      <c r="F17" s="671"/>
      <c r="G17" s="671"/>
      <c r="H17" s="671"/>
      <c r="I17" s="671"/>
      <c r="J17" s="671"/>
      <c r="K17" s="671"/>
      <c r="L17" s="671"/>
      <c r="M17" s="671"/>
      <c r="N17" s="671"/>
      <c r="O17" s="671"/>
      <c r="P17" s="671"/>
      <c r="Q17" s="671"/>
      <c r="R17" s="671"/>
      <c r="S17" s="671"/>
      <c r="T17" s="671"/>
      <c r="U17" s="671"/>
      <c r="V17" s="672"/>
      <c r="Y17" s="20"/>
    </row>
    <row r="18" spans="2:25" x14ac:dyDescent="0.25">
      <c r="B18" s="19"/>
      <c r="D18" s="673"/>
      <c r="E18" s="674"/>
      <c r="F18" s="674"/>
      <c r="G18" s="674"/>
      <c r="H18" s="674"/>
      <c r="I18" s="674"/>
      <c r="J18" s="674"/>
      <c r="K18" s="674"/>
      <c r="L18" s="674"/>
      <c r="M18" s="674"/>
      <c r="N18" s="674"/>
      <c r="O18" s="674"/>
      <c r="P18" s="674"/>
      <c r="Q18" s="674"/>
      <c r="R18" s="674"/>
      <c r="S18" s="674"/>
      <c r="T18" s="674"/>
      <c r="U18" s="674"/>
      <c r="V18" s="675"/>
      <c r="Y18" s="20"/>
    </row>
    <row r="19" spans="2:25" x14ac:dyDescent="0.25">
      <c r="B19" s="19"/>
      <c r="D19" s="97"/>
      <c r="E19" s="97"/>
      <c r="F19" s="97"/>
      <c r="G19" s="97"/>
      <c r="H19" s="97"/>
      <c r="I19" s="97"/>
      <c r="J19" s="97"/>
      <c r="K19" s="97"/>
      <c r="L19" s="97"/>
      <c r="M19" s="97"/>
      <c r="N19" s="97"/>
      <c r="O19" s="97"/>
      <c r="P19" s="97"/>
      <c r="Q19" s="97"/>
      <c r="R19" s="97"/>
      <c r="S19" s="97"/>
      <c r="T19" s="97"/>
      <c r="U19" s="97"/>
      <c r="V19" s="97"/>
      <c r="Y19" s="20"/>
    </row>
    <row r="20" spans="2:25" x14ac:dyDescent="0.25">
      <c r="B20" s="19"/>
      <c r="D20" s="97"/>
      <c r="E20" s="97"/>
      <c r="F20" s="97"/>
      <c r="G20" s="97"/>
      <c r="H20" s="97"/>
      <c r="I20" s="97"/>
      <c r="J20" s="97"/>
      <c r="K20" s="97"/>
      <c r="L20" s="97"/>
      <c r="M20" s="97"/>
      <c r="N20" s="97"/>
      <c r="O20" s="97"/>
      <c r="P20" s="651" t="s">
        <v>239</v>
      </c>
      <c r="Q20" s="651"/>
      <c r="R20" s="97"/>
      <c r="S20" s="97"/>
      <c r="T20" s="97"/>
      <c r="U20" s="97"/>
      <c r="V20" s="97"/>
      <c r="Y20" s="20"/>
    </row>
    <row r="21" spans="2:25" x14ac:dyDescent="0.25">
      <c r="B21" s="19"/>
      <c r="D21" s="97"/>
      <c r="E21" s="97"/>
      <c r="F21" s="97"/>
      <c r="G21" s="97"/>
      <c r="H21" s="97"/>
      <c r="I21" s="97"/>
      <c r="J21" s="97"/>
      <c r="K21" s="97"/>
      <c r="L21" s="97"/>
      <c r="M21" s="97"/>
      <c r="N21" s="97"/>
      <c r="O21" s="97"/>
      <c r="P21" s="96"/>
      <c r="Q21" s="96"/>
      <c r="R21" s="97"/>
      <c r="S21" s="97"/>
      <c r="T21" s="97"/>
      <c r="U21" s="97"/>
      <c r="V21" s="97"/>
      <c r="Y21" s="20"/>
    </row>
    <row r="22" spans="2:25" x14ac:dyDescent="0.25">
      <c r="B22" s="19"/>
      <c r="D22" s="40" t="s">
        <v>2598</v>
      </c>
      <c r="E22" s="77"/>
      <c r="F22" s="77"/>
      <c r="G22" s="77"/>
      <c r="H22" s="77"/>
      <c r="I22" s="77"/>
      <c r="J22" s="77"/>
      <c r="K22" s="77"/>
      <c r="L22" s="102"/>
      <c r="M22" s="894"/>
      <c r="N22" s="894"/>
      <c r="P22" s="895">
        <f>IF(M22="",0,IF(OR(M22="Oui",UTILISATION_CMR1="Oui"),0,1))</f>
        <v>0</v>
      </c>
      <c r="Q22" s="896"/>
      <c r="Y22" s="20"/>
    </row>
    <row r="23" spans="2:25" x14ac:dyDescent="0.25">
      <c r="B23" s="19"/>
      <c r="D23" s="79" t="s">
        <v>2599</v>
      </c>
      <c r="E23" s="78"/>
      <c r="F23" s="78"/>
      <c r="G23" s="78"/>
      <c r="H23" s="78"/>
      <c r="I23" s="78"/>
      <c r="J23" s="78"/>
      <c r="K23" s="78"/>
      <c r="L23" s="103"/>
      <c r="M23" s="894"/>
      <c r="N23" s="894"/>
      <c r="P23" s="895">
        <f>IF(M23="",0,IF(OR(M23="Oui",UTILISATION_CMR1="Oui"),0,1))</f>
        <v>0</v>
      </c>
      <c r="Q23" s="896"/>
      <c r="Y23" s="20"/>
    </row>
    <row r="24" spans="2:25" x14ac:dyDescent="0.25">
      <c r="B24" s="19"/>
      <c r="W24" s="680" t="s">
        <v>713</v>
      </c>
      <c r="X24" s="680"/>
      <c r="Y24" s="20"/>
    </row>
    <row r="25" spans="2:25" x14ac:dyDescent="0.25">
      <c r="B25" s="19"/>
      <c r="D25" s="77" t="s">
        <v>2338</v>
      </c>
      <c r="E25" s="77"/>
      <c r="F25" s="77"/>
      <c r="G25" s="77"/>
      <c r="H25" s="77"/>
      <c r="I25" s="77"/>
      <c r="J25" s="77"/>
      <c r="K25" s="77"/>
      <c r="L25" s="77"/>
      <c r="M25" s="77"/>
      <c r="N25" s="77"/>
      <c r="O25" s="102"/>
      <c r="P25" s="895">
        <f>IF(ISBLANK(L11),0,SUM(P22:Q23))</f>
        <v>0</v>
      </c>
      <c r="Q25" s="896"/>
      <c r="W25" s="844">
        <v>2</v>
      </c>
      <c r="X25" s="845"/>
      <c r="Y25" s="20"/>
    </row>
    <row r="26" spans="2:25" x14ac:dyDescent="0.25">
      <c r="B26" s="19"/>
      <c r="Y26" s="20"/>
    </row>
    <row r="27" spans="2:25" x14ac:dyDescent="0.25">
      <c r="B27" s="19"/>
      <c r="D27" s="42" t="s">
        <v>4896</v>
      </c>
      <c r="Y27" s="20"/>
    </row>
    <row r="28" spans="2:25" x14ac:dyDescent="0.25">
      <c r="B28" s="19"/>
      <c r="D28" s="667"/>
      <c r="E28" s="668"/>
      <c r="F28" s="668"/>
      <c r="G28" s="668"/>
      <c r="H28" s="668"/>
      <c r="I28" s="668"/>
      <c r="J28" s="668"/>
      <c r="K28" s="668"/>
      <c r="L28" s="668"/>
      <c r="M28" s="668"/>
      <c r="N28" s="668"/>
      <c r="O28" s="668"/>
      <c r="P28" s="668"/>
      <c r="Q28" s="668"/>
      <c r="R28" s="668"/>
      <c r="S28" s="668"/>
      <c r="T28" s="668"/>
      <c r="U28" s="668"/>
      <c r="V28" s="669"/>
      <c r="Y28" s="20"/>
    </row>
    <row r="29" spans="2:25" x14ac:dyDescent="0.25">
      <c r="B29" s="19"/>
      <c r="D29" s="670"/>
      <c r="E29" s="671"/>
      <c r="F29" s="671"/>
      <c r="G29" s="671"/>
      <c r="H29" s="671"/>
      <c r="I29" s="671"/>
      <c r="J29" s="671"/>
      <c r="K29" s="671"/>
      <c r="L29" s="671"/>
      <c r="M29" s="671"/>
      <c r="N29" s="671"/>
      <c r="O29" s="671"/>
      <c r="P29" s="671"/>
      <c r="Q29" s="671"/>
      <c r="R29" s="671"/>
      <c r="S29" s="671"/>
      <c r="T29" s="671"/>
      <c r="U29" s="671"/>
      <c r="V29" s="672"/>
      <c r="Y29" s="20"/>
    </row>
    <row r="30" spans="2:25" x14ac:dyDescent="0.25">
      <c r="B30" s="19"/>
      <c r="D30" s="670"/>
      <c r="E30" s="671"/>
      <c r="F30" s="671"/>
      <c r="G30" s="671"/>
      <c r="H30" s="671"/>
      <c r="I30" s="671"/>
      <c r="J30" s="671"/>
      <c r="K30" s="671"/>
      <c r="L30" s="671"/>
      <c r="M30" s="671"/>
      <c r="N30" s="671"/>
      <c r="O30" s="671"/>
      <c r="P30" s="671"/>
      <c r="Q30" s="671"/>
      <c r="R30" s="671"/>
      <c r="S30" s="671"/>
      <c r="T30" s="671"/>
      <c r="U30" s="671"/>
      <c r="V30" s="672"/>
      <c r="Y30" s="20"/>
    </row>
    <row r="31" spans="2:25" x14ac:dyDescent="0.25">
      <c r="B31" s="19"/>
      <c r="D31" s="670"/>
      <c r="E31" s="671"/>
      <c r="F31" s="671"/>
      <c r="G31" s="671"/>
      <c r="H31" s="671"/>
      <c r="I31" s="671"/>
      <c r="J31" s="671"/>
      <c r="K31" s="671"/>
      <c r="L31" s="671"/>
      <c r="M31" s="671"/>
      <c r="N31" s="671"/>
      <c r="O31" s="671"/>
      <c r="P31" s="671"/>
      <c r="Q31" s="671"/>
      <c r="R31" s="671"/>
      <c r="S31" s="671"/>
      <c r="T31" s="671"/>
      <c r="U31" s="671"/>
      <c r="V31" s="672"/>
      <c r="Y31" s="20"/>
    </row>
    <row r="32" spans="2:25" x14ac:dyDescent="0.25">
      <c r="B32" s="19"/>
      <c r="D32" s="673"/>
      <c r="E32" s="674"/>
      <c r="F32" s="674"/>
      <c r="G32" s="674"/>
      <c r="H32" s="674"/>
      <c r="I32" s="674"/>
      <c r="J32" s="674"/>
      <c r="K32" s="674"/>
      <c r="L32" s="674"/>
      <c r="M32" s="674"/>
      <c r="N32" s="674"/>
      <c r="O32" s="674"/>
      <c r="P32" s="674"/>
      <c r="Q32" s="674"/>
      <c r="R32" s="674"/>
      <c r="S32" s="674"/>
      <c r="T32" s="674"/>
      <c r="U32" s="674"/>
      <c r="V32" s="675"/>
      <c r="Y32" s="20"/>
    </row>
    <row r="33" spans="2:25" x14ac:dyDescent="0.25">
      <c r="B33" s="19"/>
      <c r="Y33" s="20"/>
    </row>
    <row r="34" spans="2:25" ht="15.75" thickBot="1" x14ac:dyDescent="0.3">
      <c r="B34" s="22"/>
      <c r="C34" s="23"/>
      <c r="D34" s="23"/>
      <c r="E34" s="23"/>
      <c r="F34" s="23"/>
      <c r="G34" s="23"/>
      <c r="H34" s="23"/>
      <c r="I34" s="23"/>
      <c r="J34" s="23"/>
      <c r="K34" s="23"/>
      <c r="L34" s="23"/>
      <c r="M34" s="23"/>
      <c r="N34" s="23"/>
      <c r="O34" s="23"/>
      <c r="P34" s="23"/>
      <c r="Q34" s="23"/>
      <c r="R34" s="23"/>
      <c r="S34" s="23"/>
      <c r="T34" s="23"/>
      <c r="U34" s="23"/>
      <c r="V34" s="23"/>
      <c r="W34" s="23"/>
      <c r="X34" s="23"/>
      <c r="Y34" s="24"/>
    </row>
    <row r="37" spans="2:25" ht="15.75" thickBot="1" x14ac:dyDescent="0.3"/>
    <row r="38" spans="2:25" x14ac:dyDescent="0.25">
      <c r="B38" s="16"/>
      <c r="C38" s="17"/>
      <c r="D38" s="17"/>
      <c r="E38" s="17"/>
      <c r="F38" s="17"/>
      <c r="G38" s="17"/>
      <c r="H38" s="17"/>
      <c r="I38" s="17"/>
      <c r="J38" s="17"/>
      <c r="K38" s="17"/>
      <c r="L38" s="17"/>
      <c r="M38" s="17"/>
      <c r="N38" s="17"/>
      <c r="O38" s="17"/>
      <c r="P38" s="17"/>
      <c r="Q38" s="17"/>
      <c r="R38" s="17"/>
      <c r="S38" s="17"/>
      <c r="T38" s="17"/>
      <c r="U38" s="17"/>
      <c r="V38" s="17"/>
      <c r="W38" s="17"/>
      <c r="X38" s="17"/>
      <c r="Y38" s="18"/>
    </row>
    <row r="39" spans="2:25" x14ac:dyDescent="0.25">
      <c r="B39" s="19"/>
      <c r="M39" s="652"/>
      <c r="N39" s="652"/>
      <c r="Y39" s="20"/>
    </row>
    <row r="40" spans="2:25" x14ac:dyDescent="0.25">
      <c r="B40" s="19"/>
      <c r="C40" s="898" t="s">
        <v>2405</v>
      </c>
      <c r="D40" s="898"/>
      <c r="E40" s="898"/>
      <c r="F40" s="898"/>
      <c r="G40" s="898"/>
      <c r="H40" s="898"/>
      <c r="I40" s="898"/>
      <c r="J40" s="898"/>
      <c r="K40" s="898"/>
      <c r="L40" s="898"/>
      <c r="M40" s="898"/>
      <c r="N40" s="898"/>
      <c r="O40" s="898"/>
      <c r="P40" s="898"/>
      <c r="Q40" s="898"/>
      <c r="Y40" s="20"/>
    </row>
    <row r="41" spans="2:25" x14ac:dyDescent="0.25">
      <c r="B41" s="19"/>
      <c r="C41" s="898"/>
      <c r="D41" s="898"/>
      <c r="E41" s="898"/>
      <c r="F41" s="898"/>
      <c r="G41" s="898"/>
      <c r="H41" s="898"/>
      <c r="I41" s="898"/>
      <c r="J41" s="898"/>
      <c r="K41" s="898"/>
      <c r="L41" s="898"/>
      <c r="M41" s="898"/>
      <c r="N41" s="898"/>
      <c r="O41" s="898"/>
      <c r="P41" s="898"/>
      <c r="Q41" s="898"/>
      <c r="Y41" s="20"/>
    </row>
    <row r="42" spans="2:25" x14ac:dyDescent="0.25">
      <c r="B42" s="19"/>
      <c r="C42" s="101"/>
      <c r="D42" s="101"/>
      <c r="E42" s="101"/>
      <c r="F42" s="101"/>
      <c r="G42" s="101"/>
      <c r="H42" s="101"/>
      <c r="I42" s="101"/>
      <c r="J42" s="101"/>
      <c r="K42" s="101"/>
      <c r="L42" s="101"/>
      <c r="M42" s="101"/>
      <c r="N42" s="101"/>
      <c r="O42" s="101"/>
      <c r="P42" s="101"/>
      <c r="Q42" s="101"/>
      <c r="Y42" s="20"/>
    </row>
    <row r="43" spans="2:25" x14ac:dyDescent="0.25">
      <c r="B43" s="19"/>
      <c r="M43" s="832" t="s">
        <v>2507</v>
      </c>
      <c r="N43" s="832"/>
      <c r="Y43" s="20"/>
    </row>
    <row r="44" spans="2:25" x14ac:dyDescent="0.25">
      <c r="B44" s="19"/>
      <c r="C44" s="47" t="s">
        <v>2553</v>
      </c>
      <c r="D44" s="47"/>
      <c r="E44" s="47"/>
      <c r="F44" s="47"/>
      <c r="G44" s="47"/>
      <c r="H44" s="47"/>
      <c r="I44" s="47"/>
      <c r="J44" s="47"/>
      <c r="K44" s="47"/>
      <c r="L44" s="43"/>
      <c r="M44" s="683"/>
      <c r="N44" s="684"/>
      <c r="Y44" s="20"/>
    </row>
    <row r="45" spans="2:25" x14ac:dyDescent="0.25">
      <c r="B45" s="19"/>
      <c r="C45" s="725" t="s">
        <v>716</v>
      </c>
      <c r="D45" s="725"/>
      <c r="E45" s="725"/>
      <c r="F45" s="725"/>
      <c r="G45" s="725"/>
      <c r="H45" s="725"/>
      <c r="I45" s="725"/>
      <c r="J45" s="47"/>
      <c r="K45" s="48"/>
      <c r="L45" s="44"/>
      <c r="M45" s="683"/>
      <c r="N45" s="684"/>
      <c r="P45" s="177" t="str">
        <f>IF(M45&gt;(Surfaces!O119+Surfaces!O120+Surfaces!O121),"Attention : surface saisie &gt; surface en prairies permanentes","")</f>
        <v/>
      </c>
      <c r="X45" s="99"/>
      <c r="Y45" s="100"/>
    </row>
    <row r="46" spans="2:25" x14ac:dyDescent="0.25">
      <c r="B46" s="19"/>
      <c r="C46" s="725" t="s">
        <v>2552</v>
      </c>
      <c r="D46" s="725"/>
      <c r="E46" s="725"/>
      <c r="F46" s="725"/>
      <c r="G46" s="725"/>
      <c r="H46" s="725"/>
      <c r="I46" s="725"/>
      <c r="J46" s="47"/>
      <c r="K46" s="48"/>
      <c r="L46" s="44"/>
      <c r="M46" s="683"/>
      <c r="N46" s="684"/>
      <c r="P46" t="str">
        <f>IF(M46&gt;(Surfaces!O24-(Surfaces!O119+Surfaces!O120+Surfaces!O121)),"Attention : surface saisie &gt; SAU hors prairies permanentes","")</f>
        <v/>
      </c>
      <c r="X46" s="99"/>
      <c r="Y46" s="100"/>
    </row>
    <row r="47" spans="2:25" x14ac:dyDescent="0.25">
      <c r="B47" s="19"/>
      <c r="X47" s="99"/>
      <c r="Y47" s="100"/>
    </row>
    <row r="48" spans="2:25" ht="15" customHeight="1" x14ac:dyDescent="0.25">
      <c r="B48" s="19"/>
      <c r="C48" s="859" t="s">
        <v>2554</v>
      </c>
      <c r="D48" s="859"/>
      <c r="E48" s="859"/>
      <c r="F48" s="859"/>
      <c r="G48" s="859"/>
      <c r="H48" s="859"/>
      <c r="I48" s="859"/>
      <c r="J48" s="859"/>
      <c r="K48" s="859"/>
      <c r="L48" s="859"/>
      <c r="M48" s="859"/>
      <c r="N48" s="859"/>
      <c r="O48" s="859"/>
      <c r="P48" s="859"/>
      <c r="Q48" s="859"/>
      <c r="R48" s="859"/>
      <c r="S48" s="859"/>
      <c r="T48" s="859"/>
      <c r="U48" s="859"/>
      <c r="X48" s="99"/>
      <c r="Y48" s="100"/>
    </row>
    <row r="49" spans="2:25" x14ac:dyDescent="0.25">
      <c r="B49" s="19"/>
      <c r="C49" s="859"/>
      <c r="D49" s="859"/>
      <c r="E49" s="859"/>
      <c r="F49" s="859"/>
      <c r="G49" s="859"/>
      <c r="H49" s="859"/>
      <c r="I49" s="859"/>
      <c r="J49" s="859"/>
      <c r="K49" s="859"/>
      <c r="L49" s="859"/>
      <c r="M49" s="859"/>
      <c r="N49" s="859"/>
      <c r="O49" s="859"/>
      <c r="P49" s="859"/>
      <c r="Q49" s="859"/>
      <c r="R49" s="859"/>
      <c r="S49" s="859"/>
      <c r="T49" s="859"/>
      <c r="U49" s="859"/>
      <c r="X49" s="99"/>
      <c r="Y49" s="100"/>
    </row>
    <row r="50" spans="2:25" x14ac:dyDescent="0.25">
      <c r="B50" s="19"/>
      <c r="X50" s="99"/>
      <c r="Y50" s="100"/>
    </row>
    <row r="51" spans="2:25" x14ac:dyDescent="0.25">
      <c r="B51" s="19"/>
      <c r="C51" s="42"/>
      <c r="X51" s="99"/>
      <c r="Y51" s="100"/>
    </row>
    <row r="52" spans="2:25" x14ac:dyDescent="0.25">
      <c r="B52" s="19"/>
      <c r="P52" s="651" t="s">
        <v>239</v>
      </c>
      <c r="Q52" s="651"/>
      <c r="X52" s="99"/>
      <c r="Y52" s="100"/>
    </row>
    <row r="53" spans="2:25" x14ac:dyDescent="0.25">
      <c r="B53" s="19"/>
      <c r="D53" s="714" t="s">
        <v>298</v>
      </c>
      <c r="E53" s="714"/>
      <c r="F53" s="714"/>
      <c r="G53" s="714"/>
      <c r="H53" s="714"/>
      <c r="I53" s="714"/>
      <c r="J53" s="714"/>
      <c r="K53" s="714"/>
      <c r="L53" s="715"/>
      <c r="M53" s="729">
        <f>Surfaces!O24</f>
        <v>0</v>
      </c>
      <c r="N53" s="686"/>
      <c r="Q53" s="70"/>
      <c r="X53" s="99"/>
      <c r="Y53" s="100"/>
    </row>
    <row r="54" spans="2:25" x14ac:dyDescent="0.25">
      <c r="B54" s="19"/>
      <c r="D54" s="714" t="s">
        <v>582</v>
      </c>
      <c r="E54" s="714"/>
      <c r="F54" s="714"/>
      <c r="G54" s="714"/>
      <c r="H54" s="714"/>
      <c r="I54" s="714"/>
      <c r="J54" s="714"/>
      <c r="K54" s="714"/>
      <c r="L54" s="715"/>
      <c r="M54" s="729">
        <f>IFERROR(SUM(M44:N46),0)</f>
        <v>0</v>
      </c>
      <c r="N54" s="730"/>
      <c r="W54" s="680" t="s">
        <v>713</v>
      </c>
      <c r="X54" s="680"/>
      <c r="Y54" s="20"/>
    </row>
    <row r="55" spans="2:25" x14ac:dyDescent="0.25">
      <c r="B55" s="19"/>
      <c r="D55" s="714" t="s">
        <v>583</v>
      </c>
      <c r="E55" s="714"/>
      <c r="F55" s="714"/>
      <c r="G55" s="714"/>
      <c r="H55" s="714"/>
      <c r="I55" s="714"/>
      <c r="J55" s="714"/>
      <c r="K55" s="714"/>
      <c r="L55" s="715"/>
      <c r="M55" s="711">
        <f>IFERROR(M54/M53,0)</f>
        <v>0</v>
      </c>
      <c r="N55" s="731"/>
      <c r="P55" s="895">
        <f>IF(ISBLANK(L11),0,IF(UTILISATION_CMR1&lt;&gt;"Oui",IF(cSAU=0,0,IFERROR(MIN(ROUNDUP(MAX(M55-5%,0)/10%,0),10),0)),0))</f>
        <v>0</v>
      </c>
      <c r="Q55" s="896"/>
      <c r="U55" s="98"/>
      <c r="W55" s="844">
        <v>10</v>
      </c>
      <c r="X55" s="845"/>
      <c r="Y55" s="20"/>
    </row>
    <row r="56" spans="2:25" x14ac:dyDescent="0.25">
      <c r="B56" s="19"/>
      <c r="Y56" s="20"/>
    </row>
    <row r="57" spans="2:25" x14ac:dyDescent="0.25">
      <c r="B57" s="19"/>
      <c r="Y57" s="20"/>
    </row>
    <row r="58" spans="2:25" x14ac:dyDescent="0.25">
      <c r="B58" s="19"/>
      <c r="D58" s="70" t="s">
        <v>2506</v>
      </c>
      <c r="Y58" s="20"/>
    </row>
    <row r="59" spans="2:25" x14ac:dyDescent="0.25">
      <c r="B59" s="19"/>
      <c r="D59" s="667"/>
      <c r="E59" s="668"/>
      <c r="F59" s="668"/>
      <c r="G59" s="668"/>
      <c r="H59" s="668"/>
      <c r="I59" s="668"/>
      <c r="J59" s="668"/>
      <c r="K59" s="668"/>
      <c r="L59" s="668"/>
      <c r="M59" s="668"/>
      <c r="N59" s="668"/>
      <c r="O59" s="668"/>
      <c r="P59" s="668"/>
      <c r="Q59" s="668"/>
      <c r="R59" s="668"/>
      <c r="S59" s="668"/>
      <c r="T59" s="668"/>
      <c r="U59" s="668"/>
      <c r="V59" s="668"/>
      <c r="W59" s="668"/>
      <c r="X59" s="669"/>
      <c r="Y59" s="20"/>
    </row>
    <row r="60" spans="2:25" x14ac:dyDescent="0.25">
      <c r="B60" s="19"/>
      <c r="D60" s="670"/>
      <c r="E60" s="671"/>
      <c r="F60" s="671"/>
      <c r="G60" s="671"/>
      <c r="H60" s="671"/>
      <c r="I60" s="671"/>
      <c r="J60" s="671"/>
      <c r="K60" s="671"/>
      <c r="L60" s="671"/>
      <c r="M60" s="671"/>
      <c r="N60" s="671"/>
      <c r="O60" s="671"/>
      <c r="P60" s="671"/>
      <c r="Q60" s="671"/>
      <c r="R60" s="671"/>
      <c r="S60" s="671"/>
      <c r="T60" s="671"/>
      <c r="U60" s="671"/>
      <c r="V60" s="671"/>
      <c r="W60" s="671"/>
      <c r="X60" s="672"/>
      <c r="Y60" s="20"/>
    </row>
    <row r="61" spans="2:25" x14ac:dyDescent="0.25">
      <c r="B61" s="19"/>
      <c r="D61" s="670"/>
      <c r="E61" s="671"/>
      <c r="F61" s="671"/>
      <c r="G61" s="671"/>
      <c r="H61" s="671"/>
      <c r="I61" s="671"/>
      <c r="J61" s="671"/>
      <c r="K61" s="671"/>
      <c r="L61" s="671"/>
      <c r="M61" s="671"/>
      <c r="N61" s="671"/>
      <c r="O61" s="671"/>
      <c r="P61" s="671"/>
      <c r="Q61" s="671"/>
      <c r="R61" s="671"/>
      <c r="S61" s="671"/>
      <c r="T61" s="671"/>
      <c r="U61" s="671"/>
      <c r="V61" s="671"/>
      <c r="W61" s="671"/>
      <c r="X61" s="672"/>
      <c r="Y61" s="20"/>
    </row>
    <row r="62" spans="2:25" x14ac:dyDescent="0.25">
      <c r="B62" s="19"/>
      <c r="D62" s="670"/>
      <c r="E62" s="671"/>
      <c r="F62" s="671"/>
      <c r="G62" s="671"/>
      <c r="H62" s="671"/>
      <c r="I62" s="671"/>
      <c r="J62" s="671"/>
      <c r="K62" s="671"/>
      <c r="L62" s="671"/>
      <c r="M62" s="671"/>
      <c r="N62" s="671"/>
      <c r="O62" s="671"/>
      <c r="P62" s="671"/>
      <c r="Q62" s="671"/>
      <c r="R62" s="671"/>
      <c r="S62" s="671"/>
      <c r="T62" s="671"/>
      <c r="U62" s="671"/>
      <c r="V62" s="671"/>
      <c r="W62" s="671"/>
      <c r="X62" s="672"/>
      <c r="Y62" s="20"/>
    </row>
    <row r="63" spans="2:25" x14ac:dyDescent="0.25">
      <c r="B63" s="19"/>
      <c r="D63" s="673"/>
      <c r="E63" s="674"/>
      <c r="F63" s="674"/>
      <c r="G63" s="674"/>
      <c r="H63" s="674"/>
      <c r="I63" s="674"/>
      <c r="J63" s="674"/>
      <c r="K63" s="674"/>
      <c r="L63" s="674"/>
      <c r="M63" s="674"/>
      <c r="N63" s="674"/>
      <c r="O63" s="674"/>
      <c r="P63" s="674"/>
      <c r="Q63" s="674"/>
      <c r="R63" s="674"/>
      <c r="S63" s="674"/>
      <c r="T63" s="674"/>
      <c r="U63" s="674"/>
      <c r="V63" s="674"/>
      <c r="W63" s="674"/>
      <c r="X63" s="675"/>
      <c r="Y63" s="20"/>
    </row>
    <row r="64" spans="2:25" x14ac:dyDescent="0.25">
      <c r="B64" s="19"/>
      <c r="Y64" s="20"/>
    </row>
    <row r="65" spans="2:42" ht="15.75" thickBot="1" x14ac:dyDescent="0.3">
      <c r="B65" s="22"/>
      <c r="C65" s="23"/>
      <c r="D65" s="23"/>
      <c r="E65" s="23"/>
      <c r="F65" s="23"/>
      <c r="G65" s="23"/>
      <c r="H65" s="23"/>
      <c r="I65" s="23"/>
      <c r="J65" s="23"/>
      <c r="K65" s="23"/>
      <c r="L65" s="23"/>
      <c r="M65" s="23"/>
      <c r="N65" s="23"/>
      <c r="O65" s="23"/>
      <c r="P65" s="23"/>
      <c r="Q65" s="23"/>
      <c r="R65" s="23"/>
      <c r="S65" s="23"/>
      <c r="T65" s="23"/>
      <c r="U65" s="23"/>
      <c r="V65" s="23"/>
      <c r="W65" s="23"/>
      <c r="X65" s="23"/>
      <c r="Y65" s="24"/>
      <c r="AH65" s="42" t="s">
        <v>5162</v>
      </c>
      <c r="AJ65" s="793" t="s">
        <v>5168</v>
      </c>
      <c r="AK65" s="793"/>
      <c r="AL65" s="938" t="s">
        <v>5153</v>
      </c>
      <c r="AM65" s="939"/>
    </row>
    <row r="66" spans="2:42" x14ac:dyDescent="0.25">
      <c r="AH66" s="814" t="s">
        <v>5152</v>
      </c>
      <c r="AI66" s="352"/>
      <c r="AJ66" s="352" t="s">
        <v>294</v>
      </c>
      <c r="AK66" s="352" t="s">
        <v>293</v>
      </c>
      <c r="AL66" s="352" t="s">
        <v>294</v>
      </c>
      <c r="AM66" s="352" t="s">
        <v>293</v>
      </c>
    </row>
    <row r="67" spans="2:42" x14ac:dyDescent="0.25">
      <c r="AH67" s="593"/>
      <c r="AI67" s="815" t="s">
        <v>5154</v>
      </c>
      <c r="AJ67" s="816"/>
      <c r="AK67" s="816"/>
      <c r="AL67" s="816"/>
      <c r="AM67" s="817"/>
      <c r="AP67" s="91"/>
    </row>
    <row r="68" spans="2:42" ht="15.75" thickBot="1" x14ac:dyDescent="0.3">
      <c r="AH68" s="798">
        <v>1</v>
      </c>
      <c r="AI68" s="352" t="s">
        <v>5155</v>
      </c>
      <c r="AJ68" s="352" t="str">
        <f>IFERROR(IF(OR(SUM(Surfaces!$O$83,Surfaces!$O$90,Surfaces!$O$97,Surfaces!$O$105,Surfaces!$O$111,Surfaces!$O$114:$O$118,Surfaces!$O$129)&gt;0,Surfaces!$O$132&gt;0),(SUM(Surfaces!$O$83,Surfaces!$O$90,Surfaces!$O$97,Surfaces!$O$105,Surfaces!$O$111,Surfaces!$O$114:$O$118,Surfaces!$O$129)*INDEX(Scoring_GC!D:D,MATCH(cRegion,Scoring_GC!B:B,0))+Surfaces!$O$132*INDEX(Scoring_GC!J:J,MATCH(cRegion,Scoring_GC!H:H,0)))/(SUM(Surfaces!$O$83,Surfaces!$O$90,Surfaces!$O$97,Surfaces!$O$105,Surfaces!$O$111,Surfaces!$O$114:$O$118,Surfaces!$O$129)+Surfaces!$O$132),""),"")</f>
        <v/>
      </c>
      <c r="AK68" s="352" t="str">
        <f>IFERROR(IF(OR(SUM(Surfaces!$O$83,Surfaces!$O$90,Surfaces!$O$97,Surfaces!$O$105,Surfaces!$O$111,Surfaces!$O$114:$O$118,Surfaces!$O$129)&gt;0,Surfaces!$O$132&gt;0),(SUM(Surfaces!$O$83,Surfaces!$O$90,Surfaces!$O$97,Surfaces!$O$105,Surfaces!$O$111,Surfaces!$O$114:$O$118,Surfaces!$O$129)*INDEX(Scoring_GC!C:C,MATCH(cRegion,Scoring_GC!B:B,0))+Surfaces!$O$132*INDEX(Scoring_GC!I:I,MATCH(cRegion,Scoring_GC!H:H,0)))/(SUM(Surfaces!$O$83,Surfaces!$O$90,Surfaces!$O$97,Surfaces!$O$105,Surfaces!$O$111,Surfaces!$O$114:$O$118,Surfaces!$O$129)+Surfaces!$O$132),""),"")</f>
        <v/>
      </c>
      <c r="AL68" s="352" t="str">
        <f>IFERROR(IF(OR(SUM(Surfaces!$O$83,Surfaces!$O$90,Surfaces!$O$97,Surfaces!$O$105,Surfaces!$O$111,Surfaces!$O$114:$O$118,Surfaces!$O$129)&gt;0,Surfaces!$O$132&gt;0),(SUM(Surfaces!$O$83,Surfaces!$O$90,Surfaces!$O$97,Surfaces!$O$105,Surfaces!$O$111,Surfaces!$O$114:$O$118,Surfaces!$O$129)*INDEX(Scoring_GC!P:P,MATCH(cRegion,Scoring_GC!N:N,0))+Surfaces!$O$132*INDEX(Scoring_GC!V:V,MATCH(cRegion,Scoring_GC!T:T,0)))/(SUM(Surfaces!$O$83,Surfaces!$O$90,Surfaces!$O$97,Surfaces!$O$105,Surfaces!$O$111,Surfaces!$O$114:$O$118,Surfaces!$O$129)+Surfaces!$O$132),""),"")</f>
        <v/>
      </c>
      <c r="AM68" s="352" t="str">
        <f>IFERROR(IF(OR(SUM(Surfaces!$O$83,Surfaces!$O$90,Surfaces!$O$97,Surfaces!$O$105,Surfaces!$O$111,Surfaces!$O$114:$O$118,Surfaces!$O$129)&gt;0,Surfaces!$O$132&gt;0),(SUM(Surfaces!$O$83,Surfaces!$O$90,Surfaces!$O$97,Surfaces!$O$105,Surfaces!$O$111,Surfaces!$O$114:$O$118,Surfaces!$O$129)*INDEX(Scoring_GC!O:O,MATCH(cRegion,Scoring_GC!N:N,0))+Surfaces!$O$132*INDEX(Scoring_GC!U:U,MATCH(cRegion,Scoring_GC!T:T,0)))/(SUM(Surfaces!$O$83,Surfaces!$O$90,Surfaces!$O$97,Surfaces!$O$105,Surfaces!$O$111,Surfaces!$O$114:$O$118,Surfaces!$O$129)+Surfaces!$O$132),""),"")</f>
        <v/>
      </c>
    </row>
    <row r="69" spans="2:42" x14ac:dyDescent="0.25">
      <c r="B69" s="16"/>
      <c r="C69" s="17"/>
      <c r="D69" s="17"/>
      <c r="E69" s="17"/>
      <c r="F69" s="17"/>
      <c r="G69" s="17"/>
      <c r="H69" s="17"/>
      <c r="I69" s="17"/>
      <c r="J69" s="17"/>
      <c r="K69" s="17"/>
      <c r="L69" s="17"/>
      <c r="M69" s="17"/>
      <c r="N69" s="17"/>
      <c r="O69" s="17"/>
      <c r="P69" s="17"/>
      <c r="Q69" s="17"/>
      <c r="R69" s="17"/>
      <c r="S69" s="17"/>
      <c r="T69" s="17"/>
      <c r="U69" s="17"/>
      <c r="V69" s="17"/>
      <c r="W69" s="17"/>
      <c r="X69" s="17"/>
      <c r="Y69" s="18"/>
      <c r="AH69" s="798"/>
      <c r="AI69" s="352" t="s">
        <v>688</v>
      </c>
      <c r="AJ69" s="352" t="str">
        <f>IFERROR(IF(OR(SUM(Surfaces!$O$83,Surfaces!$O$90,Surfaces!$O$97,Surfaces!$O$105,Surfaces!$O$111,Surfaces!$O$114:$O$118,Surfaces!$O$129)&gt;0,Surfaces!$O$132&gt;0),(SUM(Surfaces!$O$83,Surfaces!$O$90,Surfaces!$O$97,Surfaces!$O$105,Surfaces!$O$111,Surfaces!$O$114:$O$118,Surfaces!$O$129)*INDEX(Scoring_GC!F:F,MATCH(cRegion,Scoring_GC!B:B,0))+Surfaces!$O$132*INDEX(Scoring_GC!L:L,MATCH(cRegion,Scoring_GC!H:H,0)))/(SUM(Surfaces!$O$83,Surfaces!$O$90,Surfaces!$O$97,Surfaces!$O$105,Surfaces!$O$111,Surfaces!$O$114:$O$118,Surfaces!$O$129)+Surfaces!$O$132),""),"")</f>
        <v/>
      </c>
      <c r="AK69" s="352" t="str">
        <f>IFERROR(IF(OR(SUM(Surfaces!$O$83,Surfaces!$O$90,Surfaces!$O$97,Surfaces!$O$105,Surfaces!$O$111,Surfaces!$O$114:$O$118,Surfaces!$O$129)&gt;0,Surfaces!$O$132&gt;0),(SUM(Surfaces!$O$83,Surfaces!$O$90,Surfaces!$O$97,Surfaces!$O$105,Surfaces!$O$111,Surfaces!$O$114:$O$118,Surfaces!$O$129)*INDEX(Scoring_GC!E:E,MATCH(cRegion,Scoring_GC!B:B,0))+Surfaces!$O$132*INDEX(Scoring_GC!K:K,MATCH(cRegion,Scoring_GC!H:H,0)))/(SUM(Surfaces!$O$83,Surfaces!$O$90,Surfaces!$O$97,Surfaces!$O$105,Surfaces!$O$111,Surfaces!$O$114:$O$118,Surfaces!$O$129)+Surfaces!$O$132),""),"")</f>
        <v/>
      </c>
      <c r="AL69" s="352" t="str">
        <f>IFERROR(IF(OR(SUM(Surfaces!$O$83,Surfaces!$O$90,Surfaces!$O$97,Surfaces!$O$105,Surfaces!$O$111,Surfaces!$O$114:$O$118,Surfaces!$O$129)&gt;0,Surfaces!$O$132&gt;0),(SUM(Surfaces!$O$83,Surfaces!$O$90,Surfaces!$O$97,Surfaces!$O$105,Surfaces!$O$111,Surfaces!$O$114:$O$118,Surfaces!$O$129)*INDEX(Scoring_GC!R:R,MATCH(cRegion,Scoring_GC!N:N,0))+Surfaces!$O$132*INDEX(Scoring_GC!X:X,MATCH(cRegion,Scoring_GC!T:T,0)))/(SUM(Surfaces!$O$83,Surfaces!$O$90,Surfaces!$O$97,Surfaces!$O$105,Surfaces!$O$111,Surfaces!$O$114:$O$118,Surfaces!$O$129)+Surfaces!$O$132),""),"")</f>
        <v/>
      </c>
      <c r="AM69" s="352" t="str">
        <f>IFERROR(IF(OR(SUM(Surfaces!$O$83,Surfaces!$O$90,Surfaces!$O$97,Surfaces!$O$105,Surfaces!$O$111,Surfaces!$O$114:$O$118,Surfaces!$O$129)&gt;0,Surfaces!$O$132&gt;0),(SUM(Surfaces!$O$83,Surfaces!$O$90,Surfaces!$O$97,Surfaces!$O$105,Surfaces!$O$111,Surfaces!$O$114:$O$118,Surfaces!$O$129)*INDEX(Scoring_GC!Q:Q,MATCH(cRegion,Scoring_GC!N:N,0))+Surfaces!$O$132*INDEX(Scoring_GC!W:W,MATCH(cRegion,Scoring_GC!T:T,0)))/(SUM(Surfaces!$O$83,Surfaces!$O$90,Surfaces!$O$97,Surfaces!$O$105,Surfaces!$O$111,Surfaces!$O$114:$O$118,Surfaces!$O$129)+Surfaces!$O$132),""),"")</f>
        <v/>
      </c>
    </row>
    <row r="70" spans="2:42" x14ac:dyDescent="0.25">
      <c r="B70" s="19"/>
      <c r="Y70" s="20"/>
      <c r="AH70" s="798">
        <v>2</v>
      </c>
      <c r="AI70" s="352" t="s">
        <v>5155</v>
      </c>
      <c r="AJ70" s="352" t="str">
        <f>IFERROR(IF(OR(SUM(Surfaces!$P$83,Surfaces!$P$90,Surfaces!$P$97,Surfaces!$P$105,Surfaces!$P$111,Surfaces!$P$114:$P$118,Surfaces!$P$129)&gt;0,Surfaces!$P$132&gt;0),(SUM(Surfaces!$P$83,Surfaces!$P$90,Surfaces!$P$97,Surfaces!$P$105,Surfaces!$P$111,Surfaces!$P$114:$P$118,Surfaces!$P$129)*INDEX(Scoring_GC!D:D,MATCH(cRegion,Scoring_GC!B:B,0))+Surfaces!$P$132*INDEX(Scoring_GC!J:J,MATCH(cRegion,Scoring_GC!H:H,0)))/(SUM(Surfaces!$P$83,Surfaces!$P$90,Surfaces!$P$97,Surfaces!$P$105,Surfaces!$P$111,Surfaces!$P$114:$P$118,Surfaces!$P$129)+Surfaces!$P$132),""),"")</f>
        <v/>
      </c>
      <c r="AK70" s="352" t="str">
        <f>IFERROR(IF(OR(SUM(Surfaces!$P$83,Surfaces!$P$90,Surfaces!$P$97,Surfaces!$P$105,Surfaces!$P$111,Surfaces!$P$114:$P$118,Surfaces!$P$129)&gt;0,Surfaces!$P$132&gt;0),(SUM(Surfaces!$P$83,Surfaces!$P$90,Surfaces!$P$97,Surfaces!$P$105,Surfaces!$P$111,Surfaces!$P$114:$P$118,Surfaces!$P$129)*INDEX(Scoring_GC!C:C,MATCH(cRegion,Scoring_GC!B:B,0))+Surfaces!$P$132*INDEX(Scoring_GC!I:I,MATCH(cRegion,Scoring_GC!H:H,0)))/(SUM(Surfaces!$P$83,Surfaces!$P$90,Surfaces!$P$97,Surfaces!$P$105,Surfaces!$P$111,Surfaces!$P$114:$P$118,Surfaces!$P$129)+Surfaces!$P$132),""),"")</f>
        <v/>
      </c>
      <c r="AL70" s="352" t="str">
        <f>IFERROR(IF(OR(SUM(Surfaces!$P$83,Surfaces!$P$90,Surfaces!$P$97,Surfaces!$P$105,Surfaces!$P$111,Surfaces!$P$114:$P$118,Surfaces!$P$129)&gt;0,Surfaces!$P$132&gt;0),(SUM(Surfaces!$P$83,Surfaces!$P$90,Surfaces!$P$97,Surfaces!$P$105,Surfaces!$P$111,Surfaces!$P$114:$P$118,Surfaces!$P$129)*INDEX(Scoring_GC!P:P,MATCH(cRegion,Scoring_GC!N:N,0))+Surfaces!$P$132*INDEX(Scoring_GC!V:V,MATCH(cRegion,Scoring_GC!T:T,0)))/(SUM(Surfaces!$P$83,Surfaces!$P$90,Surfaces!$P$97,Surfaces!$P$105,Surfaces!$P$111,Surfaces!$P$114:$P$118,Surfaces!$P$129)+Surfaces!$P$132),""),"")</f>
        <v/>
      </c>
      <c r="AM70" s="352" t="str">
        <f>IFERROR(IF(OR(SUM(Surfaces!$P$83,Surfaces!$P$90,Surfaces!$P$97,Surfaces!$P$105,Surfaces!$P$111,Surfaces!$P$114:$P$118,Surfaces!$P$129)&gt;0,Surfaces!$P$132&gt;0),(SUM(Surfaces!$P$83,Surfaces!$P$90,Surfaces!$P$97,Surfaces!$P$105,Surfaces!$P$111,Surfaces!$P$114:$P$118,Surfaces!$P$129)*INDEX(Scoring_GC!O:O,MATCH(cRegion,Scoring_GC!N:N,0))+Surfaces!$P$132*INDEX(Scoring_GC!U:U,MATCH(cRegion,Scoring_GC!T:T,0)))/(SUM(Surfaces!$P$83,Surfaces!$P$90,Surfaces!$P$97,Surfaces!$P$105,Surfaces!$P$111,Surfaces!$P$114:$P$118,Surfaces!$P$129)+Surfaces!$P$132),""),"")</f>
        <v/>
      </c>
    </row>
    <row r="71" spans="2:42" x14ac:dyDescent="0.25">
      <c r="B71" s="19"/>
      <c r="C71" s="70" t="s">
        <v>299</v>
      </c>
      <c r="Y71" s="20"/>
      <c r="AH71" s="798"/>
      <c r="AI71" s="352" t="s">
        <v>688</v>
      </c>
      <c r="AJ71" s="352" t="str">
        <f>IFERROR(IF(OR(SUM(Surfaces!$P$83,Surfaces!$P$90,Surfaces!$P$97,Surfaces!$P$105,Surfaces!$P$111,Surfaces!$P$114:$P$118,Surfaces!$P$129)&gt;0,Surfaces!$P$132&gt;0),(SUM(Surfaces!$P$83,Surfaces!$P$90,Surfaces!$P$97,Surfaces!$P$105,Surfaces!$P$111,Surfaces!$P$114:$P$118,Surfaces!$P$129)*INDEX(Scoring_GC!F:F,MATCH(cRegion,Scoring_GC!B:B,0))+Surfaces!$P$132*INDEX(Scoring_GC!L:L,MATCH(cRegion,Scoring_GC!H:H,0)))/(SUM(Surfaces!$P$83,Surfaces!$P$90,Surfaces!$P$97,Surfaces!$P$105,Surfaces!$P$111,Surfaces!$P$114:$P$118,Surfaces!$P$129)+Surfaces!$P$132),""),"")</f>
        <v/>
      </c>
      <c r="AK71" s="352" t="str">
        <f>IFERROR(IF(OR(SUM(Surfaces!$P$83,Surfaces!$P$90,Surfaces!$P$97,Surfaces!$P$105,Surfaces!$P$111,Surfaces!$P$114:$P$118,Surfaces!$P$129)&gt;0,Surfaces!$P$132&gt;0),(SUM(Surfaces!$P$83,Surfaces!$P$90,Surfaces!$P$97,Surfaces!$P$105,Surfaces!$P$111,Surfaces!$P$114:$P$118,Surfaces!$P$129)*INDEX(Scoring_GC!E:E,MATCH(cRegion,Scoring_GC!B:B,0))+Surfaces!$P$132*INDEX(Scoring_GC!K:K,MATCH(cRegion,Scoring_GC!H:H,0)))/(SUM(Surfaces!$P$83,Surfaces!$P$90,Surfaces!$P$97,Surfaces!$P$105,Surfaces!$P$111,Surfaces!$P$114:$P$118,Surfaces!$P$129)+Surfaces!$P$132),""),"")</f>
        <v/>
      </c>
      <c r="AL71" s="352" t="str">
        <f>IFERROR(IF(OR(SUM(Surfaces!$P$83,Surfaces!$P$90,Surfaces!$P$97,Surfaces!$P$105,Surfaces!$P$111,Surfaces!$P$114:$P$118,Surfaces!$P$129)&gt;0,Surfaces!$P$132&gt;0),(SUM(Surfaces!$P$83,Surfaces!$P$90,Surfaces!$P$97,Surfaces!$P$105,Surfaces!$P$111,Surfaces!$P$114:$P$118,Surfaces!$P$129)*INDEX(Scoring_GC!R:R,MATCH(cRegion,Scoring_GC!N:N,0))+Surfaces!$P$132*INDEX(Scoring_GC!X:X,MATCH(cRegion,Scoring_GC!T:T,0)))/(SUM(Surfaces!$P$83,Surfaces!$P$90,Surfaces!$P$97,Surfaces!$P$105,Surfaces!$P$111,Surfaces!$P$114:$P$118,Surfaces!$P$129)+Surfaces!$P$132),""),"")</f>
        <v/>
      </c>
      <c r="AM71" s="352" t="str">
        <f>IFERROR(IF(OR(SUM(Surfaces!$P$83,Surfaces!$P$90,Surfaces!$P$97,Surfaces!$P$105,Surfaces!$P$111,Surfaces!$P$114:$P$118,Surfaces!$P$129)&gt;0,Surfaces!$P$132&gt;0),(SUM(Surfaces!$P$83,Surfaces!$P$90,Surfaces!$P$97,Surfaces!$P$105,Surfaces!$P$111,Surfaces!$P$114:$P$118,Surfaces!$P$129)*INDEX(Scoring_GC!Q:Q,MATCH(cRegion,Scoring_GC!N:N,0))+Surfaces!$P$132*INDEX(Scoring_GC!W:W,MATCH(cRegion,Scoring_GC!T:T,0)))/(SUM(Surfaces!$P$83,Surfaces!$P$90,Surfaces!$P$97,Surfaces!$P$105,Surfaces!$P$111,Surfaces!$P$114:$P$118,Surfaces!$P$129)+Surfaces!$P$132),""),"")</f>
        <v/>
      </c>
    </row>
    <row r="72" spans="2:42" x14ac:dyDescent="0.25">
      <c r="B72" s="19"/>
      <c r="Y72" s="20"/>
      <c r="AH72" s="798">
        <v>3</v>
      </c>
      <c r="AI72" s="352" t="s">
        <v>5155</v>
      </c>
      <c r="AJ72" s="352" t="str">
        <f>IFERROR(IF(OR(SUM(Surfaces!$Q$83,Surfaces!$Q$90,Surfaces!$Q$97,Surfaces!$Q$105,Surfaces!$Q$111,Surfaces!$Q$114:$Q$118,Surfaces!$Q$129)&gt;0,Surfaces!$Q$132&gt;0),(SUM(Surfaces!$Q$83,Surfaces!$Q$90,Surfaces!$Q$97,Surfaces!$Q$105,Surfaces!$Q$111,Surfaces!$Q$114:$Q$118,Surfaces!$Q$129)*INDEX(Scoring_GC!D:D,MATCH(cRegion,Scoring_GC!B:B,0))+Surfaces!$Q$132*INDEX(Scoring_GC!J:J,MATCH(cRegion,Scoring_GC!H:H,0)))/(SUM(Surfaces!$Q$83,Surfaces!$Q$90,Surfaces!$Q$97,Surfaces!$Q$105,Surfaces!$Q$111,Surfaces!$Q$114:$Q$118,Surfaces!$Q$129)+Surfaces!$Q$132),""),"")</f>
        <v/>
      </c>
      <c r="AK72" s="352" t="str">
        <f>IFERROR(IF(OR(SUM(Surfaces!$Q$83,Surfaces!$Q$90,Surfaces!$Q$97,Surfaces!$Q$105,Surfaces!$Q$111,Surfaces!$Q$114:$Q$118,Surfaces!$Q$129)&gt;0,Surfaces!$Q$132&gt;0),(SUM(Surfaces!$Q$83,Surfaces!$Q$90,Surfaces!$Q$97,Surfaces!$Q$105,Surfaces!$Q$111,Surfaces!$Q$114:$Q$118,Surfaces!$Q$129)*INDEX(Scoring_GC!C:C,MATCH(cRegion,Scoring_GC!B:B,0))+Surfaces!$Q$132*INDEX(Scoring_GC!I:I,MATCH(cRegion,Scoring_GC!H:H,0)))/(SUM(Surfaces!$Q$83,Surfaces!$Q$90,Surfaces!$Q$97,Surfaces!$Q$105,Surfaces!$Q$111,Surfaces!$Q$114:$Q$118,Surfaces!$Q$129)+Surfaces!$Q$132),""),"")</f>
        <v/>
      </c>
      <c r="AL72" s="352" t="str">
        <f>IFERROR(IF(OR(SUM(Surfaces!$Q$83,Surfaces!$Q$90,Surfaces!$Q$97,Surfaces!$Q$105,Surfaces!$Q$111,Surfaces!$Q$114:$Q$118,Surfaces!$Q$129)&gt;0,Surfaces!$Q$132&gt;0),(SUM(Surfaces!$Q$83,Surfaces!$Q$90,Surfaces!$Q$97,Surfaces!$Q$105,Surfaces!$Q$111,Surfaces!$Q$114:$Q$118,Surfaces!$Q$129)*INDEX(Scoring_GC!P:P,MATCH(cRegion,Scoring_GC!N:N,0))+Surfaces!$Q$132*INDEX(Scoring_GC!V:V,MATCH(cRegion,Scoring_GC!T:T,0)))/(SUM(Surfaces!$Q$83,Surfaces!$Q$90,Surfaces!$Q$97,Surfaces!$Q$105,Surfaces!$Q$111,Surfaces!$Q$114:$Q$118,Surfaces!$Q$129)+Surfaces!$Q$132),""),"")</f>
        <v/>
      </c>
      <c r="AM72" s="352" t="str">
        <f>IFERROR(IF(OR(SUM(Surfaces!$Q$83,Surfaces!$Q$90,Surfaces!$Q$97,Surfaces!$Q$105,Surfaces!$Q$111,Surfaces!$Q$114:$Q$118,Surfaces!$Q$129)&gt;0,Surfaces!$Q$132&gt;0),(SUM(Surfaces!$Q$83,Surfaces!$Q$90,Surfaces!$Q$97,Surfaces!$Q$105,Surfaces!$Q$111,Surfaces!$Q$114:$Q$118,Surfaces!$Q$129)*INDEX(Scoring_GC!O:O,MATCH(cRegion,Scoring_GC!N:N,0))+Surfaces!$Q$132*INDEX(Scoring_GC!U:U,MATCH(cRegion,Scoring_GC!T:T,0)))/(SUM(Surfaces!$Q$83,Surfaces!$Q$90,Surfaces!$Q$97,Surfaces!$Q$105,Surfaces!$Q$111,Surfaces!$Q$114:$Q$118,Surfaces!$Q$129)+Surfaces!$Q$132),""),"")</f>
        <v/>
      </c>
    </row>
    <row r="73" spans="2:42" x14ac:dyDescent="0.25">
      <c r="B73" s="19"/>
      <c r="C73" s="47" t="s">
        <v>856</v>
      </c>
      <c r="D73" s="47"/>
      <c r="E73" s="47"/>
      <c r="F73" s="47"/>
      <c r="G73" s="47"/>
      <c r="H73" s="43"/>
      <c r="I73" s="634" t="str">
        <f>IFERROR(INDEX(Paramètres!BE:BE,MATCH(Phyto!I74,Paramètres!BC:BC,0)),"")</f>
        <v/>
      </c>
      <c r="J73" s="635"/>
      <c r="K73" s="635"/>
      <c r="L73" s="635"/>
      <c r="M73" s="636"/>
      <c r="Y73" s="20"/>
      <c r="AH73" s="798"/>
      <c r="AI73" s="352" t="s">
        <v>688</v>
      </c>
      <c r="AJ73" s="352" t="str">
        <f>IFERROR(IF(OR(SUM(Surfaces!$Q$83,Surfaces!$Q$90,Surfaces!$Q$97,Surfaces!$Q$105,Surfaces!$Q$111,Surfaces!$Q$114:$Q$118,Surfaces!$Q$129)&gt;0,Surfaces!$Q$132&gt;0),(SUM(Surfaces!$Q$83,Surfaces!$Q$90,Surfaces!$Q$97,Surfaces!$Q$105,Surfaces!$Q$111,Surfaces!$Q$114:$Q$118,Surfaces!$Q$129)*INDEX(Scoring_GC!F:F,MATCH(cRegion,Scoring_GC!B:B,0))+Surfaces!$Q$132*INDEX(Scoring_GC!L:L,MATCH(cRegion,Scoring_GC!H:H,0)))/(SUM(Surfaces!$Q$83,Surfaces!$Q$90,Surfaces!$Q$97,Surfaces!$Q$105,Surfaces!$Q$111,Surfaces!$Q$114:$Q$118,Surfaces!$Q$129)+Surfaces!$Q$132),""),"")</f>
        <v/>
      </c>
      <c r="AK73" s="352" t="str">
        <f>IFERROR(IF(OR(SUM(Surfaces!$Q$83,Surfaces!$Q$90,Surfaces!$Q$97,Surfaces!$Q$105,Surfaces!$Q$111,Surfaces!$Q$114:$Q$118,Surfaces!$Q$129)&gt;0,Surfaces!$Q$132&gt;0),(SUM(Surfaces!$Q$83,Surfaces!$Q$90,Surfaces!$Q$97,Surfaces!$Q$105,Surfaces!$Q$111,Surfaces!$Q$114:$Q$118,Surfaces!$Q$129)*INDEX(Scoring_GC!E:E,MATCH(cRegion,Scoring_GC!B:B,0))+Surfaces!$Q$132*INDEX(Scoring_GC!K:K,MATCH(cRegion,Scoring_GC!H:H,0)))/(SUM(Surfaces!$Q$83,Surfaces!$Q$90,Surfaces!$Q$97,Surfaces!$Q$105,Surfaces!$Q$111,Surfaces!$Q$114:$Q$118,Surfaces!$Q$129)+Surfaces!$Q$132),""),"")</f>
        <v/>
      </c>
      <c r="AL73" s="352" t="str">
        <f>IFERROR(IF(OR(SUM(Surfaces!$Q$83,Surfaces!$Q$90,Surfaces!$Q$97,Surfaces!$Q$105,Surfaces!$Q$111,Surfaces!$Q$114:$Q$118,Surfaces!$Q$129)&gt;0,Surfaces!$Q$132&gt;0),(SUM(Surfaces!$Q$83,Surfaces!$Q$90,Surfaces!$Q$97,Surfaces!$Q$105,Surfaces!$Q$111,Surfaces!$Q$114:$Q$118,Surfaces!$Q$129)*INDEX(Scoring_GC!R:R,MATCH(cRegion,Scoring_GC!N:N,0))+Surfaces!$Q$132*INDEX(Scoring_GC!X:X,MATCH(cRegion,Scoring_GC!T:T,0)))/(SUM(Surfaces!$Q$83,Surfaces!$Q$90,Surfaces!$Q$97,Surfaces!$Q$105,Surfaces!$Q$111,Surfaces!$Q$114:$Q$118,Surfaces!$Q$129)+Surfaces!$Q$132),""),"")</f>
        <v/>
      </c>
      <c r="AM73" s="352" t="str">
        <f>IFERROR(IF(OR(SUM(Surfaces!$Q$83,Surfaces!$Q$90,Surfaces!$Q$97,Surfaces!$Q$105,Surfaces!$Q$111,Surfaces!$Q$114:$Q$118,Surfaces!$Q$129)&gt;0,Surfaces!$Q$132&gt;0),(SUM(Surfaces!$Q$83,Surfaces!$Q$90,Surfaces!$Q$97,Surfaces!$Q$105,Surfaces!$Q$111,Surfaces!$Q$114:$Q$118,Surfaces!$Q$129)*INDEX(Scoring_GC!Q:Q,MATCH(cRegion,Scoring_GC!N:N,0))+Surfaces!$Q$132*INDEX(Scoring_GC!W:W,MATCH(cRegion,Scoring_GC!T:T,0)))/(SUM(Surfaces!$Q$83,Surfaces!$Q$90,Surfaces!$Q$97,Surfaces!$Q$105,Surfaces!$Q$111,Surfaces!$Q$114:$Q$118,Surfaces!$Q$129)+Surfaces!$Q$132),""),"")</f>
        <v/>
      </c>
    </row>
    <row r="74" spans="2:42" x14ac:dyDescent="0.25">
      <c r="B74" s="19"/>
      <c r="C74" s="47" t="s">
        <v>675</v>
      </c>
      <c r="D74" s="47"/>
      <c r="E74" s="47"/>
      <c r="F74" s="48"/>
      <c r="G74" s="48"/>
      <c r="H74" s="44"/>
      <c r="I74" s="860" t="str">
        <f>IF(Identification!R32=0,"",Identification!R32)</f>
        <v/>
      </c>
      <c r="J74" s="861"/>
      <c r="K74" s="861"/>
      <c r="L74" s="861"/>
      <c r="M74" s="862"/>
      <c r="P74" s="47" t="s">
        <v>5160</v>
      </c>
      <c r="Q74" s="47"/>
      <c r="R74" s="47"/>
      <c r="S74" s="47"/>
      <c r="T74" s="47"/>
      <c r="U74" s="47"/>
      <c r="V74" s="813"/>
      <c r="W74" s="704"/>
      <c r="Y74" s="20"/>
      <c r="AH74" s="561"/>
      <c r="AI74" s="818"/>
      <c r="AJ74" s="819"/>
      <c r="AK74" s="819"/>
      <c r="AL74" s="819"/>
      <c r="AM74" s="820"/>
    </row>
    <row r="75" spans="2:42" x14ac:dyDescent="0.25">
      <c r="B75" s="19"/>
      <c r="C75" s="47" t="s">
        <v>887</v>
      </c>
      <c r="D75" s="43"/>
      <c r="E75" s="47"/>
      <c r="F75" s="47"/>
      <c r="G75" s="47"/>
      <c r="H75" s="47"/>
      <c r="I75" s="802" t="str">
        <f>BASSIN_VITICOLE_EXPLOITATION_SIEGE</f>
        <v/>
      </c>
      <c r="J75" s="802"/>
      <c r="K75" s="802"/>
      <c r="L75" s="802"/>
      <c r="M75" s="802"/>
      <c r="N75" s="802"/>
      <c r="P75" s="143" t="s">
        <v>5220</v>
      </c>
      <c r="Y75" s="20"/>
      <c r="AH75" s="561"/>
      <c r="AI75" s="815" t="s">
        <v>5156</v>
      </c>
      <c r="AJ75" s="816"/>
      <c r="AK75" s="816"/>
      <c r="AL75" s="816"/>
      <c r="AM75" s="817"/>
    </row>
    <row r="76" spans="2:42" x14ac:dyDescent="0.25">
      <c r="B76" s="19"/>
      <c r="Y76" s="20"/>
      <c r="AH76" s="798">
        <v>1</v>
      </c>
      <c r="AI76" s="352" t="s">
        <v>5155</v>
      </c>
      <c r="AJ76" s="352" t="str">
        <f>IFERROR(IF(SUM(Surfaces!$O$144:$O$158)&gt;0,SUMPRODUCT(Surfaces!$O$144:$O$158,Surfaces!AD$144:AD$158)/SUM(Surfaces!$O$144:$O$158),""),"")</f>
        <v/>
      </c>
      <c r="AK76" s="352" t="str">
        <f>IFERROR(IF(SUM(Surfaces!$O$144:$O$158)&gt;0,SUMPRODUCT(Surfaces!$O$144:$O$158,Surfaces!AC$144:AC$158)/SUM(Surfaces!$O$144:$O$158),""),"")</f>
        <v/>
      </c>
      <c r="AL76" s="352" t="str">
        <f>IFERROR(IF(SUM(Surfaces!$O$144:$O$158)&gt;0,SUMPRODUCT(Surfaces!$O$144:$O$158,Surfaces!AI$144:AI$158)/SUM(Surfaces!$O$144:$O$158),""),"")</f>
        <v/>
      </c>
      <c r="AM76" s="352" t="str">
        <f>IFERROR(IF(SUM(Surfaces!$O$144:$O$158)&gt;0,SUMPRODUCT(Surfaces!$O$144:$O$158,Surfaces!AH$144:AH$158)/SUM(Surfaces!$O$144:$O$158),""),"")</f>
        <v/>
      </c>
    </row>
    <row r="77" spans="2:42" x14ac:dyDescent="0.25">
      <c r="B77" s="19"/>
      <c r="C77" s="42" t="s">
        <v>683</v>
      </c>
      <c r="Y77" s="20"/>
      <c r="AH77" s="798"/>
      <c r="AI77" s="352" t="s">
        <v>688</v>
      </c>
      <c r="AJ77" s="352" t="str">
        <f>IFERROR(IF(SUM(Surfaces!$O$144:$O$158)&gt;0,SUMPRODUCT(Surfaces!$O$144:$O$158,Surfaces!AF$144:AF$158)/SUM(Surfaces!$O$144:$O$158),""),"")</f>
        <v/>
      </c>
      <c r="AK77" s="352" t="str">
        <f>IFERROR(IF(SUM(Surfaces!$O$144:$O$158)&gt;0,SUMPRODUCT(Surfaces!$O$144:$O$158,Surfaces!AE$144:AE$158)/SUM(Surfaces!$O$144:$O$158),""),"")</f>
        <v/>
      </c>
      <c r="AL77" s="352" t="str">
        <f>IFERROR(IF(SUM(Surfaces!$O$144:$O$158)&gt;0,SUMPRODUCT(Surfaces!$O$144:$O$158,Surfaces!AK$144:AK$158)/SUM(Surfaces!$O$144:$O$158),""),"")</f>
        <v/>
      </c>
      <c r="AM77" s="352" t="str">
        <f>IFERROR(IF(SUM(Surfaces!$O$144:$O$158)&gt;0,SUMPRODUCT(Surfaces!$O$144:$O$158,Surfaces!AJ$144:AJ$158)/SUM(Surfaces!$O$144:$O$158),""),"")</f>
        <v/>
      </c>
    </row>
    <row r="78" spans="2:42" ht="15.75" thickBot="1" x14ac:dyDescent="0.3">
      <c r="B78" s="19"/>
      <c r="C78" s="65" t="s">
        <v>5218</v>
      </c>
      <c r="Y78" s="20"/>
      <c r="AH78" s="798">
        <v>2</v>
      </c>
      <c r="AI78" s="352" t="s">
        <v>5155</v>
      </c>
      <c r="AJ78" s="352" t="str">
        <f>IFERROR(IF(SUM(Surfaces!$P$144:$P$158)&gt;0,SUMPRODUCT(Surfaces!$P$144:$P$158,Surfaces!AD$144:AD$158)/SUM(Surfaces!$P$144:$P$158),""),"")</f>
        <v/>
      </c>
      <c r="AK78" s="352" t="str">
        <f>IFERROR(IF(SUM(Surfaces!$P$144:$P$158)&gt;0,SUMPRODUCT(Surfaces!$P$144:$P$158,Surfaces!AC$144:AC$158)/SUM(Surfaces!$P$144:$P$158),""),"")</f>
        <v/>
      </c>
      <c r="AL78" s="352" t="str">
        <f>IFERROR(IF(SUM(Surfaces!$P$144:$P$158)&gt;0,SUMPRODUCT(Surfaces!$P$144:$P$158,Surfaces!AI$144:AI$158)/SUM(Surfaces!$P$144:$P$158),""),"")</f>
        <v/>
      </c>
      <c r="AM78" s="352" t="str">
        <f>IFERROR(IF(SUM(Surfaces!$P$144:$P$158)&gt;0,SUMPRODUCT(Surfaces!$P$144:$P$158,Surfaces!AH$144:AH$158)/SUM(Surfaces!$P$144:$P$158),""),"")</f>
        <v/>
      </c>
    </row>
    <row r="79" spans="2:42" x14ac:dyDescent="0.25">
      <c r="B79" s="19"/>
      <c r="C79" s="887" t="s">
        <v>332</v>
      </c>
      <c r="D79" s="888"/>
      <c r="E79" s="888"/>
      <c r="F79" s="888"/>
      <c r="G79" s="888"/>
      <c r="H79" s="888"/>
      <c r="I79" s="888"/>
      <c r="J79" s="867" t="s">
        <v>294</v>
      </c>
      <c r="K79" s="867"/>
      <c r="L79" s="867" t="s">
        <v>293</v>
      </c>
      <c r="M79" s="867"/>
      <c r="N79" s="867" t="s">
        <v>387</v>
      </c>
      <c r="O79" s="867"/>
      <c r="P79" s="867" t="s">
        <v>892</v>
      </c>
      <c r="Q79" s="876"/>
      <c r="Y79" s="20"/>
      <c r="AH79" s="798"/>
      <c r="AI79" s="352" t="s">
        <v>688</v>
      </c>
      <c r="AJ79" s="352" t="str">
        <f>IFERROR(IF(SUM(Surfaces!$P$144:$P$158)&gt;0,SUMPRODUCT(Surfaces!$P$144:$P$158,Surfaces!AF$144:AF$158)/SUM(Surfaces!$P$144:$P$158),""),"")</f>
        <v/>
      </c>
      <c r="AK79" s="352" t="str">
        <f>IFERROR(IF(SUM(Surfaces!$P$144:$P$158)&gt;0,SUMPRODUCT(Surfaces!$P$144:$P$158,Surfaces!AE$144:AE$158)/SUM(Surfaces!$P$144:$P$158),""),"")</f>
        <v/>
      </c>
      <c r="AL79" s="352" t="str">
        <f>IFERROR(IF(SUM(Surfaces!$P$144:$P$158)&gt;0,SUMPRODUCT(Surfaces!$P$144:$P$158,Surfaces!AK$144:AK$158)/SUM(Surfaces!$P$144:$P$158),""),"")</f>
        <v/>
      </c>
      <c r="AM79" s="352" t="str">
        <f>IFERROR(IF(SUM(Surfaces!$P$144:$P$158)&gt;0,SUMPRODUCT(Surfaces!$P$144:$P$158,Surfaces!AJ$144:AJ$158)/SUM(Surfaces!$P$144:$P$158),""),"")</f>
        <v/>
      </c>
    </row>
    <row r="80" spans="2:42" x14ac:dyDescent="0.25">
      <c r="B80" s="19"/>
      <c r="C80" s="863" t="s">
        <v>303</v>
      </c>
      <c r="D80" s="864"/>
      <c r="E80" s="864"/>
      <c r="F80" s="864"/>
      <c r="G80" s="864"/>
      <c r="H80" s="864"/>
      <c r="I80" s="864"/>
      <c r="J80" s="854" t="str">
        <f>IFERROR(IF($V$74=1,AJ68,IF($V$74=2,AVERAGE(AJ68,AJ70),IF($V$74=3,AVERAGE(AJ68,AJ70,AJ72),""))),"")</f>
        <v/>
      </c>
      <c r="K80" s="854"/>
      <c r="L80" s="854" t="str">
        <f>IFERROR(IF($V$74=1,AK68,IF($V$74=2,AVERAGE(AK68,AK70),IF($V$74=3,AVERAGE(AK68,AK70,AK72),""))),"")</f>
        <v/>
      </c>
      <c r="M80" s="854"/>
      <c r="N80" s="854" t="str">
        <f>IFERROR(IF(AVERAGE(Scoring_GC!C5:S26)&lt;&gt;"",IF($V$74=1,AL68,IF($V$74=2,AVERAGE(AL68,AL70),IF($V$74=3,AVERAGE(AL68,AL70,AL72),""))),""),"")</f>
        <v/>
      </c>
      <c r="O80" s="854"/>
      <c r="P80" s="854" t="str">
        <f>IFERROR(IF(AVERAGE(Scoring_GC!C5:S26)&lt;&gt;"",IF($V$74=1,AM68,IF($V$74=2,AVERAGE(AM68,AM70),IF($V$74=3,AVERAGE(AM68,AM70,AM72),""))),""),"")</f>
        <v/>
      </c>
      <c r="Q80" s="855"/>
      <c r="Y80" s="20"/>
      <c r="AH80" s="798">
        <v>3</v>
      </c>
      <c r="AI80" s="352" t="s">
        <v>5155</v>
      </c>
      <c r="AJ80" s="352" t="str">
        <f>IFERROR(IF(SUM(Surfaces!$Q$144:$Q$158)&gt;0,SUMPRODUCT(Surfaces!$Q$144:$Q$158,Surfaces!AD$144:AD$158)/SUM(Surfaces!$Q$144:$Q$158),""),"")</f>
        <v/>
      </c>
      <c r="AK80" s="352" t="str">
        <f>IFERROR(IF(SUM(Surfaces!$Q$144:$Q$158)&gt;0,SUMPRODUCT(Surfaces!$Q$144:$Q$158,Surfaces!AC$144:AC$158)/SUM(Surfaces!$Q$144:$Q$158),""),"")</f>
        <v/>
      </c>
      <c r="AL80" s="352" t="str">
        <f>IFERROR(IF(SUM(Surfaces!$Q$144:$Q$158)&gt;0,SUMPRODUCT(Surfaces!$Q$144:$Q$158,Surfaces!AI$144:AI$158)/SUM(Surfaces!$Q$144:$Q$158),""),"")</f>
        <v/>
      </c>
      <c r="AM80" s="352" t="str">
        <f>IFERROR(IF(SUM(Surfaces!$Q$144:$Q$158)&gt;0,SUMPRODUCT(Surfaces!$Q$144:$Q$158,Surfaces!AH$144:AH$158)/SUM(Surfaces!$Q$144:$Q$158),""),"")</f>
        <v/>
      </c>
    </row>
    <row r="81" spans="2:39" ht="15.75" thickBot="1" x14ac:dyDescent="0.3">
      <c r="B81" s="19"/>
      <c r="C81" s="865" t="s">
        <v>300</v>
      </c>
      <c r="D81" s="866"/>
      <c r="E81" s="866"/>
      <c r="F81" s="866"/>
      <c r="G81" s="866"/>
      <c r="H81" s="866"/>
      <c r="I81" s="866"/>
      <c r="J81" s="891" t="str">
        <f>IFERROR(IF($V$74=1,AJ69,IF($V$74=2,AVERAGE(AJ69,AJ71),IF($V$74=3,AVERAGE(AJ69,AJ71,AJ73),""))),"")</f>
        <v/>
      </c>
      <c r="K81" s="891"/>
      <c r="L81" s="891" t="str">
        <f>IFERROR(IF($V$74=1,AK69,IF($V$74=2,AVERAGE(AK69,AK71),IF($V$74=3,AVERAGE(AK69,AK71,AK73),""))),"")</f>
        <v/>
      </c>
      <c r="M81" s="891"/>
      <c r="N81" s="891" t="str">
        <f>IFERROR(IF(AVERAGE(Scoring_GC!C5:S26)&lt;&gt;"",IF($V$74=1,AL69,IF($V$74=2,AVERAGE(AL69,AL71),IF($V$74=3,AVERAGE(AL69,AL71,AL73),""))),""),"")</f>
        <v/>
      </c>
      <c r="O81" s="891"/>
      <c r="P81" s="891" t="str">
        <f>IFERROR(IF(AVERAGE(Scoring_GC!C5:S26)&lt;&gt;"",IF($V$74=1,AM69,IF($V$74=2,AVERAGE(AM69,AM71),IF($V$74=3,AVERAGE(AM69,AM71,AM73),""))),""),"")</f>
        <v/>
      </c>
      <c r="Q81" s="892"/>
      <c r="U81" s="570"/>
      <c r="Y81" s="20"/>
      <c r="AH81" s="798"/>
      <c r="AI81" s="352" t="s">
        <v>688</v>
      </c>
      <c r="AJ81" s="352" t="str">
        <f>IFERROR(IF(SUM(Surfaces!$Q$144:$Q$158)&gt;0,SUMPRODUCT(Surfaces!$Q$144:$Q$158,Surfaces!AF$144:AF$158)/SUM(Surfaces!$Q$144:$Q$158),""),"")</f>
        <v/>
      </c>
      <c r="AK81" s="352" t="str">
        <f>IFERROR(IF(SUM(Surfaces!$Q$144:$Q$158)&gt;0,SUMPRODUCT(Surfaces!$Q$144:$Q$158,Surfaces!AE$144:AE$158)/SUM(Surfaces!$Q$144:$Q$158),""),"")</f>
        <v/>
      </c>
      <c r="AL81" s="352" t="str">
        <f>IFERROR(IF(SUM(Surfaces!$Q$144:$Q$158)&gt;0,SUMPRODUCT(Surfaces!$Q$144:$Q$158,Surfaces!AK$144:AK$158)/SUM(Surfaces!$Q$144:$Q$158),""),"")</f>
        <v/>
      </c>
      <c r="AM81" s="352" t="str">
        <f>IFERROR(IF(SUM(Surfaces!$Q$144:$Q$158)&gt;0,SUMPRODUCT(Surfaces!$Q$144:$Q$158,Surfaces!AJ$144:AJ$158)/SUM(Surfaces!$Q$144:$Q$158),""),"")</f>
        <v/>
      </c>
    </row>
    <row r="82" spans="2:39" ht="15.75" thickBot="1" x14ac:dyDescent="0.3">
      <c r="B82" s="19"/>
      <c r="Y82" s="20"/>
    </row>
    <row r="83" spans="2:39" x14ac:dyDescent="0.25">
      <c r="B83" s="19"/>
      <c r="C83" s="887" t="s">
        <v>306</v>
      </c>
      <c r="D83" s="888"/>
      <c r="E83" s="888"/>
      <c r="F83" s="888"/>
      <c r="G83" s="888"/>
      <c r="H83" s="888"/>
      <c r="I83" s="888"/>
      <c r="J83" s="867" t="s">
        <v>294</v>
      </c>
      <c r="K83" s="867"/>
      <c r="L83" s="867" t="s">
        <v>293</v>
      </c>
      <c r="M83" s="867"/>
      <c r="N83" s="867" t="s">
        <v>387</v>
      </c>
      <c r="O83" s="867"/>
      <c r="P83" s="867" t="s">
        <v>892</v>
      </c>
      <c r="Q83" s="876"/>
      <c r="Y83" s="20"/>
      <c r="AH83" s="42" t="s">
        <v>5169</v>
      </c>
    </row>
    <row r="84" spans="2:39" x14ac:dyDescent="0.25">
      <c r="B84" s="19"/>
      <c r="C84" s="863" t="s">
        <v>301</v>
      </c>
      <c r="D84" s="864"/>
      <c r="E84" s="864"/>
      <c r="F84" s="864"/>
      <c r="G84" s="864"/>
      <c r="H84" s="864"/>
      <c r="I84" s="889"/>
      <c r="J84" s="852" t="str">
        <f>IFERROR(IF(V74&lt;&gt;"",IF(Surfaces!O141&lt;&gt;"",INDEX(Scoring_Viticulture!E:E,MATCH(cBassinViti,Scoring_Viticulture!C:C,0)),""),""),"")</f>
        <v/>
      </c>
      <c r="K84" s="852"/>
      <c r="L84" s="852" t="str">
        <f>IFERROR(IF(V74&lt;&gt;"",IF(Surfaces!O141&lt;&gt;"",INDEX(Scoring_Viticulture!D:D,MATCH(cBassinViti,Scoring_Viticulture!C:C,0)),""),""),"")</f>
        <v/>
      </c>
      <c r="M84" s="852"/>
      <c r="N84" s="852" t="str">
        <f>IFERROR(IF(V74&lt;&gt;"",IF(Surfaces!O141&lt;&gt;"",IF(INDEX(Scoring_Viticulture!L:L,MATCH(cBassinViti,Scoring_Viticulture!J:J,0))="","",INDEX(Scoring_Viticulture!L:L,MATCH(cBassinViti,Scoring_Viticulture!J:J,0))),""),""),"")</f>
        <v/>
      </c>
      <c r="O84" s="852"/>
      <c r="P84" s="852" t="str">
        <f>IFERROR(IF(V74&lt;&gt;"",IF(Surfaces!O141&lt;&gt;"",IF(INDEX(Scoring_Viticulture!K:K,MATCH(cBassinViti,Scoring_Viticulture!J:J,0))="","",INDEX(Scoring_Viticulture!K:K,MATCH(cBassinViti,Scoring_Viticulture!J:J,0))),""),""),"")</f>
        <v/>
      </c>
      <c r="Q84" s="890"/>
      <c r="Y84" s="20"/>
      <c r="AH84" s="571" t="s">
        <v>5163</v>
      </c>
    </row>
    <row r="85" spans="2:39" ht="15.75" thickBot="1" x14ac:dyDescent="0.3">
      <c r="B85" s="19"/>
      <c r="C85" s="865" t="s">
        <v>300</v>
      </c>
      <c r="D85" s="866"/>
      <c r="E85" s="866"/>
      <c r="F85" s="866"/>
      <c r="G85" s="866"/>
      <c r="H85" s="866"/>
      <c r="I85" s="874"/>
      <c r="J85" s="875" t="str">
        <f>IFERROR(IF(V74&lt;&gt;"",IF(Surfaces!O141&lt;&gt;"",INDEX(Scoring_Viticulture!G:G,MATCH(cBassinViti,Scoring_Viticulture!C:C,0)),""),""),"")</f>
        <v/>
      </c>
      <c r="K85" s="875"/>
      <c r="L85" s="875" t="str">
        <f>IFERROR(IF(V74&lt;&gt;"",IF(Surfaces!O141&lt;&gt;"",INDEX(Scoring_Viticulture!F:F,MATCH(cBassinViti,Scoring_Viticulture!C:C,0)),""),""),"")</f>
        <v/>
      </c>
      <c r="M85" s="875"/>
      <c r="N85" s="875" t="str">
        <f>IFERROR(IF(V74&lt;&gt;"",IF(Surfaces!O141&lt;&gt;"",IF(INDEX(Scoring_Viticulture!N:N,MATCH(cBassinViti,Scoring_Viticulture!J:J,0))="","",INDEX(Scoring_Viticulture!N:N,MATCH(cBassinViti,Scoring_Viticulture!J:J,0))),""),""),"")</f>
        <v/>
      </c>
      <c r="O85" s="875"/>
      <c r="P85" s="875" t="str">
        <f>IFERROR(IF(V74&lt;&gt;"",IF(Surfaces!O141&lt;&gt;"",IF(INDEX(Scoring_Viticulture!M:M,MATCH(cBassinViti,Scoring_Viticulture!J:J,0))="","",INDEX(Scoring_Viticulture!M:M,MATCH(cBassinViti,Scoring_Viticulture!J:J,0))),""),""),"")</f>
        <v/>
      </c>
      <c r="Q85" s="917"/>
      <c r="Y85" s="20"/>
      <c r="AH85" s="798">
        <v>1</v>
      </c>
      <c r="AI85" s="303" t="s">
        <v>5155</v>
      </c>
      <c r="AJ85" s="303" t="str">
        <f>IF(OR(AND((SUM(Surfaces!$O$83,Surfaces!$O$90,Surfaces!$O$97,Surfaces!$O$105,Surfaces!$O$111,Surfaces!$O$114:$O$118,Surfaces!$O$129))&gt;0,J96&lt;&gt;""),AND(Surfaces!$O$132&gt;0,L96&lt;&gt;"")),((SUM(Surfaces!$O$83,Surfaces!$O$90,Surfaces!$O$97,Surfaces!$O$105,Surfaces!$O$111,Surfaces!$O$114:$O$118,Surfaces!$O$129))*J96+Surfaces!$O$132*L96)/(SUM(Surfaces!$O$83,Surfaces!$O$90,Surfaces!$O$97,Surfaces!$O$105,Surfaces!$O$111,Surfaces!$O$114:$O$118,Surfaces!$O$129)+Surfaces!$O$132),"")</f>
        <v/>
      </c>
    </row>
    <row r="86" spans="2:39" ht="15.75" thickBot="1" x14ac:dyDescent="0.3">
      <c r="B86" s="19"/>
      <c r="Y86" s="20"/>
      <c r="AH86" s="798"/>
      <c r="AI86" s="303" t="s">
        <v>688</v>
      </c>
      <c r="AJ86" s="303" t="str">
        <f>IF(OR(AND((SUM(Surfaces!$O$83,Surfaces!$O$90,Surfaces!$O$97,Surfaces!$O$105,Surfaces!$O$111,Surfaces!$O$114:$O$118,Surfaces!$O$129))&gt;0,J97&lt;&gt;""),AND(Surfaces!$O$132&gt;0,L97&lt;&gt;"")),((SUM(Surfaces!$O$83,Surfaces!$O$90,Surfaces!$O$97,Surfaces!$O$105,Surfaces!$O$111,Surfaces!$O$114:$O$118,Surfaces!$O$129))*J97+Surfaces!$O$132*L97)/(SUM(Surfaces!$O$83,Surfaces!$O$90,Surfaces!$O$97,Surfaces!$O$105,Surfaces!$O$111,Surfaces!$O$114:$O$118,Surfaces!$O$129)+Surfaces!$O$132),"")</f>
        <v/>
      </c>
    </row>
    <row r="87" spans="2:39" x14ac:dyDescent="0.25">
      <c r="B87" s="19"/>
      <c r="C87" s="887" t="s">
        <v>308</v>
      </c>
      <c r="D87" s="888"/>
      <c r="E87" s="888"/>
      <c r="F87" s="888"/>
      <c r="G87" s="888"/>
      <c r="H87" s="888"/>
      <c r="I87" s="888"/>
      <c r="J87" s="867" t="s">
        <v>294</v>
      </c>
      <c r="K87" s="867"/>
      <c r="L87" s="867" t="s">
        <v>293</v>
      </c>
      <c r="M87" s="867"/>
      <c r="N87" s="867" t="s">
        <v>387</v>
      </c>
      <c r="O87" s="867"/>
      <c r="P87" s="867" t="s">
        <v>892</v>
      </c>
      <c r="Q87" s="876"/>
      <c r="Y87" s="20"/>
      <c r="AH87" s="798">
        <v>2</v>
      </c>
      <c r="AI87" s="573" t="s">
        <v>5155</v>
      </c>
      <c r="AJ87" s="303" t="str">
        <f>IF(OR(AND((SUM(Surfaces!$P$83,Surfaces!$P$90,Surfaces!$P$97,Surfaces!$P$105,Surfaces!$P$111,Surfaces!$P$114:$P$118,Surfaces!$P$129))&gt;0,J98&lt;&gt;""),AND(Surfaces!$P$132&gt;0,L98&lt;&gt;"")),((SUM(Surfaces!$P$83,Surfaces!$P$90,Surfaces!$P$97,Surfaces!$P$105,Surfaces!$P$111,Surfaces!$P$114:$P$118,Surfaces!$P$129))*J98+Surfaces!$P$132*L98)/(SUM(Surfaces!$P$83,Surfaces!$P$90,Surfaces!$P$97,Surfaces!$P$105,Surfaces!$P$111,Surfaces!$P$114:$P$118,Surfaces!$P$129)+Surfaces!$P$132),"")</f>
        <v/>
      </c>
    </row>
    <row r="88" spans="2:39" x14ac:dyDescent="0.25">
      <c r="B88" s="19"/>
      <c r="C88" s="863" t="s">
        <v>301</v>
      </c>
      <c r="D88" s="864"/>
      <c r="E88" s="864"/>
      <c r="F88" s="864"/>
      <c r="G88" s="864"/>
      <c r="H88" s="864"/>
      <c r="I88" s="864"/>
      <c r="J88" s="854" t="str">
        <f>IFERROR(IF($V$74=1,AJ76,IF($V$74=2,AVERAGE(AJ76,AJ78),IF($V$74=3,AVERAGE(AJ76,AJ78,AJ80),""))),"")</f>
        <v/>
      </c>
      <c r="K88" s="854"/>
      <c r="L88" s="854" t="str">
        <f>IFERROR(IF($V$74=1,AK76,IF($V$74=2,AVERAGE(AK76,AK78),IF($V$74=3,AVERAGE(AK76,AK78,AK80),""))),"")</f>
        <v/>
      </c>
      <c r="M88" s="854"/>
      <c r="N88" s="854" t="str">
        <f>IFERROR(IF(AVERAGE(Scoring_Arboriculture!S5:V282)&lt;&gt;"",IF($V$74=1,AL76,IF($V$74=2,AVERAGE(AL76,AL78),IF($V$74=3,AVERAGE(AL76,AL78,AL80),""))),""),"")</f>
        <v/>
      </c>
      <c r="O88" s="854"/>
      <c r="P88" s="854" t="str">
        <f>IFERROR(IF(AVERAGE(Scoring_Arboriculture!S5:V282)&lt;&gt;"",IF($V$74=1,AM76,IF($V$74=2,AVERAGE(AM76,AM78),IF($V$74=3,AVERAGE(AM76,AM78,AM80),""))),""),"")</f>
        <v/>
      </c>
      <c r="Q88" s="855"/>
      <c r="T88" s="129"/>
      <c r="Y88" s="20"/>
      <c r="AH88" s="798"/>
      <c r="AI88" s="573" t="s">
        <v>688</v>
      </c>
      <c r="AJ88" s="303" t="str">
        <f>IF(OR(AND((SUM(Surfaces!$P$83,Surfaces!$P$90,Surfaces!$P$97,Surfaces!$P$105,Surfaces!$P$111,Surfaces!$P$114:$P$118,Surfaces!$P$129))&gt;0,J99&lt;&gt;""),AND(Surfaces!$P$132&gt;0,L99&lt;&gt;"")),((SUM(Surfaces!$P$83,Surfaces!$P$90,Surfaces!$P$97,Surfaces!$P$105,Surfaces!$P$111,Surfaces!$P$114:$P$118,Surfaces!$P$129))*J99+Surfaces!$P$132*L99)/(SUM(Surfaces!$P$83,Surfaces!$P$90,Surfaces!$P$97,Surfaces!$P$105,Surfaces!$P$111,Surfaces!$P$114:$P$118,Surfaces!$P$129)+Surfaces!$P$132),"")</f>
        <v/>
      </c>
    </row>
    <row r="89" spans="2:39" ht="15.75" thickBot="1" x14ac:dyDescent="0.3">
      <c r="B89" s="19"/>
      <c r="C89" s="865" t="s">
        <v>300</v>
      </c>
      <c r="D89" s="866"/>
      <c r="E89" s="866"/>
      <c r="F89" s="866"/>
      <c r="G89" s="866"/>
      <c r="H89" s="866"/>
      <c r="I89" s="866"/>
      <c r="J89" s="891" t="str">
        <f>IFERROR(IF($V$74=1,AJ77,IF($V$74=2,AVERAGE(AJ77,AJ79),IF($V$74=3,AVERAGE(AJ77,AJ79,AJ81),""))),"")</f>
        <v/>
      </c>
      <c r="K89" s="891"/>
      <c r="L89" s="891" t="str">
        <f>IFERROR(IF($V$74=1,AK77,IF($V$74=2,AVERAGE(AK77,AK79),IF($V$74=3,AVERAGE(AK77,AK79,AK81),""))),"")</f>
        <v/>
      </c>
      <c r="M89" s="891"/>
      <c r="N89" s="891" t="str">
        <f>IFERROR(IF(AVERAGE(Scoring_Arboriculture!S5:V282)&lt;&gt;"",IF($V$74=1,AL77,IF($V$74=2,AVERAGE(AL77,AL79),IF($V$74=3,AVERAGE(AL77,AL79,AL81),""))),""),"")</f>
        <v/>
      </c>
      <c r="O89" s="891"/>
      <c r="P89" s="891" t="str">
        <f>IFERROR(IF(AVERAGE(Scoring_Arboriculture!S5:V282)&lt;&gt;"",IF($V$74=1,AM77,IF($V$74=2,AVERAGE(AM77,AM79),IF($V$74=3,AVERAGE(AM77,AM79,AM81),""))),""),"")</f>
        <v/>
      </c>
      <c r="Q89" s="892"/>
      <c r="Y89" s="20"/>
      <c r="AH89" s="798">
        <v>3</v>
      </c>
      <c r="AI89" s="573" t="s">
        <v>5155</v>
      </c>
      <c r="AJ89" s="303" t="str">
        <f>IF(OR(AND((SUM(Surfaces!$Q$83,Surfaces!$Q$90,Surfaces!$Q$97,Surfaces!$Q$105,Surfaces!$Q$111,Surfaces!$Q$114:$Q$118,Surfaces!$Q$129))&gt;0,J100&lt;&gt;""),AND(Surfaces!$Q$132&gt;0,L100&lt;&gt;"")),((SUM(Surfaces!$Q$83,Surfaces!$Q$90,Surfaces!$Q$97,Surfaces!$Q$105,Surfaces!$Q$111,Surfaces!$Q$114:$Q$118,Surfaces!$Q$129))*J100+Surfaces!$Q$132*L100)/(SUM(Surfaces!$Q$83,Surfaces!$Q$90,Surfaces!$Q$97,Surfaces!$Q$105,Surfaces!$Q$111,Surfaces!$Q$114:$Q$118,Surfaces!$Q$129)+Surfaces!$Q$132),"")</f>
        <v/>
      </c>
    </row>
    <row r="90" spans="2:39" x14ac:dyDescent="0.25">
      <c r="B90" s="19"/>
      <c r="Y90" s="20"/>
      <c r="AH90" s="798"/>
      <c r="AI90" s="573" t="s">
        <v>688</v>
      </c>
      <c r="AJ90" s="303" t="str">
        <f>IF(OR(AND((SUM(Surfaces!$Q$83,Surfaces!$Q$90,Surfaces!$Q$97,Surfaces!$Q$105,Surfaces!$Q$111,Surfaces!$Q$114:$Q$118,Surfaces!$Q$129))&gt;0,J101&lt;&gt;""),AND(Surfaces!$Q$132&gt;0,L101&lt;&gt;"")),((SUM(Surfaces!$Q$83,Surfaces!$Q$90,Surfaces!$Q$97,Surfaces!$Q$105,Surfaces!$Q$111,Surfaces!$Q$114:$Q$118,Surfaces!$Q$129))*J101+Surfaces!$Q$132*L101)/(SUM(Surfaces!$Q$83,Surfaces!$Q$90,Surfaces!$Q$97,Surfaces!$Q$105,Surfaces!$Q$111,Surfaces!$Q$114:$Q$118,Surfaces!$Q$129)+Surfaces!$Q$132),"")</f>
        <v/>
      </c>
    </row>
    <row r="91" spans="2:39" x14ac:dyDescent="0.25">
      <c r="B91" s="19"/>
      <c r="C91" s="52"/>
      <c r="D91" s="52"/>
      <c r="E91" s="52"/>
      <c r="F91" s="52"/>
      <c r="G91" s="52"/>
      <c r="H91" s="52"/>
      <c r="I91" s="52"/>
      <c r="J91" s="52"/>
      <c r="K91" s="52"/>
      <c r="L91" s="52"/>
      <c r="M91" s="52"/>
      <c r="N91" s="52"/>
      <c r="O91" s="52"/>
      <c r="P91" s="52"/>
      <c r="Q91" s="52"/>
      <c r="R91" s="52"/>
      <c r="S91" s="52"/>
      <c r="T91" s="52"/>
      <c r="U91" s="52"/>
      <c r="V91" s="52"/>
      <c r="W91" s="52"/>
      <c r="X91" s="52"/>
      <c r="Y91" s="20"/>
      <c r="AI91" s="36"/>
      <c r="AJ91" s="120"/>
    </row>
    <row r="92" spans="2:39" x14ac:dyDescent="0.25">
      <c r="B92" s="19"/>
      <c r="C92" s="42" t="s">
        <v>305</v>
      </c>
      <c r="Y92" s="20"/>
      <c r="AI92" s="36"/>
      <c r="AJ92" s="120"/>
    </row>
    <row r="93" spans="2:39" x14ac:dyDescent="0.25">
      <c r="B93" s="19"/>
      <c r="C93" s="65" t="s">
        <v>5217</v>
      </c>
      <c r="Y93" s="20"/>
      <c r="AI93" s="36"/>
      <c r="AJ93" s="120"/>
    </row>
    <row r="94" spans="2:39" ht="15.75" thickBot="1" x14ac:dyDescent="0.3">
      <c r="B94" s="19"/>
      <c r="C94" s="143" t="s">
        <v>5219</v>
      </c>
      <c r="Y94" s="20"/>
      <c r="AI94" s="36"/>
      <c r="AJ94" s="120"/>
    </row>
    <row r="95" spans="2:39" ht="35.25" customHeight="1" x14ac:dyDescent="0.25">
      <c r="B95" s="19"/>
      <c r="C95" s="878" t="s">
        <v>307</v>
      </c>
      <c r="D95" s="879"/>
      <c r="E95" s="879"/>
      <c r="F95" s="879"/>
      <c r="G95" s="879"/>
      <c r="H95" s="879"/>
      <c r="I95" s="880"/>
      <c r="J95" s="794" t="s">
        <v>332</v>
      </c>
      <c r="K95" s="795"/>
      <c r="L95" s="877" t="s">
        <v>5170</v>
      </c>
      <c r="M95" s="795"/>
      <c r="N95" s="794" t="s">
        <v>306</v>
      </c>
      <c r="O95" s="795"/>
      <c r="P95" s="794" t="s">
        <v>308</v>
      </c>
      <c r="Q95" s="803"/>
      <c r="V95" s="419"/>
      <c r="W95" s="419"/>
      <c r="Y95" s="20"/>
      <c r="AI95" s="36"/>
    </row>
    <row r="96" spans="2:39" ht="15" customHeight="1" x14ac:dyDescent="0.25">
      <c r="B96" s="19"/>
      <c r="C96" s="885" t="s">
        <v>5165</v>
      </c>
      <c r="D96" s="886"/>
      <c r="E96" s="886"/>
      <c r="F96" s="886"/>
      <c r="G96" s="886"/>
      <c r="H96" s="883" t="s">
        <v>303</v>
      </c>
      <c r="I96" s="884"/>
      <c r="J96" s="789"/>
      <c r="K96" s="790"/>
      <c r="L96" s="789"/>
      <c r="M96" s="790"/>
      <c r="N96" s="789"/>
      <c r="O96" s="790"/>
      <c r="P96" s="789"/>
      <c r="Q96" s="804"/>
      <c r="V96" s="420"/>
      <c r="W96" s="420"/>
      <c r="Y96" s="20"/>
    </row>
    <row r="97" spans="2:25" ht="15.75" thickBot="1" x14ac:dyDescent="0.3">
      <c r="B97" s="19"/>
      <c r="C97" s="811"/>
      <c r="D97" s="812"/>
      <c r="E97" s="812"/>
      <c r="F97" s="812"/>
      <c r="G97" s="812"/>
      <c r="H97" s="808" t="s">
        <v>304</v>
      </c>
      <c r="I97" s="809"/>
      <c r="J97" s="791"/>
      <c r="K97" s="792"/>
      <c r="L97" s="791"/>
      <c r="M97" s="792"/>
      <c r="N97" s="791"/>
      <c r="O97" s="792"/>
      <c r="P97" s="791"/>
      <c r="Q97" s="805"/>
      <c r="V97" s="420"/>
      <c r="W97" s="420"/>
      <c r="Y97" s="20"/>
    </row>
    <row r="98" spans="2:25" ht="15" customHeight="1" x14ac:dyDescent="0.25">
      <c r="B98" s="19"/>
      <c r="C98" s="810" t="s">
        <v>5166</v>
      </c>
      <c r="D98" s="761"/>
      <c r="E98" s="761"/>
      <c r="F98" s="761"/>
      <c r="G98" s="761"/>
      <c r="H98" s="806" t="s">
        <v>303</v>
      </c>
      <c r="I98" s="807"/>
      <c r="J98" s="796"/>
      <c r="K98" s="797"/>
      <c r="L98" s="796"/>
      <c r="M98" s="797"/>
      <c r="N98" s="796"/>
      <c r="O98" s="797"/>
      <c r="P98" s="796"/>
      <c r="Q98" s="821"/>
      <c r="R98" s="799" t="str">
        <f>IF(V74=2,"Choix d'un calcul de l'IFT sur 2 ans : saisir les IFT de la campagne N-1","")</f>
        <v/>
      </c>
      <c r="S98" s="800"/>
      <c r="T98" s="800"/>
      <c r="U98" s="800"/>
      <c r="V98" s="800"/>
      <c r="W98" s="800"/>
      <c r="X98" s="800"/>
      <c r="Y98" s="20"/>
    </row>
    <row r="99" spans="2:25" ht="15.75" thickBot="1" x14ac:dyDescent="0.3">
      <c r="B99" s="19"/>
      <c r="C99" s="811"/>
      <c r="D99" s="812"/>
      <c r="E99" s="812"/>
      <c r="F99" s="812"/>
      <c r="G99" s="812"/>
      <c r="H99" s="808" t="s">
        <v>304</v>
      </c>
      <c r="I99" s="809"/>
      <c r="J99" s="791"/>
      <c r="K99" s="792"/>
      <c r="L99" s="791"/>
      <c r="M99" s="792"/>
      <c r="N99" s="791"/>
      <c r="O99" s="792"/>
      <c r="P99" s="791"/>
      <c r="Q99" s="805"/>
      <c r="R99" s="799"/>
      <c r="S99" s="800"/>
      <c r="T99" s="800"/>
      <c r="U99" s="800"/>
      <c r="V99" s="800"/>
      <c r="W99" s="800"/>
      <c r="X99" s="800"/>
      <c r="Y99" s="20"/>
    </row>
    <row r="100" spans="2:25" ht="15" customHeight="1" x14ac:dyDescent="0.25">
      <c r="B100" s="19"/>
      <c r="C100" s="810" t="s">
        <v>5167</v>
      </c>
      <c r="D100" s="761"/>
      <c r="E100" s="761"/>
      <c r="F100" s="761"/>
      <c r="G100" s="761"/>
      <c r="H100" s="806" t="s">
        <v>303</v>
      </c>
      <c r="I100" s="807"/>
      <c r="J100" s="796"/>
      <c r="K100" s="797"/>
      <c r="L100" s="796"/>
      <c r="M100" s="797"/>
      <c r="N100" s="796"/>
      <c r="O100" s="797"/>
      <c r="P100" s="796"/>
      <c r="Q100" s="821"/>
      <c r="R100" s="799" t="str">
        <f>IF(V74=3,"Choix d'un calcul de l'IFT sur 3 ans : saisir les IFT des campagnes N-1 et N-2","")</f>
        <v/>
      </c>
      <c r="S100" s="800"/>
      <c r="T100" s="800"/>
      <c r="U100" s="800"/>
      <c r="V100" s="800"/>
      <c r="W100" s="800"/>
      <c r="X100" s="800"/>
      <c r="Y100" s="801"/>
    </row>
    <row r="101" spans="2:25" ht="15.75" thickBot="1" x14ac:dyDescent="0.3">
      <c r="B101" s="19"/>
      <c r="C101" s="810"/>
      <c r="D101" s="761"/>
      <c r="E101" s="761"/>
      <c r="F101" s="761"/>
      <c r="G101" s="761"/>
      <c r="H101" s="777" t="s">
        <v>304</v>
      </c>
      <c r="I101" s="778"/>
      <c r="J101" s="787"/>
      <c r="K101" s="788"/>
      <c r="L101" s="787"/>
      <c r="M101" s="788"/>
      <c r="N101" s="787"/>
      <c r="O101" s="788"/>
      <c r="P101" s="787"/>
      <c r="Q101" s="882"/>
      <c r="R101" s="799"/>
      <c r="S101" s="800"/>
      <c r="T101" s="800"/>
      <c r="U101" s="800"/>
      <c r="V101" s="800"/>
      <c r="W101" s="800"/>
      <c r="X101" s="800"/>
      <c r="Y101" s="801"/>
    </row>
    <row r="102" spans="2:25" ht="15.75" thickTop="1" x14ac:dyDescent="0.25">
      <c r="B102" s="19"/>
      <c r="C102" s="769" t="s">
        <v>5177</v>
      </c>
      <c r="D102" s="770"/>
      <c r="E102" s="770"/>
      <c r="F102" s="770"/>
      <c r="G102" s="771"/>
      <c r="H102" s="775" t="s">
        <v>303</v>
      </c>
      <c r="I102" s="776"/>
      <c r="J102" s="779" t="str">
        <f>IFERROR(IF($V$74=1,AJ85,IF($V$74=2,AVERAGE(AJ85,AJ87),IF($V$74=3,AVERAGE(AJ85,AJ87,AJ89),""))),"")</f>
        <v/>
      </c>
      <c r="K102" s="779"/>
      <c r="L102" s="779"/>
      <c r="M102" s="780"/>
      <c r="N102" s="783" t="str">
        <f>IFERROR(IF($V$74=1,AVERAGE(N96),IF($V$74=2,AVERAGE(N96,N98),IF($V$74=3,AVERAGE(N96,N98,N100),""))),"")</f>
        <v/>
      </c>
      <c r="O102" s="783"/>
      <c r="P102" s="783" t="str">
        <f>IFERROR(IF($V$74=1,AVERAGE(P96),IF($V$74=2,AVERAGE(P96,P98),IF($V$74=3,AVERAGE(P96,P98,P100),""))),"")</f>
        <v/>
      </c>
      <c r="Q102" s="784"/>
      <c r="V102" s="420"/>
      <c r="W102" s="420"/>
      <c r="Y102" s="20"/>
    </row>
    <row r="103" spans="2:25" ht="15.75" thickBot="1" x14ac:dyDescent="0.3">
      <c r="B103" s="19"/>
      <c r="C103" s="772"/>
      <c r="D103" s="773"/>
      <c r="E103" s="773"/>
      <c r="F103" s="773"/>
      <c r="G103" s="774"/>
      <c r="H103" s="777" t="s">
        <v>304</v>
      </c>
      <c r="I103" s="778"/>
      <c r="J103" s="781" t="str">
        <f>IFERROR(IF($V$74=1,AJ86,IF($V$74=2,AVERAGE(AJ86,AJ88),IF($V$74=3,AVERAGE(AJ86,AJ88,AJ90),""))),"")</f>
        <v/>
      </c>
      <c r="K103" s="782"/>
      <c r="L103" s="782"/>
      <c r="M103" s="782"/>
      <c r="N103" s="782" t="str">
        <f>IFERROR(IF($V$74=1,AVERAGE(N97),IF($V$74=2,AVERAGE(N97,N99),IF($V$74=3,AVERAGE(N97,N99,N101),""))),"")</f>
        <v/>
      </c>
      <c r="O103" s="782"/>
      <c r="P103" s="785" t="str">
        <f>IFERROR(IF($V$74=1,AVERAGE(P97),IF($V$74=2,AVERAGE(P97,P99),IF($V$74=3,AVERAGE(P97,P99,P101),""))),"")</f>
        <v/>
      </c>
      <c r="Q103" s="786"/>
      <c r="R103" s="197"/>
      <c r="V103" s="420"/>
      <c r="W103" s="420"/>
      <c r="Y103" s="20"/>
    </row>
    <row r="104" spans="2:25" ht="16.5" thickTop="1" thickBot="1" x14ac:dyDescent="0.3">
      <c r="B104" s="19"/>
      <c r="I104" s="86"/>
      <c r="P104" s="574"/>
      <c r="Q104" s="574"/>
      <c r="Y104" s="20"/>
    </row>
    <row r="105" spans="2:25" ht="30.75" customHeight="1" x14ac:dyDescent="0.25">
      <c r="B105" s="19"/>
      <c r="C105" s="412"/>
      <c r="D105" s="413"/>
      <c r="E105" s="413"/>
      <c r="F105" s="413"/>
      <c r="G105" s="414"/>
      <c r="H105" s="867" t="s">
        <v>5164</v>
      </c>
      <c r="I105" s="867"/>
      <c r="J105" s="899" t="s">
        <v>703</v>
      </c>
      <c r="K105" s="900"/>
      <c r="L105" s="907"/>
      <c r="M105" s="906" t="s">
        <v>306</v>
      </c>
      <c r="N105" s="906"/>
      <c r="O105" s="899" t="s">
        <v>703</v>
      </c>
      <c r="P105" s="900"/>
      <c r="Q105" s="907"/>
      <c r="R105" s="795" t="s">
        <v>308</v>
      </c>
      <c r="S105" s="906"/>
      <c r="T105" s="899" t="s">
        <v>703</v>
      </c>
      <c r="U105" s="900"/>
      <c r="V105" s="901"/>
      <c r="Y105" s="20"/>
    </row>
    <row r="106" spans="2:25" ht="23.25" customHeight="1" x14ac:dyDescent="0.25">
      <c r="B106" s="19"/>
      <c r="C106" s="415" t="s">
        <v>699</v>
      </c>
      <c r="H106" s="824" t="str">
        <f>IF(AND(J102&lt;&gt;"",J80&lt;&gt;""),IF(J102&lt;=L80,Paramètres!AP$12,IF(J102&lt;L80+((J80-L80)/4),Paramètres!AP$11,IF(J102&lt;L80+2*((J80-L80)/4),Paramètres!AP$10,IF(J102&lt;L80+3*((J80-L80)/4),Paramètres!AP$9,IF(J102&lt;=J80,Paramètres!$AP$8,IF(J102&gt;J80,Paramètres!AP$7,"")))))),"")</f>
        <v/>
      </c>
      <c r="I106" s="825"/>
      <c r="J106" s="908" t="str">
        <f>IF(Paramètres!AL5="","Il n'existe pour le moment qu'une seule échelle de notation.","L'utilisation de la note déterminée avec les anciennes valeurs est acceptée uniquement pour les exploitations déjà certifiées au moment de la mise à jour jusqu'à la fin de la campagne " &amp; Paramètres!AM5 &amp; ". 
La mise à jour de ces valeurs a été réalisée le " &amp; Paramètres!AL5 &amp; ".")</f>
        <v>L'utilisation de la note déterminée avec les anciennes valeurs est acceptée uniquement pour les exploitations déjà certifiées au moment de la mise à jour jusqu'à la fin de la campagne 2025. 
La mise à jour de ces valeurs a été réalisée le 12 juillet 2024.</v>
      </c>
      <c r="K106" s="909"/>
      <c r="L106" s="910"/>
      <c r="M106" s="856" t="str">
        <f>IF(AND(N102&lt;&gt;"",J84&lt;&gt;""),IF(N102&lt;=L84,Paramètres!AR$12,IF(N102&lt;L84+((J84-L84)/4),Paramètres!AR$11,IF(N102&lt;L84+2*((J84-L84)/4),Paramètres!AR$10,IF(N102&lt;L84+3*((J84-L84)/4),Paramètres!AR$9,IF(N102&lt;=J84,Paramètres!AR$8,IF(N102&gt;J84,Paramètres!AR$7,"")))))),"")</f>
        <v/>
      </c>
      <c r="N106" s="825"/>
      <c r="O106" s="908" t="str">
        <f>IF(Paramètres!AL6="","Il n'existe pour le moment qu'une seule échelle de notation.","L'utilisation de la note déterminée avec les anciennes valeurs est acceptée uniquement pour les exploitations déjà certifiées au moment de la mise à jour jusqu'à la fin de la campagne " &amp; Paramètres!AM6 &amp; ". La mise à jour de ces valeurs a été réalisée le  " &amp; Paramètres!AL6 &amp; ".")</f>
        <v>Il n'existe pour le moment qu'une seule échelle de notation.</v>
      </c>
      <c r="P106" s="909"/>
      <c r="Q106" s="910"/>
      <c r="R106" s="856" t="str">
        <f>IF(AND(P102&lt;&gt;"",J88&lt;&gt;""),IF(P102&lt;=L88,Paramètres!AT$12,IF(P102&lt;L88+((J88-L88)/4),Paramètres!AT$11,IF(P102&lt;L88+2*((J88-L88)/4),Paramètres!AT$10,IF(P102&lt;L88+3*((J88-L88)/4),Paramètres!AT$9,IF(P102&lt;=J88,Paramètres!AT$8,IF(P102&gt;J88,Paramètres!AT$7,"")))))),"")</f>
        <v/>
      </c>
      <c r="S106" s="825"/>
      <c r="T106" s="929" t="str">
        <f>IF(Paramètres!AL7="","Il n'existe pour le moment qu'une seule échelle de notation.","L'utilisation de la note déterminée avec les anciennes valeurs est acceptée uniquement pour les exploitations déjà certifiées au moment de la mise à jour jusqu'à la fin de la campagne " &amp; Paramètres!AM7 &amp; ". La mise à jour de ces valeurs a été réalisée le  " &amp; Paramètres!AL7 &amp; ".")</f>
        <v>Il n'existe pour le moment qu'une seule échelle de notation.</v>
      </c>
      <c r="U106" s="930"/>
      <c r="V106" s="931"/>
      <c r="Y106" s="20"/>
    </row>
    <row r="107" spans="2:25" ht="23.25" customHeight="1" x14ac:dyDescent="0.25">
      <c r="B107" s="19"/>
      <c r="C107" s="416" t="s">
        <v>700</v>
      </c>
      <c r="D107" s="48"/>
      <c r="E107" s="48"/>
      <c r="F107" s="48"/>
      <c r="G107" s="48"/>
      <c r="H107" s="824" t="str">
        <f>IF(AND(J103&lt;&gt;"",J81&lt;&gt;""),IF(J103&lt;=L81,Paramètres!AP$12,IF(J103&lt;L81+((J81-L81)/4),Paramètres!AP$11,IF(J103&lt;L81+2*((J81-L81)/4),Paramètres!AP$10,IF(J103&lt;L81+3*((J81-L81)/4),Paramètres!AP$9,IF(J103&lt;=J81,Paramètres!$AP$8,IF(J103&gt;J81,Paramètres!AP$7,"")))))),"")</f>
        <v/>
      </c>
      <c r="I107" s="825"/>
      <c r="J107" s="911"/>
      <c r="K107" s="912"/>
      <c r="L107" s="913"/>
      <c r="M107" s="856" t="str">
        <f>IF(AND(N103&lt;&gt;"",J85&lt;&gt;""),IF(N103&lt;=L85,Paramètres!AS$12,IF(N103&lt;L85+((J85-L85)/4),Paramètres!AS$11,IF(N103&lt;L85+2*((J85-L85)/4),Paramètres!AS$10,IF(N103&lt;L85+3*((J85-L85)/4),Paramètres!AS$9,IF(N103&lt;=J85,Paramètres!AS$8,IF(N103&gt;J85,Paramètres!AS$7,"")))))),"")</f>
        <v/>
      </c>
      <c r="N107" s="825"/>
      <c r="O107" s="911"/>
      <c r="P107" s="912"/>
      <c r="Q107" s="913"/>
      <c r="R107" s="856" t="str">
        <f>IF(AND(P103&lt;&gt;"",J89&lt;&gt;""),IF(P103&lt;=L89,Paramètres!AU$12,IF(P103&lt;L89+((J89-L89)/4),Paramètres!AU$11,IF(P103&lt;L89+2*((J89-L89)/4),Paramètres!AU$10,IF(P103&lt;L89+3*((J89-L89)/4),Paramètres!AU$9,IF(P103&lt;=J89,Paramètres!AU$8,IF(P103&gt;J89,Paramètres!AU$7,"")))))),"")</f>
        <v/>
      </c>
      <c r="S107" s="825"/>
      <c r="T107" s="932"/>
      <c r="U107" s="933"/>
      <c r="V107" s="934"/>
      <c r="Y107" s="20"/>
    </row>
    <row r="108" spans="2:25" ht="23.25" customHeight="1" x14ac:dyDescent="0.25">
      <c r="B108" s="19"/>
      <c r="C108" s="417" t="s">
        <v>701</v>
      </c>
      <c r="D108" s="47"/>
      <c r="E108" s="47"/>
      <c r="F108" s="47"/>
      <c r="G108" s="47"/>
      <c r="H108" s="927" t="str">
        <f>IF(AND(J102&lt;&gt;"",N80&lt;&gt;""),IF(J102&lt;=P80,Paramètres!AP$12,IF(J102&lt;P80+((N80-P80)/4),Paramètres!AP$11,IF(J102&lt;P80+2*((N80-P80)/4),Paramètres!AP$10,IF(J102&lt;P80+3*((N80-P80)/4),Paramètres!AP$9,IF(J102&lt;=N80,Paramètres!$AP$8,IF(J102&gt;N80,Paramètres!AP$7,"")))))),"")</f>
        <v/>
      </c>
      <c r="I108" s="928"/>
      <c r="J108" s="911"/>
      <c r="K108" s="912"/>
      <c r="L108" s="913"/>
      <c r="M108" s="857" t="str">
        <f>IF(AND(N102&lt;&gt;"",N84&lt;&gt;""),IF(N102&lt;=P84,Paramètres!AR$12,IF(N102&lt;P84+((N84-P84)/4),Paramètres!AR$11,IF(N102&lt;P84+2*((N84-P84)/4),Paramètres!AR$10,IF(N102&lt;P84+3*((N84-P84)/4),Paramètres!AR$9,IF(N102&lt;=N84,Paramètres!AR$8,IF(N102&gt;N84,Paramètres!AR$7,"")))))),"")</f>
        <v/>
      </c>
      <c r="N108" s="858"/>
      <c r="O108" s="911"/>
      <c r="P108" s="912"/>
      <c r="Q108" s="913"/>
      <c r="R108" s="857" t="str">
        <f>IF(AND(P102&lt;&gt;"",N88&lt;&gt;""),IF(P102&lt;=P88,Paramètres!AT$12,IF(P102&lt;P88+((N88-P88)/4),Paramètres!AT$11,IF(P102&lt;P88+2*((N88-P88)/4),Paramètres!AT$10,IF(P102&lt;P88+3*((N88-P88)/4),Paramètres!AT$9,IF(P102&lt;=N88,Paramètres!AT$8,IF(P102&gt;N88,Paramètres!AT$7,"")))))),"")</f>
        <v/>
      </c>
      <c r="S108" s="858"/>
      <c r="T108" s="932"/>
      <c r="U108" s="933"/>
      <c r="V108" s="934"/>
      <c r="Y108" s="20"/>
    </row>
    <row r="109" spans="2:25" ht="22.5" customHeight="1" thickBot="1" x14ac:dyDescent="0.3">
      <c r="B109" s="19"/>
      <c r="C109" s="418" t="s">
        <v>702</v>
      </c>
      <c r="D109" s="86"/>
      <c r="E109" s="86"/>
      <c r="F109" s="86"/>
      <c r="G109" s="86"/>
      <c r="H109" s="902" t="str">
        <f>IF(AND(J103&lt;&gt;"",N81&lt;&gt;""),IF(J103&lt;=P81,Paramètres!AP$12,IF(J103&lt;P81+((N81-P81)/4),Paramètres!AP$11,IF(J103&lt;P81+2*((N81-P81)/4),Paramètres!AP$10,IF(J103&lt;P81+3*((N81-P81)/4),Paramètres!AP$9,IF(J103&lt;=N81,Paramètres!$AP$8,IF(J103&gt;N81,Paramètres!AP$7,"")))))),"")</f>
        <v/>
      </c>
      <c r="I109" s="903"/>
      <c r="J109" s="914"/>
      <c r="K109" s="915"/>
      <c r="L109" s="916"/>
      <c r="M109" s="904" t="str">
        <f>IF(AND(N103&lt;&gt;"",N85&lt;&gt;""),IF(N103&lt;=P85,Paramètres!AS$12,IF(N103&lt;P85+((N85-P85)/4),Paramètres!AS$11,IF(N103&lt;P85+2*((N85-P85)/4),Paramètres!AS$10,IF(N103&lt;P85+3*((N85-P85)/4),Paramètres!AS$9,IF(N103&lt;=N85,Paramètres!AS$8,IF(N103&gt;N85,Paramètres!AS$7,"")))))),"")</f>
        <v/>
      </c>
      <c r="N109" s="905"/>
      <c r="O109" s="914"/>
      <c r="P109" s="915"/>
      <c r="Q109" s="916"/>
      <c r="R109" s="904" t="str">
        <f>IF(AND(P103&lt;&gt;"",N89&lt;&gt;""),IF(P103&lt;=P89,Paramètres!AU$12,IF(P103&lt;P89+((N89-P89)/4),Paramètres!AU$11,IF(P103&lt;P89+2*((N89-P89)/4),Paramètres!AU$10,IF(P103&lt;P89+3*((N89-P89)/4),Paramètres!AU$9,IF(P103&lt;=N89,Paramètres!AU$8,IF(P103&gt;N89,Paramètres!AU$7,"")))))),"")</f>
        <v/>
      </c>
      <c r="S109" s="905"/>
      <c r="T109" s="935"/>
      <c r="U109" s="936"/>
      <c r="V109" s="937"/>
      <c r="Y109" s="20"/>
    </row>
    <row r="110" spans="2:25" x14ac:dyDescent="0.25">
      <c r="B110" s="19"/>
      <c r="Y110" s="20"/>
    </row>
    <row r="111" spans="2:25" x14ac:dyDescent="0.25">
      <c r="B111" s="19"/>
      <c r="C111" s="403" t="s">
        <v>2523</v>
      </c>
      <c r="D111" s="52"/>
      <c r="E111" s="52"/>
      <c r="F111" s="52"/>
      <c r="G111" s="52"/>
      <c r="H111" s="52"/>
      <c r="I111" s="52"/>
      <c r="J111" s="52"/>
      <c r="K111" s="52"/>
      <c r="L111" s="52"/>
      <c r="M111" s="52"/>
      <c r="N111" s="52"/>
      <c r="O111" s="52"/>
      <c r="P111" s="52"/>
      <c r="Q111" s="52"/>
      <c r="R111" s="52"/>
      <c r="S111" s="52"/>
      <c r="T111" s="53"/>
      <c r="Y111" s="20"/>
    </row>
    <row r="112" spans="2:25" x14ac:dyDescent="0.25">
      <c r="B112" s="19"/>
      <c r="C112" s="62"/>
      <c r="D112" s="110" t="s">
        <v>704</v>
      </c>
      <c r="E112" s="47"/>
      <c r="F112" s="47"/>
      <c r="G112" s="47"/>
      <c r="H112" s="703"/>
      <c r="I112" s="704"/>
      <c r="J112" s="60"/>
      <c r="K112" s="47"/>
      <c r="L112" s="43"/>
      <c r="M112" s="703"/>
      <c r="N112" s="704"/>
      <c r="O112" s="60"/>
      <c r="P112" s="47"/>
      <c r="Q112" s="43"/>
      <c r="R112" s="703"/>
      <c r="S112" s="704"/>
      <c r="T112" s="55"/>
      <c r="U112" s="143"/>
      <c r="Y112" s="20"/>
    </row>
    <row r="113" spans="2:25" x14ac:dyDescent="0.25">
      <c r="B113" s="19"/>
      <c r="C113" s="57"/>
      <c r="D113" s="40"/>
      <c r="E113" s="40"/>
      <c r="F113" s="40"/>
      <c r="G113" s="40"/>
      <c r="H113" s="40"/>
      <c r="I113" s="40"/>
      <c r="J113" s="40"/>
      <c r="K113" s="172"/>
      <c r="L113" s="172"/>
      <c r="M113" s="172"/>
      <c r="N113" s="172"/>
      <c r="O113" s="40"/>
      <c r="P113" s="40"/>
      <c r="Q113" s="40"/>
      <c r="R113" s="40"/>
      <c r="S113" s="40"/>
      <c r="T113" s="58"/>
      <c r="Y113" s="20"/>
    </row>
    <row r="114" spans="2:25" x14ac:dyDescent="0.25">
      <c r="B114" s="19"/>
      <c r="Y114" s="20"/>
    </row>
    <row r="115" spans="2:25" x14ac:dyDescent="0.25">
      <c r="B115" s="19"/>
      <c r="K115" s="651" t="s">
        <v>851</v>
      </c>
      <c r="L115" s="651"/>
      <c r="M115" s="651" t="s">
        <v>239</v>
      </c>
      <c r="N115" s="651"/>
      <c r="O115" s="680" t="s">
        <v>713</v>
      </c>
      <c r="P115" s="680"/>
      <c r="Y115" s="20"/>
    </row>
    <row r="116" spans="2:25" x14ac:dyDescent="0.25">
      <c r="B116" s="19"/>
      <c r="D116" s="77" t="s">
        <v>332</v>
      </c>
      <c r="E116" s="77"/>
      <c r="F116" s="77"/>
      <c r="G116" s="77"/>
      <c r="H116" s="77"/>
      <c r="I116" s="77"/>
      <c r="J116" s="102"/>
      <c r="K116" s="739" t="str">
        <f>IFERROR(IF($V$74=1,SUM(Surfaces!O114:O118,Surfaces!O83,Surfaces!O90,Surfaces!O97,Surfaces!O105,Surfaces!O111,Surfaces!O129,Surfaces!O132),IF($V$74=2,AVERAGE(SUM(Surfaces!O114:O118,Surfaces!O83,Surfaces!O90,Surfaces!O97,Surfaces!O105,Surfaces!O111,Surfaces!O129,Surfaces!O132),SUM(Surfaces!P114:P118,Surfaces!P83,Surfaces!P90,Surfaces!P97,Surfaces!P105,Surfaces!P111,Surfaces!P129,Surfaces!P132)),IF($V$74=3,AVERAGE(SUM(Surfaces!O114:O118,Surfaces!O83,Surfaces!O90,Surfaces!O97,Surfaces!O105,Surfaces!O111,Surfaces!O129,Surfaces!O132),SUM(Surfaces!P114:P118,Surfaces!P83,Surfaces!P90,Surfaces!P97,Surfaces!P105,Surfaces!P111,Surfaces!P129,Surfaces!P132),SUM(Surfaces!Q114:Q118,Surfaces!Q83,Surfaces!Q90,Surfaces!Q97,Surfaces!Q105,Surfaces!Q111,Surfaces!Q129,Surfaces!Q132)),""))),"")</f>
        <v/>
      </c>
      <c r="L116" s="881"/>
      <c r="M116" s="839">
        <f>IFERROR(IF(cSAU= 0,0,IF(H112="Oui",SUM(H108:I109)*(K116/$K$119),SUM(H106:I107)*(K116/$K$119))),"")</f>
        <v>0</v>
      </c>
      <c r="N116" s="840"/>
      <c r="O116" s="681">
        <f>IFERROR(IF(cSAU=0,10,((Paramètres!AP5+Paramètres!AQ5)*K116)/K119),"")</f>
        <v>10</v>
      </c>
      <c r="P116" s="682"/>
      <c r="Y116" s="20"/>
    </row>
    <row r="117" spans="2:25" x14ac:dyDescent="0.25">
      <c r="B117" s="19"/>
      <c r="D117" s="78" t="s">
        <v>125</v>
      </c>
      <c r="E117" s="78"/>
      <c r="F117" s="78"/>
      <c r="G117" s="78"/>
      <c r="H117" s="78"/>
      <c r="I117" s="78"/>
      <c r="J117" s="103"/>
      <c r="K117" s="739" t="str">
        <f>IFERROR(IF($V$74=1,SUM(Surfaces!O141),IF($V$74=2,SUM(Surfaces!O141,Surfaces!P141)/2,IF($V$74=3,SUM(Surfaces!O141,Surfaces!P141,Surfaces!Q141)/3,""))),"")</f>
        <v/>
      </c>
      <c r="L117" s="881"/>
      <c r="M117" s="839">
        <f>IFERROR(IF(cSAU = 0,0,IF(M112="Oui",SUM(M108:N109)*(K117/$K$119),SUM(M106:N107)*(K117/$K$119))),"")</f>
        <v>0</v>
      </c>
      <c r="N117" s="840"/>
      <c r="O117" s="846">
        <f>IFERROR(IF(cSAU=0,10,((Paramètres!AR5+Paramètres!AS5)*K117)/K119),"")</f>
        <v>10</v>
      </c>
      <c r="P117" s="847"/>
      <c r="Y117" s="20"/>
    </row>
    <row r="118" spans="2:25" x14ac:dyDescent="0.25">
      <c r="B118" s="19"/>
      <c r="D118" s="78" t="s">
        <v>308</v>
      </c>
      <c r="E118" s="78"/>
      <c r="F118" s="78"/>
      <c r="G118" s="78"/>
      <c r="H118" s="78"/>
      <c r="I118" s="78"/>
      <c r="J118" s="103"/>
      <c r="K118" s="739" t="str">
        <f>IFERROR(IF($V$74=1,SUM(Surfaces!O144:O158),IF($V$74=2,AVERAGE(SUM(Surfaces!O144:O158),SUM(Surfaces!P144:P158)),IF($V$74=3,AVERAGE(SUM(Surfaces!O144:O158),SUM(Surfaces!P144:P158),SUM(Surfaces!Q144:Q158)),""))),"")</f>
        <v/>
      </c>
      <c r="L118" s="881"/>
      <c r="M118" s="839">
        <f>IFERROR(IF(cSAU = 0,0,IF(R112="Oui",SUM(R108:S109)*(K118/$K$119),SUM(R106:S107)*(K118/$K$119))),"")</f>
        <v>0</v>
      </c>
      <c r="N118" s="840"/>
      <c r="O118" s="846">
        <f>IFERROR(IF(cSAU=0,6,((Paramètres!AT5+Paramètres!AU5)*K118)/K119),"")</f>
        <v>6</v>
      </c>
      <c r="P118" s="847"/>
      <c r="Y118" s="20"/>
    </row>
    <row r="119" spans="2:25" x14ac:dyDescent="0.25">
      <c r="B119" s="19"/>
      <c r="D119" s="78" t="s">
        <v>298</v>
      </c>
      <c r="E119" s="78"/>
      <c r="F119" s="78"/>
      <c r="G119" s="78"/>
      <c r="H119" s="78"/>
      <c r="I119" s="78"/>
      <c r="J119" s="103"/>
      <c r="K119" s="739" t="str">
        <f>IFERROR(IF($V$74=1,SUM(Surfaces!O24),IF($V$74=2,SUM(Surfaces!O24,Surfaces!P24)/2,IF($V$74=3,SUM(Surfaces!O24,Surfaces!P24,Surfaces!Q24)/3,""))),"")</f>
        <v/>
      </c>
      <c r="L119" s="881"/>
      <c r="Y119" s="20"/>
    </row>
    <row r="120" spans="2:25" x14ac:dyDescent="0.25">
      <c r="B120" s="19"/>
      <c r="D120" s="78" t="s">
        <v>388</v>
      </c>
      <c r="E120" s="78"/>
      <c r="F120" s="78"/>
      <c r="G120" s="78"/>
      <c r="H120" s="78"/>
      <c r="I120" s="78"/>
      <c r="J120" s="103"/>
      <c r="K120" s="848">
        <f>IFERROR(SUM(K116:L118)/K119,0)</f>
        <v>0</v>
      </c>
      <c r="L120" s="849"/>
      <c r="Y120" s="20"/>
    </row>
    <row r="121" spans="2:25" x14ac:dyDescent="0.25">
      <c r="B121" s="19"/>
      <c r="D121" s="78" t="s">
        <v>416</v>
      </c>
      <c r="E121" s="78"/>
      <c r="F121" s="78"/>
      <c r="G121" s="78"/>
      <c r="H121" s="78"/>
      <c r="I121" s="78"/>
      <c r="J121" s="78"/>
      <c r="K121" s="180"/>
      <c r="L121" s="45"/>
      <c r="M121" s="833">
        <f>IF(cSAU = 0,0,IF(ISBLANK(L11),0,IF(ISBLANK(V74),0,IF(UTILISATION_CMR1="Oui",0,SUM(M116:N118)))))</f>
        <v>0</v>
      </c>
      <c r="N121" s="850"/>
      <c r="O121" s="925">
        <f>IF(cSAU=0,10,SUM(O116:P118))</f>
        <v>10</v>
      </c>
      <c r="P121" s="926"/>
      <c r="Y121" s="20"/>
    </row>
    <row r="122" spans="2:25" x14ac:dyDescent="0.25">
      <c r="B122" s="19"/>
      <c r="Y122" s="20"/>
    </row>
    <row r="123" spans="2:25" x14ac:dyDescent="0.25">
      <c r="B123" s="19"/>
      <c r="Y123" s="20"/>
    </row>
    <row r="124" spans="2:25" x14ac:dyDescent="0.25">
      <c r="B124" s="19"/>
      <c r="D124" s="70" t="s">
        <v>2506</v>
      </c>
      <c r="Y124" s="20"/>
    </row>
    <row r="125" spans="2:25" x14ac:dyDescent="0.25">
      <c r="B125" s="19"/>
      <c r="D125" s="667"/>
      <c r="E125" s="668"/>
      <c r="F125" s="668"/>
      <c r="G125" s="668"/>
      <c r="H125" s="668"/>
      <c r="I125" s="668"/>
      <c r="J125" s="668"/>
      <c r="K125" s="668"/>
      <c r="L125" s="668"/>
      <c r="M125" s="668"/>
      <c r="N125" s="668"/>
      <c r="O125" s="668"/>
      <c r="P125" s="668"/>
      <c r="Q125" s="668"/>
      <c r="R125" s="668"/>
      <c r="S125" s="668"/>
      <c r="T125" s="668"/>
      <c r="U125" s="668"/>
      <c r="V125" s="668"/>
      <c r="W125" s="668"/>
      <c r="X125" s="669"/>
      <c r="Y125" s="20"/>
    </row>
    <row r="126" spans="2:25" x14ac:dyDescent="0.25">
      <c r="B126" s="19"/>
      <c r="D126" s="670"/>
      <c r="E126" s="671"/>
      <c r="F126" s="671"/>
      <c r="G126" s="671"/>
      <c r="H126" s="671"/>
      <c r="I126" s="671"/>
      <c r="J126" s="671"/>
      <c r="K126" s="671"/>
      <c r="L126" s="671"/>
      <c r="M126" s="671"/>
      <c r="N126" s="671"/>
      <c r="O126" s="671"/>
      <c r="P126" s="671"/>
      <c r="Q126" s="671"/>
      <c r="R126" s="671"/>
      <c r="S126" s="671"/>
      <c r="T126" s="671"/>
      <c r="U126" s="671"/>
      <c r="V126" s="671"/>
      <c r="W126" s="671"/>
      <c r="X126" s="672"/>
      <c r="Y126" s="20"/>
    </row>
    <row r="127" spans="2:25" x14ac:dyDescent="0.25">
      <c r="B127" s="19"/>
      <c r="D127" s="670"/>
      <c r="E127" s="671"/>
      <c r="F127" s="671"/>
      <c r="G127" s="671"/>
      <c r="H127" s="671"/>
      <c r="I127" s="671"/>
      <c r="J127" s="671"/>
      <c r="K127" s="671"/>
      <c r="L127" s="671"/>
      <c r="M127" s="671"/>
      <c r="N127" s="671"/>
      <c r="O127" s="671"/>
      <c r="P127" s="671"/>
      <c r="Q127" s="671"/>
      <c r="R127" s="671"/>
      <c r="S127" s="671"/>
      <c r="T127" s="671"/>
      <c r="U127" s="671"/>
      <c r="V127" s="671"/>
      <c r="W127" s="671"/>
      <c r="X127" s="672"/>
      <c r="Y127" s="20"/>
    </row>
    <row r="128" spans="2:25" x14ac:dyDescent="0.25">
      <c r="B128" s="19"/>
      <c r="D128" s="670"/>
      <c r="E128" s="671"/>
      <c r="F128" s="671"/>
      <c r="G128" s="671"/>
      <c r="H128" s="671"/>
      <c r="I128" s="671"/>
      <c r="J128" s="671"/>
      <c r="K128" s="671"/>
      <c r="L128" s="671"/>
      <c r="M128" s="671"/>
      <c r="N128" s="671"/>
      <c r="O128" s="671"/>
      <c r="P128" s="671"/>
      <c r="Q128" s="671"/>
      <c r="R128" s="671"/>
      <c r="S128" s="671"/>
      <c r="T128" s="671"/>
      <c r="U128" s="671"/>
      <c r="V128" s="671"/>
      <c r="W128" s="671"/>
      <c r="X128" s="672"/>
      <c r="Y128" s="20"/>
    </row>
    <row r="129" spans="2:25" x14ac:dyDescent="0.25">
      <c r="B129" s="19"/>
      <c r="D129" s="670"/>
      <c r="E129" s="671"/>
      <c r="F129" s="671"/>
      <c r="G129" s="671"/>
      <c r="H129" s="671"/>
      <c r="I129" s="671"/>
      <c r="J129" s="671"/>
      <c r="K129" s="671"/>
      <c r="L129" s="671"/>
      <c r="M129" s="671"/>
      <c r="N129" s="671"/>
      <c r="O129" s="671"/>
      <c r="P129" s="671"/>
      <c r="Q129" s="671"/>
      <c r="R129" s="671"/>
      <c r="S129" s="671"/>
      <c r="T129" s="671"/>
      <c r="U129" s="671"/>
      <c r="V129" s="671"/>
      <c r="W129" s="671"/>
      <c r="X129" s="672"/>
      <c r="Y129" s="20"/>
    </row>
    <row r="130" spans="2:25" x14ac:dyDescent="0.25">
      <c r="B130" s="19"/>
      <c r="D130" s="670"/>
      <c r="E130" s="671"/>
      <c r="F130" s="671"/>
      <c r="G130" s="671"/>
      <c r="H130" s="671"/>
      <c r="I130" s="671"/>
      <c r="J130" s="671"/>
      <c r="K130" s="671"/>
      <c r="L130" s="671"/>
      <c r="M130" s="671"/>
      <c r="N130" s="671"/>
      <c r="O130" s="671"/>
      <c r="P130" s="671"/>
      <c r="Q130" s="671"/>
      <c r="R130" s="671"/>
      <c r="S130" s="671"/>
      <c r="T130" s="671"/>
      <c r="U130" s="671"/>
      <c r="V130" s="671"/>
      <c r="W130" s="671"/>
      <c r="X130" s="672"/>
      <c r="Y130" s="20"/>
    </row>
    <row r="131" spans="2:25" x14ac:dyDescent="0.25">
      <c r="B131" s="19"/>
      <c r="D131" s="670"/>
      <c r="E131" s="671"/>
      <c r="F131" s="671"/>
      <c r="G131" s="671"/>
      <c r="H131" s="671"/>
      <c r="I131" s="671"/>
      <c r="J131" s="671"/>
      <c r="K131" s="671"/>
      <c r="L131" s="671"/>
      <c r="M131" s="671"/>
      <c r="N131" s="671"/>
      <c r="O131" s="671"/>
      <c r="P131" s="671"/>
      <c r="Q131" s="671"/>
      <c r="R131" s="671"/>
      <c r="S131" s="671"/>
      <c r="T131" s="671"/>
      <c r="U131" s="671"/>
      <c r="V131" s="671"/>
      <c r="W131" s="671"/>
      <c r="X131" s="672"/>
      <c r="Y131" s="20"/>
    </row>
    <row r="132" spans="2:25" x14ac:dyDescent="0.25">
      <c r="B132" s="19"/>
      <c r="D132" s="670"/>
      <c r="E132" s="671"/>
      <c r="F132" s="671"/>
      <c r="G132" s="671"/>
      <c r="H132" s="671"/>
      <c r="I132" s="671"/>
      <c r="J132" s="671"/>
      <c r="K132" s="671"/>
      <c r="L132" s="671"/>
      <c r="M132" s="671"/>
      <c r="N132" s="671"/>
      <c r="O132" s="671"/>
      <c r="P132" s="671"/>
      <c r="Q132" s="671"/>
      <c r="R132" s="671"/>
      <c r="S132" s="671"/>
      <c r="T132" s="671"/>
      <c r="U132" s="671"/>
      <c r="V132" s="671"/>
      <c r="W132" s="671"/>
      <c r="X132" s="672"/>
      <c r="Y132" s="20"/>
    </row>
    <row r="133" spans="2:25" x14ac:dyDescent="0.25">
      <c r="B133" s="19"/>
      <c r="D133" s="670"/>
      <c r="E133" s="671"/>
      <c r="F133" s="671"/>
      <c r="G133" s="671"/>
      <c r="H133" s="671"/>
      <c r="I133" s="671"/>
      <c r="J133" s="671"/>
      <c r="K133" s="671"/>
      <c r="L133" s="671"/>
      <c r="M133" s="671"/>
      <c r="N133" s="671"/>
      <c r="O133" s="671"/>
      <c r="P133" s="671"/>
      <c r="Q133" s="671"/>
      <c r="R133" s="671"/>
      <c r="S133" s="671"/>
      <c r="T133" s="671"/>
      <c r="U133" s="671"/>
      <c r="V133" s="671"/>
      <c r="W133" s="671"/>
      <c r="X133" s="672"/>
      <c r="Y133" s="20"/>
    </row>
    <row r="134" spans="2:25" x14ac:dyDescent="0.25">
      <c r="B134" s="19"/>
      <c r="D134" s="673"/>
      <c r="E134" s="674"/>
      <c r="F134" s="674"/>
      <c r="G134" s="674"/>
      <c r="H134" s="674"/>
      <c r="I134" s="674"/>
      <c r="J134" s="674"/>
      <c r="K134" s="674"/>
      <c r="L134" s="674"/>
      <c r="M134" s="674"/>
      <c r="N134" s="674"/>
      <c r="O134" s="674"/>
      <c r="P134" s="674"/>
      <c r="Q134" s="674"/>
      <c r="R134" s="674"/>
      <c r="S134" s="674"/>
      <c r="T134" s="674"/>
      <c r="U134" s="674"/>
      <c r="V134" s="674"/>
      <c r="W134" s="674"/>
      <c r="X134" s="675"/>
      <c r="Y134" s="20"/>
    </row>
    <row r="135" spans="2:25" x14ac:dyDescent="0.25">
      <c r="B135" s="19"/>
      <c r="Y135" s="20"/>
    </row>
    <row r="136" spans="2:25" ht="15.75" thickBot="1" x14ac:dyDescent="0.3">
      <c r="B136" s="22"/>
      <c r="C136" s="23"/>
      <c r="D136" s="23"/>
      <c r="E136" s="23"/>
      <c r="F136" s="23"/>
      <c r="G136" s="23"/>
      <c r="H136" s="23"/>
      <c r="I136" s="23"/>
      <c r="J136" s="23"/>
      <c r="K136" s="23"/>
      <c r="L136" s="23"/>
      <c r="M136" s="23"/>
      <c r="N136" s="23"/>
      <c r="O136" s="23"/>
      <c r="P136" s="23"/>
      <c r="Q136" s="23"/>
      <c r="R136" s="23"/>
      <c r="S136" s="23"/>
      <c r="T136" s="23"/>
      <c r="U136" s="23"/>
      <c r="V136" s="23"/>
      <c r="W136" s="23"/>
      <c r="X136" s="23"/>
      <c r="Y136" s="24"/>
    </row>
    <row r="139" spans="2:25" ht="15.75" thickBot="1" x14ac:dyDescent="0.3"/>
    <row r="140" spans="2:25" x14ac:dyDescent="0.25">
      <c r="B140" s="16"/>
      <c r="C140" s="17"/>
      <c r="D140" s="17"/>
      <c r="E140" s="17"/>
      <c r="F140" s="17"/>
      <c r="G140" s="17"/>
      <c r="H140" s="17"/>
      <c r="I140" s="17"/>
      <c r="J140" s="17"/>
      <c r="K140" s="17"/>
      <c r="L140" s="17"/>
      <c r="M140" s="17"/>
      <c r="N140" s="17"/>
      <c r="O140" s="17"/>
      <c r="P140" s="17"/>
      <c r="Q140" s="17"/>
      <c r="R140" s="17"/>
      <c r="S140" s="17"/>
      <c r="T140" s="17"/>
      <c r="U140" s="17"/>
      <c r="V140" s="17"/>
      <c r="W140" s="17"/>
      <c r="X140" s="17"/>
      <c r="Y140" s="18"/>
    </row>
    <row r="141" spans="2:25" x14ac:dyDescent="0.25">
      <c r="B141" s="19"/>
      <c r="Y141" s="20"/>
    </row>
    <row r="142" spans="2:25" x14ac:dyDescent="0.25">
      <c r="B142" s="19"/>
      <c r="C142" s="143" t="s">
        <v>2585</v>
      </c>
      <c r="Y142" s="20"/>
    </row>
    <row r="143" spans="2:25" x14ac:dyDescent="0.25">
      <c r="B143" s="19"/>
      <c r="Q143" s="872" t="s">
        <v>717</v>
      </c>
      <c r="R143" s="872"/>
      <c r="S143" s="853" t="s">
        <v>294</v>
      </c>
      <c r="T143" s="853"/>
      <c r="U143" s="853" t="s">
        <v>293</v>
      </c>
      <c r="V143" s="853"/>
      <c r="Y143" s="20"/>
    </row>
    <row r="144" spans="2:25" x14ac:dyDescent="0.25">
      <c r="B144" s="19"/>
      <c r="C144" s="47" t="str">
        <f>"Substances actives appliquées pendant une campagne sur les surfaces en horticulture et pépinière (" &amp; TEXT(cCampagneN,"0000-00") &amp; ")"</f>
        <v>Substances actives appliquées pendant une campagne sur les surfaces en horticulture et pépinière (N)</v>
      </c>
      <c r="D144" s="47"/>
      <c r="E144" s="47"/>
      <c r="F144" s="47"/>
      <c r="G144" s="47"/>
      <c r="H144" s="47"/>
      <c r="I144" s="47"/>
      <c r="J144" s="47"/>
      <c r="K144" s="47"/>
      <c r="L144" s="47"/>
      <c r="M144" s="47"/>
      <c r="N144" s="47"/>
      <c r="O144" s="47"/>
      <c r="P144" s="43"/>
      <c r="Q144" s="851"/>
      <c r="R144" s="851"/>
      <c r="S144" s="852">
        <f>SUM(Paramètres!Y5:Y25)</f>
        <v>0</v>
      </c>
      <c r="T144" s="852"/>
      <c r="U144" s="852">
        <f>SUM(Paramètres!X5:X25)</f>
        <v>0</v>
      </c>
      <c r="V144" s="852"/>
      <c r="Y144" s="20"/>
    </row>
    <row r="145" spans="2:38" x14ac:dyDescent="0.25">
      <c r="B145" s="19"/>
      <c r="C145" s="47" t="str">
        <f>"Substances actives appliquées pendant une campagne sur les surfaces en horticulture et pépinière (" &amp; cCampagneN1 &amp; ")"</f>
        <v>Substances actives appliquées pendant une campagne sur les surfaces en horticulture et pépinière (N-1)</v>
      </c>
      <c r="D145" s="47"/>
      <c r="E145" s="47"/>
      <c r="F145" s="47"/>
      <c r="G145" s="47"/>
      <c r="H145" s="47"/>
      <c r="I145" s="47"/>
      <c r="J145" s="47"/>
      <c r="K145" s="47"/>
      <c r="L145" s="47"/>
      <c r="M145" s="47"/>
      <c r="N145" s="47"/>
      <c r="O145" s="47"/>
      <c r="P145" s="43"/>
      <c r="Q145" s="851"/>
      <c r="R145" s="851"/>
      <c r="S145" s="852">
        <f>SUM(Paramètres!AC5:AC25)</f>
        <v>0</v>
      </c>
      <c r="T145" s="852"/>
      <c r="U145" s="852">
        <f>SUM(Paramètres!AB5:AB25)</f>
        <v>0</v>
      </c>
      <c r="V145" s="852"/>
      <c r="Y145" s="20"/>
    </row>
    <row r="146" spans="2:38" x14ac:dyDescent="0.25">
      <c r="B146" s="19"/>
      <c r="C146" s="47" t="str">
        <f>"Substances actives appliquées pendant une campagne sur les surfaces en horticulture et pépinière (" &amp; CCampagneN2 &amp; ")"</f>
        <v>Substances actives appliquées pendant une campagne sur les surfaces en horticulture et pépinière (N-2)</v>
      </c>
      <c r="D146" s="47"/>
      <c r="E146" s="47"/>
      <c r="F146" s="47"/>
      <c r="G146" s="47"/>
      <c r="H146" s="47"/>
      <c r="I146" s="47"/>
      <c r="J146" s="47"/>
      <c r="K146" s="47"/>
      <c r="L146" s="47"/>
      <c r="M146" s="47"/>
      <c r="N146" s="47"/>
      <c r="O146" s="47"/>
      <c r="P146" s="43"/>
      <c r="Q146" s="851"/>
      <c r="R146" s="851"/>
      <c r="S146" s="852">
        <f>SUM(Paramètres!AG5:AG25)</f>
        <v>0</v>
      </c>
      <c r="T146" s="852"/>
      <c r="U146" s="852">
        <f>SUM(Paramètres!AF5:AF25)</f>
        <v>0</v>
      </c>
      <c r="V146" s="852"/>
      <c r="Y146" s="20"/>
      <c r="AH146" t="s">
        <v>248</v>
      </c>
    </row>
    <row r="147" spans="2:38" x14ac:dyDescent="0.25">
      <c r="B147" s="19"/>
      <c r="M147" s="153"/>
      <c r="N147" s="153"/>
      <c r="O147" s="153"/>
      <c r="P147" s="153"/>
      <c r="Q147" s="393" t="str">
        <f>IF(Q150&lt;&gt;"","Bien saisir les quantités sur " &amp; Q150&amp; " campagne(s), tout comme les surfaces et durées dans l'onglet Surfaces.","")</f>
        <v/>
      </c>
      <c r="R147" s="153"/>
      <c r="S147" s="129"/>
      <c r="U147" s="129"/>
      <c r="Y147" s="20"/>
      <c r="AH147" s="307" t="s">
        <v>737</v>
      </c>
      <c r="AI147" s="303" t="s">
        <v>738</v>
      </c>
      <c r="AJ147" s="303" t="s">
        <v>739</v>
      </c>
      <c r="AK147" s="303" t="s">
        <v>740</v>
      </c>
      <c r="AL147" s="303" t="s">
        <v>741</v>
      </c>
    </row>
    <row r="148" spans="2:38" x14ac:dyDescent="0.25">
      <c r="B148" s="19"/>
      <c r="M148" s="153"/>
      <c r="N148" s="153"/>
      <c r="O148" s="153"/>
      <c r="P148" s="153"/>
      <c r="Q148" s="153"/>
      <c r="R148" s="153"/>
      <c r="Y148" s="20"/>
      <c r="Z148" s="129"/>
      <c r="AH148" s="303">
        <f>(Q152-Q153)/4</f>
        <v>0</v>
      </c>
      <c r="AI148" s="303">
        <f>AH148*2</f>
        <v>0</v>
      </c>
      <c r="AJ148" s="303">
        <f>AH148*3</f>
        <v>0</v>
      </c>
      <c r="AK148" s="303">
        <f>AH148*4</f>
        <v>0</v>
      </c>
      <c r="AL148" s="308">
        <f>IF(Q151&lt;Q153,5,IF(AND(Q151&gt;=Q153,Q151&lt;(Q153+AH148)),4,IF(AND(Q151&gt;=(Q153+AH148),Q151&lt;(Q153+AI148)),3,IF(AND(Q151&gt;=(Q153+AI148),Q151&lt;(Q153+AJ148)),2,IF(AND(Q151&gt;=(Q153+AJ148),Q151&lt;Q152),1,0)))))</f>
        <v>0</v>
      </c>
    </row>
    <row r="149" spans="2:38" x14ac:dyDescent="0.25">
      <c r="B149" s="19"/>
      <c r="O149" s="153"/>
      <c r="P149" s="153"/>
      <c r="Q149" s="153"/>
      <c r="R149" s="153"/>
      <c r="S149" s="651" t="s">
        <v>239</v>
      </c>
      <c r="T149" s="651"/>
      <c r="Y149" s="20"/>
    </row>
    <row r="150" spans="2:38" x14ac:dyDescent="0.25">
      <c r="B150" s="19"/>
      <c r="C150" s="77" t="s">
        <v>2589</v>
      </c>
      <c r="D150" s="77"/>
      <c r="E150" s="77"/>
      <c r="F150" s="77"/>
      <c r="G150" s="77"/>
      <c r="H150" s="77"/>
      <c r="I150" s="77"/>
      <c r="J150" s="77"/>
      <c r="K150" s="77"/>
      <c r="L150" s="77"/>
      <c r="M150" s="77"/>
      <c r="N150" s="77"/>
      <c r="O150" s="77"/>
      <c r="P150" s="77"/>
      <c r="Q150" s="873" t="str">
        <f>IF(cTypeAudit="","",IF(cTypeAudit="Initial",1,IF(cTypeAudit="Suivi",2,3)))</f>
        <v/>
      </c>
      <c r="R150" s="873"/>
      <c r="T150" s="143" t="str">
        <f>IF(Q150="","Saisir le type de l'audit dans l'onglet Identification","")</f>
        <v>Saisir le type de l'audit dans l'onglet Identification</v>
      </c>
      <c r="Y150" s="20"/>
    </row>
    <row r="151" spans="2:38" x14ac:dyDescent="0.25">
      <c r="B151" s="19"/>
      <c r="C151" s="77" t="str">
        <f>"Quantité totale appliquée sur " &amp; Q150 &amp; " campagne(s)"</f>
        <v>Quantité totale appliquée sur  campagne(s)</v>
      </c>
      <c r="D151" s="77"/>
      <c r="E151" s="77"/>
      <c r="F151" s="77"/>
      <c r="G151" s="77"/>
      <c r="H151" s="77"/>
      <c r="I151" s="77"/>
      <c r="J151" s="77"/>
      <c r="K151" s="77"/>
      <c r="L151" s="77"/>
      <c r="M151" s="40"/>
      <c r="N151" s="40"/>
      <c r="O151" s="166"/>
      <c r="P151" s="40"/>
      <c r="Q151" s="852">
        <f>IF(Q150="",0,IF(Q150=1,Q144,IF(Q150=2,SUM(Q144:R145),SUM(Q144:R146))))</f>
        <v>0</v>
      </c>
      <c r="R151" s="852"/>
      <c r="Y151" s="20"/>
    </row>
    <row r="152" spans="2:38" x14ac:dyDescent="0.25">
      <c r="B152" s="19"/>
      <c r="C152" s="77" t="s">
        <v>723</v>
      </c>
      <c r="D152" s="77"/>
      <c r="E152" s="77"/>
      <c r="F152" s="77"/>
      <c r="G152" s="77"/>
      <c r="H152" s="77"/>
      <c r="I152" s="77"/>
      <c r="J152" s="77"/>
      <c r="K152" s="77"/>
      <c r="L152" s="77"/>
      <c r="M152" s="40"/>
      <c r="N152" s="40"/>
      <c r="O152" s="166"/>
      <c r="P152" s="40"/>
      <c r="Q152" s="826">
        <f>IF(Q150="",0,IF(AND(Surfaces!O197=0,Surfaces!P197=0,Surfaces!Q197=0),0,IF(Q150=1,S144,IF(Q150=2,SUM(S144:T145),SUM(S144:T146)))))</f>
        <v>0</v>
      </c>
      <c r="R152" s="827"/>
      <c r="Y152" s="20"/>
    </row>
    <row r="153" spans="2:38" x14ac:dyDescent="0.25">
      <c r="B153" s="19"/>
      <c r="C153" s="77" t="s">
        <v>724</v>
      </c>
      <c r="D153" s="77"/>
      <c r="E153" s="77"/>
      <c r="F153" s="77"/>
      <c r="G153" s="77"/>
      <c r="H153" s="77"/>
      <c r="I153" s="77"/>
      <c r="J153" s="77"/>
      <c r="K153" s="77"/>
      <c r="L153" s="77"/>
      <c r="M153" s="40"/>
      <c r="N153" s="40"/>
      <c r="O153" s="166"/>
      <c r="P153" s="40"/>
      <c r="Q153" s="826">
        <f>IF(Q150="",0,IF(AND(Surfaces!O197=0,Surfaces!P197=0,Surfaces!Q197=0),0,IF(Q150=1,U144,IF(Q150=2,SUM(U144:V145),SUM(U144:V146)))))</f>
        <v>0</v>
      </c>
      <c r="R153" s="827"/>
      <c r="Y153" s="20"/>
    </row>
    <row r="154" spans="2:38" x14ac:dyDescent="0.25">
      <c r="B154" s="19"/>
      <c r="C154" s="77" t="s">
        <v>721</v>
      </c>
      <c r="D154" s="77"/>
      <c r="E154" s="77"/>
      <c r="F154" s="77"/>
      <c r="G154" s="77"/>
      <c r="H154" s="77"/>
      <c r="I154" s="77"/>
      <c r="J154" s="77"/>
      <c r="K154" s="77"/>
      <c r="L154" s="77"/>
      <c r="M154" s="40"/>
      <c r="N154" s="40"/>
      <c r="O154" s="40"/>
      <c r="P154" s="40"/>
      <c r="Q154" s="40"/>
      <c r="R154" s="45"/>
      <c r="S154" s="837">
        <f>IF(COUNTA(Q144:R146)&gt;=1,IF(UTILISATION_CMR1="Oui",0,AL148),0)</f>
        <v>0</v>
      </c>
      <c r="T154" s="838"/>
      <c r="Y154" s="20"/>
    </row>
    <row r="155" spans="2:38" x14ac:dyDescent="0.25">
      <c r="B155" s="19"/>
      <c r="C155" s="77" t="s">
        <v>2408</v>
      </c>
      <c r="D155" s="77"/>
      <c r="E155" s="77"/>
      <c r="F155" s="77"/>
      <c r="G155" s="77"/>
      <c r="H155" s="77"/>
      <c r="I155" s="77"/>
      <c r="J155" s="77"/>
      <c r="K155" s="77"/>
      <c r="L155" s="77"/>
      <c r="M155" s="40"/>
      <c r="N155" s="40"/>
      <c r="O155" s="40"/>
      <c r="P155" s="40"/>
      <c r="Q155" s="870">
        <f>Surfaces!O197</f>
        <v>0</v>
      </c>
      <c r="R155" s="871"/>
      <c r="W155" s="305"/>
      <c r="X155" s="305"/>
      <c r="Y155" s="20"/>
    </row>
    <row r="156" spans="2:38" x14ac:dyDescent="0.25">
      <c r="B156" s="19"/>
      <c r="C156" s="77" t="s">
        <v>298</v>
      </c>
      <c r="D156" s="77"/>
      <c r="E156" s="77"/>
      <c r="F156" s="77"/>
      <c r="G156" s="77"/>
      <c r="H156" s="77"/>
      <c r="I156" s="77"/>
      <c r="J156" s="77"/>
      <c r="K156" s="77"/>
      <c r="L156" s="77"/>
      <c r="M156" s="40"/>
      <c r="N156" s="40"/>
      <c r="O156" s="40"/>
      <c r="P156" s="40"/>
      <c r="Q156" s="870">
        <f>cSAU</f>
        <v>0</v>
      </c>
      <c r="R156" s="871"/>
      <c r="W156" s="680" t="s">
        <v>713</v>
      </c>
      <c r="X156" s="680"/>
      <c r="Y156" s="20"/>
    </row>
    <row r="157" spans="2:38" x14ac:dyDescent="0.25">
      <c r="B157" s="19"/>
      <c r="C157" s="77" t="s">
        <v>722</v>
      </c>
      <c r="D157" s="77"/>
      <c r="E157" s="77"/>
      <c r="F157" s="77"/>
      <c r="G157" s="77"/>
      <c r="H157" s="77"/>
      <c r="I157" s="77"/>
      <c r="J157" s="77"/>
      <c r="K157" s="77"/>
      <c r="L157" s="77"/>
      <c r="M157" s="40"/>
      <c r="N157" s="40"/>
      <c r="O157" s="40"/>
      <c r="P157" s="40"/>
      <c r="Q157" s="40"/>
      <c r="R157" s="45"/>
      <c r="S157" s="868">
        <f>IF(ISBLANK(L11),0,IFERROR(S154*(Q155/Q156),0))</f>
        <v>0</v>
      </c>
      <c r="T157" s="869"/>
      <c r="W157" s="681">
        <f>IF(cSAU = 0,5,5*(Q155/Q156))</f>
        <v>5</v>
      </c>
      <c r="X157" s="682"/>
      <c r="Y157" s="20"/>
    </row>
    <row r="158" spans="2:38" x14ac:dyDescent="0.25">
      <c r="B158" s="19"/>
      <c r="C158" s="65"/>
      <c r="Y158" s="20"/>
    </row>
    <row r="159" spans="2:38" x14ac:dyDescent="0.25">
      <c r="B159" s="19"/>
      <c r="C159" s="65"/>
      <c r="Y159" s="20"/>
    </row>
    <row r="160" spans="2:38" x14ac:dyDescent="0.25">
      <c r="B160" s="19"/>
      <c r="C160" s="70" t="s">
        <v>2506</v>
      </c>
      <c r="Y160" s="20"/>
    </row>
    <row r="161" spans="2:25" x14ac:dyDescent="0.25">
      <c r="B161" s="19"/>
      <c r="C161" s="667"/>
      <c r="D161" s="668"/>
      <c r="E161" s="668"/>
      <c r="F161" s="668"/>
      <c r="G161" s="668"/>
      <c r="H161" s="668"/>
      <c r="I161" s="668"/>
      <c r="J161" s="668"/>
      <c r="K161" s="668"/>
      <c r="L161" s="668"/>
      <c r="M161" s="668"/>
      <c r="N161" s="668"/>
      <c r="O161" s="668"/>
      <c r="P161" s="668"/>
      <c r="Q161" s="668"/>
      <c r="R161" s="668"/>
      <c r="S161" s="668"/>
      <c r="T161" s="668"/>
      <c r="U161" s="668"/>
      <c r="V161" s="668"/>
      <c r="W161" s="669"/>
      <c r="Y161" s="20"/>
    </row>
    <row r="162" spans="2:25" x14ac:dyDescent="0.25">
      <c r="B162" s="19"/>
      <c r="C162" s="670"/>
      <c r="D162" s="671"/>
      <c r="E162" s="671"/>
      <c r="F162" s="671"/>
      <c r="G162" s="671"/>
      <c r="H162" s="671"/>
      <c r="I162" s="671"/>
      <c r="J162" s="671"/>
      <c r="K162" s="671"/>
      <c r="L162" s="671"/>
      <c r="M162" s="671"/>
      <c r="N162" s="671"/>
      <c r="O162" s="671"/>
      <c r="P162" s="671"/>
      <c r="Q162" s="671"/>
      <c r="R162" s="671"/>
      <c r="S162" s="671"/>
      <c r="T162" s="671"/>
      <c r="U162" s="671"/>
      <c r="V162" s="671"/>
      <c r="W162" s="672"/>
      <c r="Y162" s="20"/>
    </row>
    <row r="163" spans="2:25" x14ac:dyDescent="0.25">
      <c r="B163" s="19"/>
      <c r="C163" s="670"/>
      <c r="D163" s="671"/>
      <c r="E163" s="671"/>
      <c r="F163" s="671"/>
      <c r="G163" s="671"/>
      <c r="H163" s="671"/>
      <c r="I163" s="671"/>
      <c r="J163" s="671"/>
      <c r="K163" s="671"/>
      <c r="L163" s="671"/>
      <c r="M163" s="671"/>
      <c r="N163" s="671"/>
      <c r="O163" s="671"/>
      <c r="P163" s="671"/>
      <c r="Q163" s="671"/>
      <c r="R163" s="671"/>
      <c r="S163" s="671"/>
      <c r="T163" s="671"/>
      <c r="U163" s="671"/>
      <c r="V163" s="671"/>
      <c r="W163" s="672"/>
      <c r="Y163" s="20"/>
    </row>
    <row r="164" spans="2:25" x14ac:dyDescent="0.25">
      <c r="B164" s="19"/>
      <c r="C164" s="670"/>
      <c r="D164" s="671"/>
      <c r="E164" s="671"/>
      <c r="F164" s="671"/>
      <c r="G164" s="671"/>
      <c r="H164" s="671"/>
      <c r="I164" s="671"/>
      <c r="J164" s="671"/>
      <c r="K164" s="671"/>
      <c r="L164" s="671"/>
      <c r="M164" s="671"/>
      <c r="N164" s="671"/>
      <c r="O164" s="671"/>
      <c r="P164" s="671"/>
      <c r="Q164" s="671"/>
      <c r="R164" s="671"/>
      <c r="S164" s="671"/>
      <c r="T164" s="671"/>
      <c r="U164" s="671"/>
      <c r="V164" s="671"/>
      <c r="W164" s="672"/>
      <c r="Y164" s="20"/>
    </row>
    <row r="165" spans="2:25" x14ac:dyDescent="0.25">
      <c r="B165" s="19"/>
      <c r="C165" s="673"/>
      <c r="D165" s="674"/>
      <c r="E165" s="674"/>
      <c r="F165" s="674"/>
      <c r="G165" s="674"/>
      <c r="H165" s="674"/>
      <c r="I165" s="674"/>
      <c r="J165" s="674"/>
      <c r="K165" s="674"/>
      <c r="L165" s="674"/>
      <c r="M165" s="674"/>
      <c r="N165" s="674"/>
      <c r="O165" s="674"/>
      <c r="P165" s="674"/>
      <c r="Q165" s="674"/>
      <c r="R165" s="674"/>
      <c r="S165" s="674"/>
      <c r="T165" s="674"/>
      <c r="U165" s="674"/>
      <c r="V165" s="674"/>
      <c r="W165" s="675"/>
      <c r="Y165" s="20"/>
    </row>
    <row r="166" spans="2:25" ht="15.75" thickBot="1" x14ac:dyDescent="0.3">
      <c r="B166" s="22"/>
      <c r="C166" s="23"/>
      <c r="D166" s="23"/>
      <c r="E166" s="23"/>
      <c r="F166" s="23"/>
      <c r="G166" s="23"/>
      <c r="H166" s="23"/>
      <c r="I166" s="23"/>
      <c r="J166" s="23"/>
      <c r="K166" s="23"/>
      <c r="L166" s="23"/>
      <c r="M166" s="23"/>
      <c r="N166" s="23"/>
      <c r="O166" s="23"/>
      <c r="P166" s="23"/>
      <c r="Q166" s="23"/>
      <c r="R166" s="23"/>
      <c r="S166" s="23"/>
      <c r="T166" s="23"/>
      <c r="U166" s="23"/>
      <c r="V166" s="23"/>
      <c r="W166" s="23"/>
      <c r="X166" s="23"/>
      <c r="Y166" s="24"/>
    </row>
    <row r="169" spans="2:25" ht="15.75" thickBot="1" x14ac:dyDescent="0.3"/>
    <row r="170" spans="2:25" x14ac:dyDescent="0.25">
      <c r="B170" s="16"/>
      <c r="C170" s="17"/>
      <c r="D170" s="17"/>
      <c r="E170" s="17"/>
      <c r="F170" s="17"/>
      <c r="G170" s="17"/>
      <c r="H170" s="17"/>
      <c r="I170" s="17"/>
      <c r="J170" s="17"/>
      <c r="K170" s="17"/>
      <c r="L170" s="17"/>
      <c r="M170" s="17"/>
      <c r="N170" s="17"/>
      <c r="O170" s="17"/>
      <c r="P170" s="17"/>
      <c r="Q170" s="17"/>
      <c r="R170" s="17"/>
      <c r="S170" s="17"/>
      <c r="T170" s="17"/>
      <c r="U170" s="17"/>
      <c r="V170" s="17"/>
      <c r="W170" s="17"/>
      <c r="X170" s="17"/>
      <c r="Y170" s="18"/>
    </row>
    <row r="171" spans="2:25" x14ac:dyDescent="0.25">
      <c r="B171" s="19"/>
      <c r="Y171" s="20"/>
    </row>
    <row r="172" spans="2:25" x14ac:dyDescent="0.25">
      <c r="B172" s="19"/>
      <c r="C172" s="110" t="s">
        <v>454</v>
      </c>
      <c r="D172" s="47"/>
      <c r="E172" s="47"/>
      <c r="F172" s="47"/>
      <c r="G172" s="47"/>
      <c r="H172" s="47"/>
      <c r="I172" s="47"/>
      <c r="J172" s="47"/>
      <c r="K172" s="47"/>
      <c r="L172" s="47"/>
      <c r="M172" s="47"/>
      <c r="N172" s="47"/>
      <c r="O172" s="47"/>
      <c r="P172" s="47"/>
      <c r="Q172" s="43"/>
      <c r="R172" s="703"/>
      <c r="S172" s="704"/>
      <c r="Y172" s="20"/>
    </row>
    <row r="173" spans="2:25" x14ac:dyDescent="0.25">
      <c r="B173" s="19"/>
      <c r="Y173" s="20"/>
    </row>
    <row r="174" spans="2:25" x14ac:dyDescent="0.25">
      <c r="B174" s="19"/>
      <c r="C174" s="110" t="s">
        <v>2339</v>
      </c>
      <c r="D174" s="47"/>
      <c r="E174" s="47"/>
      <c r="F174" s="47"/>
      <c r="G174" s="47"/>
      <c r="H174" s="47"/>
      <c r="I174" s="47"/>
      <c r="J174" s="47"/>
      <c r="K174" s="47"/>
      <c r="L174" s="47"/>
      <c r="M174" s="47"/>
      <c r="N174" s="47"/>
      <c r="O174" s="47"/>
      <c r="P174" s="47"/>
      <c r="Q174" s="43"/>
      <c r="R174" s="703"/>
      <c r="S174" s="704"/>
      <c r="Y174" s="20"/>
    </row>
    <row r="175" spans="2:25" x14ac:dyDescent="0.25">
      <c r="B175" s="19"/>
      <c r="Y175" s="20"/>
    </row>
    <row r="176" spans="2:25" ht="15" customHeight="1" x14ac:dyDescent="0.25">
      <c r="B176" s="19"/>
      <c r="C176" s="666" t="s">
        <v>2524</v>
      </c>
      <c r="D176" s="666"/>
      <c r="E176" s="666"/>
      <c r="F176" s="666"/>
      <c r="G176" s="666"/>
      <c r="H176" s="666"/>
      <c r="I176" s="666"/>
      <c r="J176" s="666"/>
      <c r="K176" s="666"/>
      <c r="L176" s="666"/>
      <c r="M176" s="666"/>
      <c r="N176" s="666"/>
      <c r="O176" s="666"/>
      <c r="P176" s="666"/>
      <c r="Q176" s="666"/>
      <c r="U176" s="354"/>
      <c r="V176" s="354"/>
      <c r="W176" s="354"/>
      <c r="X176" s="354"/>
      <c r="Y176" s="20"/>
    </row>
    <row r="177" spans="2:25" x14ac:dyDescent="0.25">
      <c r="B177" s="19"/>
      <c r="C177" s="666"/>
      <c r="D177" s="666"/>
      <c r="E177" s="666"/>
      <c r="F177" s="666"/>
      <c r="G177" s="666"/>
      <c r="H177" s="666"/>
      <c r="I177" s="666"/>
      <c r="J177" s="666"/>
      <c r="K177" s="666"/>
      <c r="L177" s="666"/>
      <c r="M177" s="666"/>
      <c r="N177" s="666"/>
      <c r="O177" s="666"/>
      <c r="P177" s="666"/>
      <c r="Q177" s="666"/>
      <c r="U177" s="354"/>
      <c r="V177" s="354"/>
      <c r="W177" s="354"/>
      <c r="X177" s="354"/>
      <c r="Y177" s="20"/>
    </row>
    <row r="178" spans="2:25" x14ac:dyDescent="0.25">
      <c r="B178" s="19"/>
      <c r="D178" s="106" t="s">
        <v>586</v>
      </c>
      <c r="E178" s="47"/>
      <c r="F178" s="47"/>
      <c r="G178" s="47"/>
      <c r="H178" s="47"/>
      <c r="I178" s="47"/>
      <c r="J178" s="47"/>
      <c r="K178" s="47"/>
      <c r="L178" s="47"/>
      <c r="M178" s="47"/>
      <c r="N178" s="47"/>
      <c r="O178" s="47"/>
      <c r="P178" s="47"/>
      <c r="Q178" s="43"/>
      <c r="R178" s="703"/>
      <c r="S178" s="704"/>
      <c r="U178" s="354"/>
      <c r="V178" s="354"/>
      <c r="W178" s="354"/>
      <c r="X178" s="354"/>
      <c r="Y178" s="20"/>
    </row>
    <row r="179" spans="2:25" x14ac:dyDescent="0.25">
      <c r="B179" s="19"/>
      <c r="D179" s="138"/>
      <c r="E179" s="47" t="s">
        <v>587</v>
      </c>
      <c r="F179" s="47"/>
      <c r="G179" s="47"/>
      <c r="H179" s="47"/>
      <c r="I179" s="47"/>
      <c r="J179" s="47"/>
      <c r="K179" s="47"/>
      <c r="L179" s="47"/>
      <c r="M179" s="47"/>
      <c r="N179" s="47"/>
      <c r="O179" s="47"/>
      <c r="P179" s="47"/>
      <c r="Q179" s="43"/>
      <c r="R179" s="830"/>
      <c r="S179" s="831"/>
      <c r="T179" s="143" t="str">
        <f>IF(R179&gt;R180,"Attention : surface saisie &gt; surface totale en cultures annuelles","")</f>
        <v/>
      </c>
      <c r="U179" s="354"/>
      <c r="V179" s="354"/>
      <c r="W179" s="354"/>
      <c r="X179" s="354"/>
      <c r="Y179" s="20"/>
    </row>
    <row r="180" spans="2:25" x14ac:dyDescent="0.25">
      <c r="B180" s="19"/>
      <c r="E180" s="47" t="s">
        <v>413</v>
      </c>
      <c r="F180" s="47"/>
      <c r="G180" s="47"/>
      <c r="H180" s="47"/>
      <c r="I180" s="47"/>
      <c r="J180" s="47"/>
      <c r="K180" s="47"/>
      <c r="L180" s="47"/>
      <c r="M180" s="47"/>
      <c r="N180" s="47"/>
      <c r="O180" s="47"/>
      <c r="P180" s="47"/>
      <c r="Q180" s="43"/>
      <c r="R180" s="826">
        <f>SUM(Surfaces!O132:O136)+Surfaces!O100+SUM(Surfaces!O86:O89)+SUM(Surfaces!O76:O82)+SUM(Surfaces!O93:O96)+SUM(Surfaces!O108:O110)+SUM(Surfaces!O127:O128)</f>
        <v>0</v>
      </c>
      <c r="S180" s="835"/>
      <c r="U180" s="354"/>
      <c r="V180" s="354"/>
      <c r="W180" s="354"/>
      <c r="X180" s="354"/>
      <c r="Y180" s="20"/>
    </row>
    <row r="181" spans="2:25" x14ac:dyDescent="0.25">
      <c r="B181" s="19"/>
      <c r="E181" s="47" t="s">
        <v>414</v>
      </c>
      <c r="F181" s="47"/>
      <c r="G181" s="47"/>
      <c r="H181" s="47"/>
      <c r="I181" s="47"/>
      <c r="J181" s="47"/>
      <c r="K181" s="47"/>
      <c r="L181" s="47"/>
      <c r="M181" s="47"/>
      <c r="N181" s="47"/>
      <c r="O181" s="47"/>
      <c r="P181" s="47"/>
      <c r="Q181" s="43"/>
      <c r="R181" s="822">
        <f>IFERROR(R179/R180,0)</f>
        <v>0</v>
      </c>
      <c r="S181" s="823"/>
      <c r="U181" s="354"/>
      <c r="V181" s="354"/>
      <c r="W181" s="354"/>
      <c r="X181" s="354"/>
      <c r="Y181" s="20"/>
    </row>
    <row r="182" spans="2:25" x14ac:dyDescent="0.25">
      <c r="B182" s="19"/>
      <c r="E182" s="138"/>
      <c r="F182" s="138"/>
      <c r="G182" s="138"/>
      <c r="H182" s="138"/>
      <c r="I182" s="138"/>
      <c r="J182" s="138"/>
      <c r="K182" s="138"/>
      <c r="L182" s="138"/>
      <c r="M182" s="138"/>
      <c r="N182" s="138"/>
      <c r="O182" s="138"/>
      <c r="P182" s="138"/>
      <c r="Q182" s="138"/>
      <c r="R182" s="116"/>
      <c r="S182" s="116"/>
      <c r="U182" s="354"/>
      <c r="V182" s="354"/>
      <c r="W182" s="354"/>
      <c r="X182" s="354"/>
      <c r="Y182" s="20"/>
    </row>
    <row r="183" spans="2:25" x14ac:dyDescent="0.25">
      <c r="B183" s="19"/>
      <c r="D183" s="106" t="s">
        <v>588</v>
      </c>
      <c r="E183" s="47"/>
      <c r="F183" s="47"/>
      <c r="G183" s="47"/>
      <c r="H183" s="47"/>
      <c r="I183" s="47"/>
      <c r="J183" s="47"/>
      <c r="K183" s="47"/>
      <c r="L183" s="47"/>
      <c r="M183" s="47"/>
      <c r="N183" s="47"/>
      <c r="O183" s="47"/>
      <c r="P183" s="47"/>
      <c r="Q183" s="43"/>
      <c r="R183" s="703"/>
      <c r="S183" s="704"/>
      <c r="U183" s="354"/>
      <c r="V183" s="354"/>
      <c r="W183" s="354"/>
      <c r="X183" s="354"/>
      <c r="Y183" s="20"/>
    </row>
    <row r="184" spans="2:25" x14ac:dyDescent="0.25">
      <c r="B184" s="19"/>
      <c r="E184" s="47" t="s">
        <v>589</v>
      </c>
      <c r="F184" s="47"/>
      <c r="G184" s="47"/>
      <c r="H184" s="47"/>
      <c r="I184" s="47"/>
      <c r="J184" s="47"/>
      <c r="K184" s="47"/>
      <c r="L184" s="47"/>
      <c r="M184" s="47"/>
      <c r="N184" s="47"/>
      <c r="O184" s="47"/>
      <c r="P184" s="47"/>
      <c r="Q184" s="43"/>
      <c r="R184" s="830"/>
      <c r="S184" s="831"/>
      <c r="T184" s="143" t="str">
        <f>IF(R184&gt;R185,"Attention : surface saisie &gt; surface totale en cultures pérennes","")</f>
        <v/>
      </c>
      <c r="U184" s="354"/>
      <c r="V184" s="354"/>
      <c r="W184" s="354"/>
      <c r="X184" s="354"/>
      <c r="Y184" s="20"/>
    </row>
    <row r="185" spans="2:25" x14ac:dyDescent="0.25">
      <c r="B185" s="19"/>
      <c r="E185" s="47" t="s">
        <v>415</v>
      </c>
      <c r="F185" s="47"/>
      <c r="G185" s="47"/>
      <c r="H185" s="47"/>
      <c r="I185" s="47"/>
      <c r="J185" s="47"/>
      <c r="K185" s="47"/>
      <c r="L185" s="47"/>
      <c r="M185" s="47"/>
      <c r="N185" s="47"/>
      <c r="O185" s="47"/>
      <c r="P185" s="47"/>
      <c r="Q185" s="43"/>
      <c r="R185" s="826">
        <f>Surfaces!O141+SUM(Surfaces!O144:O158)+Surfaces!O161</f>
        <v>0</v>
      </c>
      <c r="S185" s="835"/>
      <c r="U185" s="354"/>
      <c r="V185" s="354"/>
      <c r="W185" s="354"/>
      <c r="X185" s="354"/>
      <c r="Y185" s="20"/>
    </row>
    <row r="186" spans="2:25" x14ac:dyDescent="0.25">
      <c r="B186" s="19"/>
      <c r="E186" s="47" t="s">
        <v>414</v>
      </c>
      <c r="F186" s="47"/>
      <c r="G186" s="47"/>
      <c r="H186" s="47"/>
      <c r="I186" s="47"/>
      <c r="J186" s="47"/>
      <c r="K186" s="47"/>
      <c r="L186" s="47"/>
      <c r="M186" s="47"/>
      <c r="N186" s="47"/>
      <c r="O186" s="47"/>
      <c r="P186" s="47"/>
      <c r="Q186" s="43"/>
      <c r="R186" s="822">
        <f>IFERROR(R184/R185,0)</f>
        <v>0</v>
      </c>
      <c r="S186" s="823"/>
      <c r="U186" s="354"/>
      <c r="V186" s="354"/>
      <c r="W186" s="354"/>
      <c r="X186" s="354"/>
      <c r="Y186" s="20"/>
    </row>
    <row r="187" spans="2:25" x14ac:dyDescent="0.25">
      <c r="B187" s="19"/>
      <c r="U187" s="354"/>
      <c r="V187" s="354"/>
      <c r="W187" s="354"/>
      <c r="X187" s="354"/>
      <c r="Y187" s="20"/>
    </row>
    <row r="188" spans="2:25" x14ac:dyDescent="0.25">
      <c r="B188" s="19"/>
      <c r="C188" s="898" t="s">
        <v>2409</v>
      </c>
      <c r="D188" s="898"/>
      <c r="E188" s="898"/>
      <c r="F188" s="898"/>
      <c r="G188" s="898"/>
      <c r="H188" s="898"/>
      <c r="I188" s="898"/>
      <c r="J188" s="898"/>
      <c r="K188" s="898"/>
      <c r="L188" s="898"/>
      <c r="M188" s="898"/>
      <c r="N188" s="898"/>
      <c r="O188" s="898"/>
      <c r="P188" s="898"/>
      <c r="Q188" s="898"/>
      <c r="R188" s="898"/>
      <c r="S188" s="898"/>
      <c r="T188" s="898"/>
      <c r="U188" s="898"/>
      <c r="V188" s="898"/>
      <c r="W188" s="898"/>
      <c r="X188" s="898"/>
      <c r="Y188" s="20"/>
    </row>
    <row r="189" spans="2:25" x14ac:dyDescent="0.25">
      <c r="B189" s="19"/>
      <c r="C189" s="898"/>
      <c r="D189" s="898"/>
      <c r="E189" s="898"/>
      <c r="F189" s="898"/>
      <c r="G189" s="898"/>
      <c r="H189" s="898"/>
      <c r="I189" s="898"/>
      <c r="J189" s="898"/>
      <c r="K189" s="898"/>
      <c r="L189" s="898"/>
      <c r="M189" s="898"/>
      <c r="N189" s="898"/>
      <c r="O189" s="898"/>
      <c r="P189" s="898"/>
      <c r="Q189" s="898"/>
      <c r="R189" s="898"/>
      <c r="S189" s="898"/>
      <c r="T189" s="898"/>
      <c r="U189" s="898"/>
      <c r="V189" s="898"/>
      <c r="W189" s="898"/>
      <c r="X189" s="898"/>
      <c r="Y189" s="20"/>
    </row>
    <row r="190" spans="2:25" x14ac:dyDescent="0.25">
      <c r="B190" s="19"/>
      <c r="U190" s="354"/>
      <c r="V190" s="354"/>
      <c r="W190" s="354"/>
      <c r="X190" s="354"/>
      <c r="Y190" s="20"/>
    </row>
    <row r="191" spans="2:25" x14ac:dyDescent="0.25">
      <c r="B191" s="19"/>
      <c r="D191" t="s">
        <v>591</v>
      </c>
      <c r="R191" s="822">
        <f>IFERROR((IF(R178="Non",0,R179)+IF(R183="Non",0,R184))/Surfaces!O24,0)</f>
        <v>0</v>
      </c>
      <c r="S191" s="823"/>
      <c r="U191" s="354"/>
      <c r="V191" s="354"/>
      <c r="W191" s="354"/>
      <c r="X191" s="354"/>
      <c r="Y191" s="20"/>
    </row>
    <row r="192" spans="2:25" x14ac:dyDescent="0.25">
      <c r="B192" s="19"/>
      <c r="R192" s="139"/>
      <c r="S192" s="139"/>
      <c r="Y192" s="20"/>
    </row>
    <row r="193" spans="2:25" x14ac:dyDescent="0.25">
      <c r="B193" s="19"/>
      <c r="C193" s="42"/>
      <c r="R193" s="651" t="s">
        <v>239</v>
      </c>
      <c r="S193" s="651"/>
      <c r="Y193" s="20"/>
    </row>
    <row r="194" spans="2:25" x14ac:dyDescent="0.25">
      <c r="B194" s="19"/>
      <c r="D194" s="77" t="s">
        <v>310</v>
      </c>
      <c r="E194" s="77"/>
      <c r="F194" s="77"/>
      <c r="G194" s="77"/>
      <c r="H194" s="40"/>
      <c r="I194" s="40"/>
      <c r="J194" s="40"/>
      <c r="K194" s="40"/>
      <c r="L194" s="40"/>
      <c r="M194" s="40"/>
      <c r="N194" s="40"/>
      <c r="O194" s="40"/>
      <c r="P194" s="40"/>
      <c r="Q194" s="45"/>
      <c r="R194" s="837">
        <f>IFERROR(IF(R172="Oui",1,0),0)</f>
        <v>0</v>
      </c>
      <c r="S194" s="838"/>
      <c r="Y194" s="20"/>
    </row>
    <row r="195" spans="2:25" x14ac:dyDescent="0.25">
      <c r="B195" s="19"/>
      <c r="D195" s="78" t="s">
        <v>311</v>
      </c>
      <c r="E195" s="78"/>
      <c r="F195" s="78"/>
      <c r="G195" s="78"/>
      <c r="H195" s="79"/>
      <c r="I195" s="79"/>
      <c r="J195" s="79"/>
      <c r="K195" s="79"/>
      <c r="L195" s="79"/>
      <c r="M195" s="79"/>
      <c r="N195" s="79"/>
      <c r="O195" s="79"/>
      <c r="P195" s="79"/>
      <c r="Q195" s="80"/>
      <c r="R195" s="837">
        <f>IFERROR(IF(R174="Oui",1,0),0)</f>
        <v>0</v>
      </c>
      <c r="S195" s="838"/>
      <c r="Y195" s="20"/>
    </row>
    <row r="196" spans="2:25" x14ac:dyDescent="0.25">
      <c r="B196" s="19"/>
      <c r="D196" s="78" t="s">
        <v>590</v>
      </c>
      <c r="E196" s="78"/>
      <c r="F196" s="78"/>
      <c r="G196" s="78"/>
      <c r="H196" s="79"/>
      <c r="I196" s="79"/>
      <c r="J196" s="79"/>
      <c r="K196" s="79"/>
      <c r="L196" s="79"/>
      <c r="M196" s="79"/>
      <c r="N196" s="79"/>
      <c r="O196" s="79"/>
      <c r="P196" s="79"/>
      <c r="Q196" s="80"/>
      <c r="R196" s="837">
        <f>IFERROR(IF(OR(R181&gt;=0.5,R186&gt;=0.75),2*R191,0),0)</f>
        <v>0</v>
      </c>
      <c r="S196" s="838"/>
      <c r="W196" s="680" t="s">
        <v>713</v>
      </c>
      <c r="X196" s="680"/>
      <c r="Y196" s="20"/>
    </row>
    <row r="197" spans="2:25" x14ac:dyDescent="0.25">
      <c r="B197" s="19"/>
      <c r="D197" s="78" t="s">
        <v>416</v>
      </c>
      <c r="E197" s="78"/>
      <c r="F197" s="78"/>
      <c r="G197" s="78"/>
      <c r="H197" s="79"/>
      <c r="I197" s="79"/>
      <c r="J197" s="79"/>
      <c r="K197" s="79"/>
      <c r="L197" s="79"/>
      <c r="M197" s="79"/>
      <c r="N197" s="79"/>
      <c r="O197" s="79"/>
      <c r="P197" s="79"/>
      <c r="Q197" s="80"/>
      <c r="R197" s="868">
        <f>IF(ISBLANK(L11),0,IF(UTILISATION_CMR1&lt;&gt;"Oui",MIN(SUM(R194:S196),3),0))</f>
        <v>0</v>
      </c>
      <c r="S197" s="869"/>
      <c r="W197" s="844">
        <v>3</v>
      </c>
      <c r="X197" s="845"/>
      <c r="Y197" s="20"/>
    </row>
    <row r="198" spans="2:25" x14ac:dyDescent="0.25">
      <c r="B198" s="19"/>
      <c r="D198" s="65"/>
      <c r="E198" s="65"/>
      <c r="F198" s="65"/>
      <c r="G198" s="65"/>
      <c r="R198" s="357"/>
      <c r="S198" s="357"/>
      <c r="W198" s="131"/>
      <c r="X198" s="131"/>
      <c r="Y198" s="20"/>
    </row>
    <row r="199" spans="2:25" x14ac:dyDescent="0.25">
      <c r="B199" s="19"/>
      <c r="D199" s="65"/>
      <c r="E199" s="65"/>
      <c r="F199" s="65"/>
      <c r="G199" s="65"/>
      <c r="R199" s="357"/>
      <c r="S199" s="357"/>
      <c r="W199" s="131"/>
      <c r="X199" s="131"/>
      <c r="Y199" s="20"/>
    </row>
    <row r="200" spans="2:25" x14ac:dyDescent="0.25">
      <c r="B200" s="19"/>
      <c r="D200" s="70" t="s">
        <v>2506</v>
      </c>
      <c r="Y200" s="20"/>
    </row>
    <row r="201" spans="2:25" x14ac:dyDescent="0.25">
      <c r="B201" s="19"/>
      <c r="D201" s="667"/>
      <c r="E201" s="668"/>
      <c r="F201" s="668"/>
      <c r="G201" s="668"/>
      <c r="H201" s="668"/>
      <c r="I201" s="668"/>
      <c r="J201" s="668"/>
      <c r="K201" s="668"/>
      <c r="L201" s="668"/>
      <c r="M201" s="668"/>
      <c r="N201" s="668"/>
      <c r="O201" s="668"/>
      <c r="P201" s="668"/>
      <c r="Q201" s="668"/>
      <c r="R201" s="668"/>
      <c r="S201" s="668"/>
      <c r="T201" s="668"/>
      <c r="U201" s="668"/>
      <c r="V201" s="668"/>
      <c r="W201" s="668"/>
      <c r="X201" s="669"/>
      <c r="Y201" s="20"/>
    </row>
    <row r="202" spans="2:25" x14ac:dyDescent="0.25">
      <c r="B202" s="19"/>
      <c r="D202" s="670"/>
      <c r="E202" s="671"/>
      <c r="F202" s="671"/>
      <c r="G202" s="671"/>
      <c r="H202" s="671"/>
      <c r="I202" s="671"/>
      <c r="J202" s="671"/>
      <c r="K202" s="671"/>
      <c r="L202" s="671"/>
      <c r="M202" s="671"/>
      <c r="N202" s="671"/>
      <c r="O202" s="671"/>
      <c r="P202" s="671"/>
      <c r="Q202" s="671"/>
      <c r="R202" s="671"/>
      <c r="S202" s="671"/>
      <c r="T202" s="671"/>
      <c r="U202" s="671"/>
      <c r="V202" s="671"/>
      <c r="W202" s="671"/>
      <c r="X202" s="672"/>
      <c r="Y202" s="20"/>
    </row>
    <row r="203" spans="2:25" x14ac:dyDescent="0.25">
      <c r="B203" s="19"/>
      <c r="D203" s="670"/>
      <c r="E203" s="671"/>
      <c r="F203" s="671"/>
      <c r="G203" s="671"/>
      <c r="H203" s="671"/>
      <c r="I203" s="671"/>
      <c r="J203" s="671"/>
      <c r="K203" s="671"/>
      <c r="L203" s="671"/>
      <c r="M203" s="671"/>
      <c r="N203" s="671"/>
      <c r="O203" s="671"/>
      <c r="P203" s="671"/>
      <c r="Q203" s="671"/>
      <c r="R203" s="671"/>
      <c r="S203" s="671"/>
      <c r="T203" s="671"/>
      <c r="U203" s="671"/>
      <c r="V203" s="671"/>
      <c r="W203" s="671"/>
      <c r="X203" s="672"/>
      <c r="Y203" s="20"/>
    </row>
    <row r="204" spans="2:25" x14ac:dyDescent="0.25">
      <c r="B204" s="19"/>
      <c r="D204" s="670"/>
      <c r="E204" s="671"/>
      <c r="F204" s="671"/>
      <c r="G204" s="671"/>
      <c r="H204" s="671"/>
      <c r="I204" s="671"/>
      <c r="J204" s="671"/>
      <c r="K204" s="671"/>
      <c r="L204" s="671"/>
      <c r="M204" s="671"/>
      <c r="N204" s="671"/>
      <c r="O204" s="671"/>
      <c r="P204" s="671"/>
      <c r="Q204" s="671"/>
      <c r="R204" s="671"/>
      <c r="S204" s="671"/>
      <c r="T204" s="671"/>
      <c r="U204" s="671"/>
      <c r="V204" s="671"/>
      <c r="W204" s="671"/>
      <c r="X204" s="672"/>
      <c r="Y204" s="20"/>
    </row>
    <row r="205" spans="2:25" x14ac:dyDescent="0.25">
      <c r="B205" s="19"/>
      <c r="D205" s="673"/>
      <c r="E205" s="674"/>
      <c r="F205" s="674"/>
      <c r="G205" s="674"/>
      <c r="H205" s="674"/>
      <c r="I205" s="674"/>
      <c r="J205" s="674"/>
      <c r="K205" s="674"/>
      <c r="L205" s="674"/>
      <c r="M205" s="674"/>
      <c r="N205" s="674"/>
      <c r="O205" s="674"/>
      <c r="P205" s="674"/>
      <c r="Q205" s="674"/>
      <c r="R205" s="674"/>
      <c r="S205" s="674"/>
      <c r="T205" s="674"/>
      <c r="U205" s="674"/>
      <c r="V205" s="674"/>
      <c r="W205" s="674"/>
      <c r="X205" s="675"/>
      <c r="Y205" s="20"/>
    </row>
    <row r="206" spans="2:25" x14ac:dyDescent="0.25">
      <c r="B206" s="19"/>
      <c r="D206" s="65"/>
      <c r="E206" s="65"/>
      <c r="F206" s="65"/>
      <c r="G206" s="65"/>
      <c r="R206" s="357"/>
      <c r="S206" s="357"/>
      <c r="W206" s="131"/>
      <c r="X206" s="131"/>
      <c r="Y206" s="20"/>
    </row>
    <row r="207" spans="2:25" ht="15.75" thickBot="1" x14ac:dyDescent="0.3">
      <c r="B207" s="22"/>
      <c r="C207" s="23"/>
      <c r="D207" s="23"/>
      <c r="E207" s="23"/>
      <c r="F207" s="23"/>
      <c r="G207" s="23"/>
      <c r="H207" s="23"/>
      <c r="I207" s="23"/>
      <c r="J207" s="23"/>
      <c r="K207" s="23"/>
      <c r="L207" s="23"/>
      <c r="M207" s="23"/>
      <c r="N207" s="23"/>
      <c r="O207" s="23"/>
      <c r="P207" s="23"/>
      <c r="Q207" s="23"/>
      <c r="R207" s="23"/>
      <c r="S207" s="23"/>
      <c r="T207" s="23"/>
      <c r="U207" s="23"/>
      <c r="V207" s="23"/>
      <c r="W207" s="23"/>
      <c r="X207" s="23"/>
      <c r="Y207" s="24"/>
    </row>
    <row r="210" spans="2:25" ht="15.75" thickBot="1" x14ac:dyDescent="0.3"/>
    <row r="211" spans="2:25" x14ac:dyDescent="0.25">
      <c r="B211" s="16"/>
      <c r="C211" s="17"/>
      <c r="D211" s="17"/>
      <c r="E211" s="17"/>
      <c r="F211" s="17"/>
      <c r="G211" s="17"/>
      <c r="H211" s="17"/>
      <c r="I211" s="17"/>
      <c r="J211" s="17"/>
      <c r="K211" s="17"/>
      <c r="L211" s="17"/>
      <c r="M211" s="17"/>
      <c r="N211" s="17"/>
      <c r="O211" s="17"/>
      <c r="P211" s="17"/>
      <c r="Q211" s="17"/>
      <c r="R211" s="17"/>
      <c r="S211" s="17"/>
      <c r="T211" s="17"/>
      <c r="U211" s="17"/>
      <c r="V211" s="17"/>
      <c r="W211" s="17"/>
      <c r="X211" s="17"/>
      <c r="Y211" s="18"/>
    </row>
    <row r="212" spans="2:25" x14ac:dyDescent="0.25">
      <c r="B212" s="19"/>
      <c r="Y212" s="20"/>
    </row>
    <row r="213" spans="2:25" x14ac:dyDescent="0.25">
      <c r="B213" s="19"/>
      <c r="C213" s="65" t="s">
        <v>2555</v>
      </c>
      <c r="Y213" s="20"/>
    </row>
    <row r="214" spans="2:25" x14ac:dyDescent="0.25">
      <c r="B214" s="19"/>
      <c r="C214" s="143" t="s">
        <v>312</v>
      </c>
      <c r="D214" s="143"/>
      <c r="E214" s="143"/>
      <c r="F214" s="143"/>
      <c r="G214" s="143"/>
      <c r="H214" s="143"/>
      <c r="I214" s="143"/>
      <c r="J214" s="143"/>
      <c r="K214" s="143"/>
      <c r="L214" s="143"/>
      <c r="M214" s="143"/>
      <c r="N214" s="143"/>
      <c r="O214" s="143"/>
      <c r="P214" s="143"/>
      <c r="Q214" s="143"/>
      <c r="R214" s="143"/>
      <c r="S214" s="143"/>
      <c r="T214" s="143"/>
      <c r="U214" s="143"/>
      <c r="Y214" s="20"/>
    </row>
    <row r="215" spans="2:25" x14ac:dyDescent="0.25">
      <c r="B215" s="19"/>
      <c r="C215" s="143"/>
      <c r="D215" s="143" t="s">
        <v>313</v>
      </c>
      <c r="E215" s="143"/>
      <c r="F215" s="143"/>
      <c r="G215" s="143"/>
      <c r="H215" s="143"/>
      <c r="I215" s="143"/>
      <c r="J215" s="143"/>
      <c r="K215" s="143"/>
      <c r="L215" s="143"/>
      <c r="M215" s="143"/>
      <c r="N215" s="143"/>
      <c r="O215" s="143"/>
      <c r="P215" s="143"/>
      <c r="Q215" s="143"/>
      <c r="R215" s="143"/>
      <c r="S215" s="143"/>
      <c r="T215" s="143"/>
      <c r="U215" s="143"/>
      <c r="Y215" s="20"/>
    </row>
    <row r="216" spans="2:25" x14ac:dyDescent="0.25">
      <c r="B216" s="19"/>
      <c r="C216" s="143"/>
      <c r="D216" s="21" t="s">
        <v>592</v>
      </c>
      <c r="E216" s="143"/>
      <c r="F216" s="143"/>
      <c r="G216" s="143"/>
      <c r="H216" s="143"/>
      <c r="I216" s="143"/>
      <c r="J216" s="143"/>
      <c r="K216" s="143"/>
      <c r="L216" s="143"/>
      <c r="M216" s="143"/>
      <c r="N216" s="143"/>
      <c r="O216" s="143"/>
      <c r="P216" s="143"/>
      <c r="Q216" s="143"/>
      <c r="R216" s="143"/>
      <c r="S216" s="143"/>
      <c r="T216" s="143"/>
      <c r="U216" s="143"/>
      <c r="Y216" s="20"/>
    </row>
    <row r="217" spans="2:25" x14ac:dyDescent="0.25">
      <c r="B217" s="19"/>
      <c r="C217" s="143" t="s">
        <v>725</v>
      </c>
      <c r="D217" s="143"/>
      <c r="E217" s="143"/>
      <c r="F217" s="143"/>
      <c r="G217" s="143"/>
      <c r="H217" s="143"/>
      <c r="I217" s="143"/>
      <c r="J217" s="143"/>
      <c r="K217" s="143"/>
      <c r="L217" s="143"/>
      <c r="M217" s="143"/>
      <c r="N217" s="143"/>
      <c r="O217" s="143"/>
      <c r="P217" s="143"/>
      <c r="Q217" s="143"/>
      <c r="R217" s="143"/>
      <c r="S217" s="143"/>
      <c r="T217" s="143"/>
      <c r="U217" s="143"/>
      <c r="Y217" s="20"/>
    </row>
    <row r="218" spans="2:25" x14ac:dyDescent="0.25">
      <c r="B218" s="19"/>
      <c r="C218" s="143" t="s">
        <v>726</v>
      </c>
      <c r="D218" s="143"/>
      <c r="E218" s="143"/>
      <c r="F218" s="143"/>
      <c r="G218" s="143"/>
      <c r="H218" s="143"/>
      <c r="I218" s="143"/>
      <c r="J218" s="143"/>
      <c r="K218" s="143"/>
      <c r="L218" s="143"/>
      <c r="M218" s="143"/>
      <c r="N218" s="143"/>
      <c r="O218" s="143"/>
      <c r="P218" s="143"/>
      <c r="Q218" s="143"/>
      <c r="R218" s="143"/>
      <c r="S218" s="143"/>
      <c r="T218" s="143"/>
      <c r="U218" s="143"/>
      <c r="Y218" s="20"/>
    </row>
    <row r="219" spans="2:25" x14ac:dyDescent="0.25">
      <c r="B219" s="19"/>
      <c r="Y219" s="20"/>
    </row>
    <row r="220" spans="2:25" x14ac:dyDescent="0.25">
      <c r="B220" s="19"/>
      <c r="C220" s="42" t="s">
        <v>2556</v>
      </c>
      <c r="Y220" s="20"/>
    </row>
    <row r="221" spans="2:25" x14ac:dyDescent="0.25">
      <c r="B221" s="19"/>
      <c r="C221" s="667"/>
      <c r="D221" s="668"/>
      <c r="E221" s="668"/>
      <c r="F221" s="668"/>
      <c r="G221" s="668"/>
      <c r="H221" s="668"/>
      <c r="I221" s="668"/>
      <c r="J221" s="668"/>
      <c r="K221" s="668"/>
      <c r="L221" s="668"/>
      <c r="M221" s="668"/>
      <c r="N221" s="668"/>
      <c r="O221" s="668"/>
      <c r="P221" s="668"/>
      <c r="Q221" s="668"/>
      <c r="R221" s="668"/>
      <c r="S221" s="668"/>
      <c r="T221" s="668"/>
      <c r="U221" s="668"/>
      <c r="V221" s="668"/>
      <c r="W221" s="668"/>
      <c r="X221" s="669"/>
      <c r="Y221" s="20"/>
    </row>
    <row r="222" spans="2:25" x14ac:dyDescent="0.25">
      <c r="B222" s="19"/>
      <c r="C222" s="670"/>
      <c r="D222" s="671"/>
      <c r="E222" s="671"/>
      <c r="F222" s="671"/>
      <c r="G222" s="671"/>
      <c r="H222" s="671"/>
      <c r="I222" s="671"/>
      <c r="J222" s="671"/>
      <c r="K222" s="671"/>
      <c r="L222" s="671"/>
      <c r="M222" s="671"/>
      <c r="N222" s="671"/>
      <c r="O222" s="671"/>
      <c r="P222" s="671"/>
      <c r="Q222" s="671"/>
      <c r="R222" s="671"/>
      <c r="S222" s="671"/>
      <c r="T222" s="671"/>
      <c r="U222" s="671"/>
      <c r="V222" s="671"/>
      <c r="W222" s="671"/>
      <c r="X222" s="672"/>
      <c r="Y222" s="20"/>
    </row>
    <row r="223" spans="2:25" x14ac:dyDescent="0.25">
      <c r="B223" s="19"/>
      <c r="C223" s="670"/>
      <c r="D223" s="671"/>
      <c r="E223" s="671"/>
      <c r="F223" s="671"/>
      <c r="G223" s="671"/>
      <c r="H223" s="671"/>
      <c r="I223" s="671"/>
      <c r="J223" s="671"/>
      <c r="K223" s="671"/>
      <c r="L223" s="671"/>
      <c r="M223" s="671"/>
      <c r="N223" s="671"/>
      <c r="O223" s="671"/>
      <c r="P223" s="671"/>
      <c r="Q223" s="671"/>
      <c r="R223" s="671"/>
      <c r="S223" s="671"/>
      <c r="T223" s="671"/>
      <c r="U223" s="671"/>
      <c r="V223" s="671"/>
      <c r="W223" s="671"/>
      <c r="X223" s="672"/>
      <c r="Y223" s="20"/>
    </row>
    <row r="224" spans="2:25" x14ac:dyDescent="0.25">
      <c r="B224" s="19"/>
      <c r="C224" s="670"/>
      <c r="D224" s="671"/>
      <c r="E224" s="671"/>
      <c r="F224" s="671"/>
      <c r="G224" s="671"/>
      <c r="H224" s="671"/>
      <c r="I224" s="671"/>
      <c r="J224" s="671"/>
      <c r="K224" s="671"/>
      <c r="L224" s="671"/>
      <c r="M224" s="671"/>
      <c r="N224" s="671"/>
      <c r="O224" s="671"/>
      <c r="P224" s="671"/>
      <c r="Q224" s="671"/>
      <c r="R224" s="671"/>
      <c r="S224" s="671"/>
      <c r="T224" s="671"/>
      <c r="U224" s="671"/>
      <c r="V224" s="671"/>
      <c r="W224" s="671"/>
      <c r="X224" s="672"/>
      <c r="Y224" s="20"/>
    </row>
    <row r="225" spans="2:25" x14ac:dyDescent="0.25">
      <c r="B225" s="19"/>
      <c r="C225" s="673"/>
      <c r="D225" s="674"/>
      <c r="E225" s="674"/>
      <c r="F225" s="674"/>
      <c r="G225" s="674"/>
      <c r="H225" s="674"/>
      <c r="I225" s="674"/>
      <c r="J225" s="674"/>
      <c r="K225" s="674"/>
      <c r="L225" s="674"/>
      <c r="M225" s="674"/>
      <c r="N225" s="674"/>
      <c r="O225" s="674"/>
      <c r="P225" s="674"/>
      <c r="Q225" s="674"/>
      <c r="R225" s="674"/>
      <c r="S225" s="674"/>
      <c r="T225" s="674"/>
      <c r="U225" s="674"/>
      <c r="V225" s="674"/>
      <c r="W225" s="674"/>
      <c r="X225" s="675"/>
      <c r="Y225" s="20"/>
    </row>
    <row r="226" spans="2:25" x14ac:dyDescent="0.25">
      <c r="B226" s="19"/>
      <c r="Y226" s="20"/>
    </row>
    <row r="227" spans="2:25" x14ac:dyDescent="0.25">
      <c r="B227" s="19"/>
      <c r="C227" s="42" t="s">
        <v>314</v>
      </c>
      <c r="Y227" s="20"/>
    </row>
    <row r="228" spans="2:25" x14ac:dyDescent="0.25">
      <c r="B228" s="19"/>
      <c r="D228" s="47" t="s">
        <v>2342</v>
      </c>
      <c r="E228" s="47"/>
      <c r="F228" s="47"/>
      <c r="G228" s="47"/>
      <c r="H228" s="47"/>
      <c r="I228" s="47"/>
      <c r="J228" s="47"/>
      <c r="K228" s="47"/>
      <c r="L228" s="47"/>
      <c r="M228" s="43"/>
      <c r="N228" s="830"/>
      <c r="O228" s="831"/>
      <c r="P228" s="65" t="s">
        <v>252</v>
      </c>
      <c r="R228" s="143" t="str">
        <f>IF(N228&gt;N234,"Attention : surface saisie &gt; SAU hors horticulture","")</f>
        <v/>
      </c>
      <c r="Y228" s="20"/>
    </row>
    <row r="229" spans="2:25" x14ac:dyDescent="0.25">
      <c r="B229" s="19"/>
      <c r="D229" s="48" t="s">
        <v>2410</v>
      </c>
      <c r="E229" s="48"/>
      <c r="F229" s="48"/>
      <c r="G229" s="48"/>
      <c r="H229" s="48"/>
      <c r="I229" s="48"/>
      <c r="J229" s="48"/>
      <c r="K229" s="48"/>
      <c r="L229" s="48"/>
      <c r="M229" s="44"/>
      <c r="N229" s="830"/>
      <c r="O229" s="831"/>
      <c r="P229" s="65" t="s">
        <v>252</v>
      </c>
      <c r="R229" s="143" t="str">
        <f>IF(N229&gt;N235,"Attention : surface saisie &gt; surface en horticulture","")</f>
        <v/>
      </c>
      <c r="Y229" s="20"/>
    </row>
    <row r="230" spans="2:25" x14ac:dyDescent="0.25">
      <c r="B230" s="19"/>
      <c r="Y230" s="20"/>
    </row>
    <row r="231" spans="2:25" x14ac:dyDescent="0.25">
      <c r="B231" s="19"/>
      <c r="Y231" s="20"/>
    </row>
    <row r="232" spans="2:25" x14ac:dyDescent="0.25">
      <c r="B232" s="19"/>
      <c r="C232" s="42"/>
      <c r="P232" s="651" t="s">
        <v>239</v>
      </c>
      <c r="Q232" s="651"/>
      <c r="Y232" s="20"/>
    </row>
    <row r="233" spans="2:25" x14ac:dyDescent="0.25">
      <c r="B233" s="19"/>
      <c r="C233" s="42"/>
      <c r="P233" s="96"/>
      <c r="Q233" s="96"/>
      <c r="Y233" s="20"/>
    </row>
    <row r="234" spans="2:25" x14ac:dyDescent="0.25">
      <c r="B234" s="19"/>
      <c r="C234" s="42"/>
      <c r="D234" s="40" t="s">
        <v>2343</v>
      </c>
      <c r="E234" s="40"/>
      <c r="F234" s="40"/>
      <c r="G234" s="40"/>
      <c r="H234" s="40"/>
      <c r="I234" s="40"/>
      <c r="J234" s="40"/>
      <c r="K234" s="40"/>
      <c r="L234" s="40"/>
      <c r="M234" s="40"/>
      <c r="N234" s="826">
        <f>cSAU-Surfaces!O197</f>
        <v>0</v>
      </c>
      <c r="O234" s="835"/>
      <c r="P234" s="96"/>
      <c r="Q234" s="96"/>
      <c r="Y234" s="20"/>
    </row>
    <row r="235" spans="2:25" x14ac:dyDescent="0.25">
      <c r="B235" s="19"/>
      <c r="D235" s="48" t="s">
        <v>2340</v>
      </c>
      <c r="E235" s="40"/>
      <c r="F235" s="40"/>
      <c r="G235" s="40"/>
      <c r="H235" s="40"/>
      <c r="I235" s="40"/>
      <c r="J235" s="40"/>
      <c r="K235" s="40"/>
      <c r="L235" s="40"/>
      <c r="M235" s="40"/>
      <c r="N235" s="826">
        <f>Surfaces!O197</f>
        <v>0</v>
      </c>
      <c r="O235" s="835"/>
      <c r="Y235" s="20"/>
    </row>
    <row r="236" spans="2:25" x14ac:dyDescent="0.25">
      <c r="B236" s="19"/>
      <c r="D236" s="79" t="s">
        <v>2344</v>
      </c>
      <c r="E236" s="79"/>
      <c r="F236" s="79"/>
      <c r="G236" s="79"/>
      <c r="H236" s="79"/>
      <c r="I236" s="79"/>
      <c r="J236" s="79"/>
      <c r="K236" s="79"/>
      <c r="L236" s="79"/>
      <c r="M236" s="79"/>
      <c r="N236" s="822">
        <f>IFERROR(N228/N234,0)</f>
        <v>0</v>
      </c>
      <c r="O236" s="823"/>
      <c r="P236" s="839">
        <f>IF(N236&gt;=0.75,3,IF(AND(N236&lt;0.75,N236&gt;=0.625),2.5,IF(AND(N236&lt;0.625,N236&gt;=0.5),2,IF(AND(N236&lt;0.5,N236&gt;=0.375),1.5,IF(AND(N236&lt;0.375,N236&gt;=0.25),1,0)))))</f>
        <v>0</v>
      </c>
      <c r="Q236" s="840"/>
      <c r="Y236" s="20"/>
    </row>
    <row r="237" spans="2:25" x14ac:dyDescent="0.25">
      <c r="B237" s="19"/>
      <c r="D237" s="79" t="s">
        <v>2341</v>
      </c>
      <c r="E237" s="79"/>
      <c r="F237" s="79"/>
      <c r="G237" s="79"/>
      <c r="H237" s="79"/>
      <c r="I237" s="79"/>
      <c r="J237" s="79"/>
      <c r="K237" s="79"/>
      <c r="L237" s="79"/>
      <c r="M237" s="79"/>
      <c r="N237" s="822">
        <f>IFERROR(N229/N235,0)</f>
        <v>0</v>
      </c>
      <c r="O237" s="823"/>
      <c r="P237" s="839">
        <f>IF(AND(N237&gt;=0.25,N237&lt;0.5),2,IF(AND(N237&gt;=0.5,N237&lt;0.75),4,IF(N237&gt;=0.75,6,0)))</f>
        <v>0</v>
      </c>
      <c r="Q237" s="840"/>
      <c r="W237" s="680" t="s">
        <v>713</v>
      </c>
      <c r="X237" s="680"/>
      <c r="Y237" s="20"/>
    </row>
    <row r="238" spans="2:25" x14ac:dyDescent="0.25">
      <c r="B238" s="19"/>
      <c r="D238" s="40" t="s">
        <v>298</v>
      </c>
      <c r="E238" s="40"/>
      <c r="F238" s="40"/>
      <c r="G238" s="40"/>
      <c r="H238" s="40"/>
      <c r="I238" s="40"/>
      <c r="J238" s="40"/>
      <c r="K238" s="40"/>
      <c r="L238" s="40"/>
      <c r="M238" s="40"/>
      <c r="N238" s="826">
        <f>Surfaces!O24</f>
        <v>0</v>
      </c>
      <c r="O238" s="835"/>
      <c r="P238" s="394"/>
      <c r="Q238" s="395"/>
      <c r="W238" s="305"/>
      <c r="X238" s="305"/>
      <c r="Y238" s="20"/>
    </row>
    <row r="239" spans="2:25" x14ac:dyDescent="0.25">
      <c r="B239" s="19"/>
      <c r="D239" s="88" t="s">
        <v>421</v>
      </c>
      <c r="E239" s="79"/>
      <c r="F239" s="79"/>
      <c r="G239" s="79"/>
      <c r="H239" s="79"/>
      <c r="I239" s="79"/>
      <c r="J239" s="79"/>
      <c r="K239" s="79"/>
      <c r="L239" s="79"/>
      <c r="M239" s="79"/>
      <c r="N239" s="140"/>
      <c r="O239" s="141"/>
      <c r="P239" s="833">
        <f>IF(ISBLANK(L11),0,IF(cSAU=0,0,IF(UTILISATION_CMR1&lt;&gt;"Oui",MIN((P236*(N234/N238))+(P237*(N235/N238)),6),0)))</f>
        <v>0</v>
      </c>
      <c r="Q239" s="834"/>
      <c r="W239" s="846">
        <f>IF(cSAU = 0,6,(6*(N235/N238))+(3*(SUM(N234:O234)/N238)))</f>
        <v>6</v>
      </c>
      <c r="X239" s="847"/>
      <c r="Y239" s="20"/>
    </row>
    <row r="240" spans="2:25" x14ac:dyDescent="0.25">
      <c r="B240" s="19"/>
      <c r="Y240" s="20"/>
    </row>
    <row r="241" spans="2:25" ht="15.75" thickBot="1" x14ac:dyDescent="0.3">
      <c r="B241" s="22"/>
      <c r="C241" s="23"/>
      <c r="D241" s="23"/>
      <c r="E241" s="23"/>
      <c r="F241" s="23"/>
      <c r="G241" s="23"/>
      <c r="H241" s="23"/>
      <c r="I241" s="23"/>
      <c r="J241" s="23"/>
      <c r="K241" s="23"/>
      <c r="L241" s="23"/>
      <c r="M241" s="23"/>
      <c r="N241" s="23"/>
      <c r="O241" s="23"/>
      <c r="P241" s="23"/>
      <c r="Q241" s="23"/>
      <c r="R241" s="23"/>
      <c r="S241" s="23"/>
      <c r="T241" s="23"/>
      <c r="U241" s="23"/>
      <c r="V241" s="23"/>
      <c r="W241" s="23"/>
      <c r="X241" s="23"/>
      <c r="Y241" s="24"/>
    </row>
    <row r="244" spans="2:25" ht="15.75" thickBot="1" x14ac:dyDescent="0.3"/>
    <row r="245" spans="2:25" x14ac:dyDescent="0.25">
      <c r="B245" s="16"/>
      <c r="C245" s="17"/>
      <c r="D245" s="17"/>
      <c r="E245" s="17"/>
      <c r="F245" s="17"/>
      <c r="G245" s="17"/>
      <c r="H245" s="17"/>
      <c r="I245" s="17"/>
      <c r="J245" s="17"/>
      <c r="K245" s="17"/>
      <c r="L245" s="17"/>
      <c r="M245" s="17"/>
      <c r="N245" s="17"/>
      <c r="O245" s="17"/>
      <c r="P245" s="17"/>
      <c r="Q245" s="17"/>
      <c r="R245" s="17"/>
      <c r="S245" s="17"/>
      <c r="T245" s="17"/>
      <c r="U245" s="17"/>
      <c r="V245" s="17"/>
      <c r="W245" s="17"/>
      <c r="X245" s="17"/>
      <c r="Y245" s="18"/>
    </row>
    <row r="246" spans="2:25" x14ac:dyDescent="0.25">
      <c r="B246" s="19"/>
      <c r="Y246" s="20"/>
    </row>
    <row r="247" spans="2:25" x14ac:dyDescent="0.25">
      <c r="B247" s="19"/>
      <c r="C247" s="396" t="s">
        <v>2508</v>
      </c>
      <c r="Y247" s="20"/>
    </row>
    <row r="248" spans="2:25" x14ac:dyDescent="0.25">
      <c r="B248" s="19"/>
      <c r="Y248" s="20"/>
    </row>
    <row r="249" spans="2:25" x14ac:dyDescent="0.25">
      <c r="B249" s="19"/>
      <c r="J249" s="919" t="s">
        <v>257</v>
      </c>
      <c r="K249" s="919"/>
      <c r="Y249" s="20"/>
    </row>
    <row r="250" spans="2:25" x14ac:dyDescent="0.25">
      <c r="B250" s="19"/>
      <c r="C250" s="47" t="s">
        <v>385</v>
      </c>
      <c r="D250" s="47"/>
      <c r="E250" s="47"/>
      <c r="F250" s="47"/>
      <c r="G250" s="47"/>
      <c r="H250" s="47"/>
      <c r="I250" s="43"/>
      <c r="J250" s="703"/>
      <c r="K250" s="704"/>
      <c r="Y250" s="20"/>
    </row>
    <row r="251" spans="2:25" x14ac:dyDescent="0.25">
      <c r="B251" s="19"/>
      <c r="Y251" s="20"/>
    </row>
    <row r="252" spans="2:25" x14ac:dyDescent="0.25">
      <c r="B252" s="19"/>
      <c r="Y252" s="20"/>
    </row>
    <row r="253" spans="2:25" x14ac:dyDescent="0.25">
      <c r="B253" s="19"/>
      <c r="C253" s="42" t="s">
        <v>2345</v>
      </c>
      <c r="Y253" s="20"/>
    </row>
    <row r="254" spans="2:25" x14ac:dyDescent="0.25">
      <c r="B254" s="19"/>
      <c r="C254" s="702"/>
      <c r="D254" s="668"/>
      <c r="E254" s="668"/>
      <c r="F254" s="668"/>
      <c r="G254" s="668"/>
      <c r="H254" s="668"/>
      <c r="I254" s="668"/>
      <c r="J254" s="668"/>
      <c r="K254" s="668"/>
      <c r="L254" s="668"/>
      <c r="M254" s="668"/>
      <c r="N254" s="668"/>
      <c r="O254" s="668"/>
      <c r="P254" s="668"/>
      <c r="Q254" s="668"/>
      <c r="R254" s="668"/>
      <c r="S254" s="668"/>
      <c r="T254" s="668"/>
      <c r="U254" s="668"/>
      <c r="V254" s="668"/>
      <c r="W254" s="669"/>
      <c r="Y254" s="20"/>
    </row>
    <row r="255" spans="2:25" x14ac:dyDescent="0.25">
      <c r="B255" s="19"/>
      <c r="C255" s="670"/>
      <c r="D255" s="671"/>
      <c r="E255" s="671"/>
      <c r="F255" s="671"/>
      <c r="G255" s="671"/>
      <c r="H255" s="671"/>
      <c r="I255" s="671"/>
      <c r="J255" s="671"/>
      <c r="K255" s="671"/>
      <c r="L255" s="671"/>
      <c r="M255" s="671"/>
      <c r="N255" s="671"/>
      <c r="O255" s="671"/>
      <c r="P255" s="671"/>
      <c r="Q255" s="671"/>
      <c r="R255" s="671"/>
      <c r="S255" s="671"/>
      <c r="T255" s="671"/>
      <c r="U255" s="671"/>
      <c r="V255" s="671"/>
      <c r="W255" s="672"/>
      <c r="Y255" s="20"/>
    </row>
    <row r="256" spans="2:25" x14ac:dyDescent="0.25">
      <c r="B256" s="19"/>
      <c r="C256" s="670"/>
      <c r="D256" s="671"/>
      <c r="E256" s="671"/>
      <c r="F256" s="671"/>
      <c r="G256" s="671"/>
      <c r="H256" s="671"/>
      <c r="I256" s="671"/>
      <c r="J256" s="671"/>
      <c r="K256" s="671"/>
      <c r="L256" s="671"/>
      <c r="M256" s="671"/>
      <c r="N256" s="671"/>
      <c r="O256" s="671"/>
      <c r="P256" s="671"/>
      <c r="Q256" s="671"/>
      <c r="R256" s="671"/>
      <c r="S256" s="671"/>
      <c r="T256" s="671"/>
      <c r="U256" s="671"/>
      <c r="V256" s="671"/>
      <c r="W256" s="672"/>
      <c r="Y256" s="20"/>
    </row>
    <row r="257" spans="2:25" x14ac:dyDescent="0.25">
      <c r="B257" s="19"/>
      <c r="C257" s="670"/>
      <c r="D257" s="671"/>
      <c r="E257" s="671"/>
      <c r="F257" s="671"/>
      <c r="G257" s="671"/>
      <c r="H257" s="671"/>
      <c r="I257" s="671"/>
      <c r="J257" s="671"/>
      <c r="K257" s="671"/>
      <c r="L257" s="671"/>
      <c r="M257" s="671"/>
      <c r="N257" s="671"/>
      <c r="O257" s="671"/>
      <c r="P257" s="671"/>
      <c r="Q257" s="671"/>
      <c r="R257" s="671"/>
      <c r="S257" s="671"/>
      <c r="T257" s="671"/>
      <c r="U257" s="671"/>
      <c r="V257" s="671"/>
      <c r="W257" s="672"/>
      <c r="Y257" s="20"/>
    </row>
    <row r="258" spans="2:25" x14ac:dyDescent="0.25">
      <c r="B258" s="19"/>
      <c r="C258" s="673"/>
      <c r="D258" s="674"/>
      <c r="E258" s="674"/>
      <c r="F258" s="674"/>
      <c r="G258" s="674"/>
      <c r="H258" s="674"/>
      <c r="I258" s="674"/>
      <c r="J258" s="674"/>
      <c r="K258" s="674"/>
      <c r="L258" s="674"/>
      <c r="M258" s="674"/>
      <c r="N258" s="674"/>
      <c r="O258" s="674"/>
      <c r="P258" s="674"/>
      <c r="Q258" s="674"/>
      <c r="R258" s="674"/>
      <c r="S258" s="674"/>
      <c r="T258" s="674"/>
      <c r="U258" s="674"/>
      <c r="V258" s="674"/>
      <c r="W258" s="675"/>
      <c r="Y258" s="20"/>
    </row>
    <row r="259" spans="2:25" x14ac:dyDescent="0.25">
      <c r="B259" s="19"/>
      <c r="Y259" s="20"/>
    </row>
    <row r="260" spans="2:25" x14ac:dyDescent="0.25">
      <c r="B260" s="19"/>
      <c r="C260" s="42"/>
      <c r="Y260" s="20"/>
    </row>
    <row r="261" spans="2:25" x14ac:dyDescent="0.25">
      <c r="B261" s="19"/>
      <c r="D261" s="651" t="s">
        <v>239</v>
      </c>
      <c r="E261" s="651"/>
      <c r="Y261" s="20"/>
    </row>
    <row r="262" spans="2:25" x14ac:dyDescent="0.25">
      <c r="B262" s="19"/>
      <c r="D262" s="924"/>
      <c r="E262" s="924"/>
      <c r="W262" s="680" t="s">
        <v>713</v>
      </c>
      <c r="X262" s="680"/>
      <c r="Y262" s="20"/>
    </row>
    <row r="263" spans="2:25" x14ac:dyDescent="0.25">
      <c r="B263" s="19"/>
      <c r="D263" s="922">
        <f>IF(ISBLANK(L11),0,IF(UTILISATION_CMR1&lt;&gt;"Oui",IFERROR(IF(J250=1,1,IF(J250&gt;=2,2,0)),0),0))</f>
        <v>0</v>
      </c>
      <c r="E263" s="923"/>
      <c r="F263" s="143"/>
      <c r="W263" s="844">
        <v>2</v>
      </c>
      <c r="X263" s="845"/>
      <c r="Y263" s="20"/>
    </row>
    <row r="264" spans="2:25" x14ac:dyDescent="0.25">
      <c r="B264" s="19"/>
      <c r="Y264" s="20"/>
    </row>
    <row r="265" spans="2:25" ht="15.75" thickBot="1" x14ac:dyDescent="0.3">
      <c r="B265" s="22"/>
      <c r="C265" s="23"/>
      <c r="D265" s="23"/>
      <c r="E265" s="23"/>
      <c r="F265" s="23"/>
      <c r="G265" s="23"/>
      <c r="H265" s="23"/>
      <c r="I265" s="23"/>
      <c r="J265" s="23"/>
      <c r="K265" s="23"/>
      <c r="L265" s="23"/>
      <c r="M265" s="23"/>
      <c r="N265" s="23"/>
      <c r="O265" s="23"/>
      <c r="P265" s="23"/>
      <c r="Q265" s="23"/>
      <c r="R265" s="23"/>
      <c r="S265" s="23"/>
      <c r="T265" s="23"/>
      <c r="U265" s="23"/>
      <c r="V265" s="23"/>
      <c r="W265" s="23"/>
      <c r="X265" s="23"/>
      <c r="Y265" s="24"/>
    </row>
    <row r="268" spans="2:25" ht="15.75" thickBot="1" x14ac:dyDescent="0.3"/>
    <row r="269" spans="2:25" x14ac:dyDescent="0.25">
      <c r="B269" s="16"/>
      <c r="C269" s="17"/>
      <c r="D269" s="17"/>
      <c r="E269" s="17"/>
      <c r="F269" s="17"/>
      <c r="G269" s="17"/>
      <c r="H269" s="17"/>
      <c r="I269" s="17"/>
      <c r="J269" s="17"/>
      <c r="K269" s="17"/>
      <c r="L269" s="17"/>
      <c r="M269" s="17"/>
      <c r="N269" s="17"/>
      <c r="O269" s="17"/>
      <c r="P269" s="17"/>
      <c r="Q269" s="17"/>
      <c r="R269" s="17"/>
      <c r="S269" s="17"/>
      <c r="T269" s="17"/>
      <c r="U269" s="17"/>
      <c r="V269" s="17"/>
      <c r="W269" s="17"/>
      <c r="X269" s="17"/>
      <c r="Y269" s="18"/>
    </row>
    <row r="270" spans="2:25" x14ac:dyDescent="0.25">
      <c r="B270" s="19"/>
      <c r="L270" s="651" t="s">
        <v>239</v>
      </c>
      <c r="M270" s="651"/>
      <c r="Y270" s="20"/>
    </row>
    <row r="271" spans="2:25" x14ac:dyDescent="0.25">
      <c r="B271" s="19"/>
      <c r="C271" s="42" t="s">
        <v>306</v>
      </c>
      <c r="Y271" s="20"/>
    </row>
    <row r="272" spans="2:25" x14ac:dyDescent="0.25">
      <c r="B272" s="19"/>
      <c r="D272" s="47" t="s">
        <v>315</v>
      </c>
      <c r="E272" s="47"/>
      <c r="F272" s="47"/>
      <c r="G272" s="47"/>
      <c r="H272" s="47"/>
      <c r="I272" s="43"/>
      <c r="J272" s="703"/>
      <c r="K272" s="704"/>
      <c r="L272" s="841">
        <f>IF(J272="",0,IF(J272&lt;2,0,IF(J272=2,1,IF(J272&gt;=3,2,0))))</f>
        <v>0</v>
      </c>
      <c r="M272" s="842"/>
      <c r="Y272" s="20"/>
    </row>
    <row r="273" spans="2:25" x14ac:dyDescent="0.25">
      <c r="B273" s="19"/>
      <c r="Y273" s="20"/>
    </row>
    <row r="274" spans="2:25" x14ac:dyDescent="0.25">
      <c r="B274" s="19"/>
      <c r="C274" s="42" t="s">
        <v>316</v>
      </c>
      <c r="Y274" s="20"/>
    </row>
    <row r="275" spans="2:25" x14ac:dyDescent="0.25">
      <c r="B275" s="19"/>
      <c r="D275" s="47" t="s">
        <v>317</v>
      </c>
      <c r="E275" s="47"/>
      <c r="F275" s="47"/>
      <c r="G275" s="47"/>
      <c r="H275" s="47"/>
      <c r="I275" s="43"/>
      <c r="J275" s="836">
        <f>Biodiversité!I147</f>
        <v>0</v>
      </c>
      <c r="K275" s="835"/>
      <c r="Y275" s="20"/>
    </row>
    <row r="276" spans="2:25" x14ac:dyDescent="0.25">
      <c r="B276" s="19"/>
      <c r="D276" s="48" t="s">
        <v>318</v>
      </c>
      <c r="E276" s="48"/>
      <c r="F276" s="48"/>
      <c r="G276" s="48"/>
      <c r="H276" s="48"/>
      <c r="I276" s="44"/>
      <c r="J276" s="703"/>
      <c r="K276" s="704"/>
      <c r="Y276" s="20"/>
    </row>
    <row r="277" spans="2:25" x14ac:dyDescent="0.25">
      <c r="B277" s="19"/>
      <c r="D277" s="48" t="s">
        <v>319</v>
      </c>
      <c r="E277" s="48"/>
      <c r="F277" s="48"/>
      <c r="G277" s="48"/>
      <c r="H277" s="48"/>
      <c r="I277" s="44"/>
      <c r="J277" s="703"/>
      <c r="K277" s="704"/>
      <c r="L277" s="841">
        <f>IFERROR(MIN(J276+(J277*2),6),0)</f>
        <v>0</v>
      </c>
      <c r="M277" s="842"/>
      <c r="O277" s="843" t="str">
        <f>IF(SUM(J276:K277)&gt;J275,"ATTENTION : Problème de cohérence des données","")</f>
        <v/>
      </c>
      <c r="P277" s="843"/>
      <c r="Q277" s="843"/>
      <c r="R277" s="843"/>
      <c r="S277" s="843"/>
      <c r="T277" s="843"/>
      <c r="Y277" s="20"/>
    </row>
    <row r="278" spans="2:25" x14ac:dyDescent="0.25">
      <c r="B278" s="19"/>
      <c r="Y278" s="20"/>
    </row>
    <row r="279" spans="2:25" x14ac:dyDescent="0.25">
      <c r="B279" s="19"/>
      <c r="C279" s="42" t="s">
        <v>4879</v>
      </c>
      <c r="Y279" s="20"/>
    </row>
    <row r="280" spans="2:25" x14ac:dyDescent="0.25">
      <c r="B280" s="19"/>
      <c r="D280" s="47" t="s">
        <v>317</v>
      </c>
      <c r="E280" s="47"/>
      <c r="F280" s="47"/>
      <c r="G280" s="47"/>
      <c r="H280" s="47"/>
      <c r="I280" s="43"/>
      <c r="J280" s="836">
        <f>Biodiversité!I145+Biodiversité!I146</f>
        <v>0</v>
      </c>
      <c r="K280" s="835"/>
      <c r="Y280" s="20"/>
    </row>
    <row r="281" spans="2:25" x14ac:dyDescent="0.25">
      <c r="B281" s="19"/>
      <c r="D281" s="48" t="s">
        <v>318</v>
      </c>
      <c r="E281" s="48"/>
      <c r="F281" s="48"/>
      <c r="G281" s="48"/>
      <c r="H281" s="48"/>
      <c r="I281" s="44"/>
      <c r="J281" s="703"/>
      <c r="K281" s="704"/>
      <c r="Y281" s="20"/>
    </row>
    <row r="282" spans="2:25" x14ac:dyDescent="0.25">
      <c r="B282" s="19"/>
      <c r="D282" s="48" t="s">
        <v>319</v>
      </c>
      <c r="E282" s="48"/>
      <c r="F282" s="48"/>
      <c r="G282" s="48"/>
      <c r="H282" s="48"/>
      <c r="I282" s="44"/>
      <c r="J282" s="703"/>
      <c r="K282" s="704"/>
      <c r="L282" s="841">
        <f>IFERROR(MIN(J281+(J282*2),6),0)</f>
        <v>0</v>
      </c>
      <c r="M282" s="842"/>
      <c r="O282" s="843" t="str">
        <f>IF(SUM(J281:K282)&gt;J280,"ATTENTION : Problème de cohérence des données","")</f>
        <v/>
      </c>
      <c r="P282" s="843"/>
      <c r="Q282" s="843"/>
      <c r="R282" s="843"/>
      <c r="S282" s="843"/>
      <c r="T282" s="843"/>
      <c r="Y282" s="20"/>
    </row>
    <row r="283" spans="2:25" x14ac:dyDescent="0.25">
      <c r="B283" s="19"/>
      <c r="Y283" s="20"/>
    </row>
    <row r="284" spans="2:25" x14ac:dyDescent="0.25">
      <c r="B284" s="19"/>
      <c r="C284" s="42" t="s">
        <v>124</v>
      </c>
      <c r="Y284" s="20"/>
    </row>
    <row r="285" spans="2:25" x14ac:dyDescent="0.25">
      <c r="B285" s="19"/>
      <c r="D285" s="47" t="s">
        <v>317</v>
      </c>
      <c r="E285" s="47"/>
      <c r="F285" s="47"/>
      <c r="G285" s="47"/>
      <c r="H285" s="47"/>
      <c r="I285" s="43"/>
      <c r="J285" s="836">
        <f>Biodiversité!I148</f>
        <v>0</v>
      </c>
      <c r="K285" s="835"/>
      <c r="Y285" s="20"/>
    </row>
    <row r="286" spans="2:25" x14ac:dyDescent="0.25">
      <c r="B286" s="19"/>
      <c r="D286" s="48" t="s">
        <v>318</v>
      </c>
      <c r="E286" s="48"/>
      <c r="F286" s="48"/>
      <c r="G286" s="48"/>
      <c r="H286" s="48"/>
      <c r="I286" s="44"/>
      <c r="J286" s="703"/>
      <c r="K286" s="704"/>
      <c r="Y286" s="20"/>
    </row>
    <row r="287" spans="2:25" x14ac:dyDescent="0.25">
      <c r="B287" s="19"/>
      <c r="D287" s="48" t="s">
        <v>319</v>
      </c>
      <c r="E287" s="48"/>
      <c r="F287" s="48"/>
      <c r="G287" s="48"/>
      <c r="H287" s="48"/>
      <c r="I287" s="44"/>
      <c r="J287" s="703"/>
      <c r="K287" s="704"/>
      <c r="L287" s="841">
        <f>IFERROR(MIN(J286+(J287*2),6),0)</f>
        <v>0</v>
      </c>
      <c r="M287" s="842"/>
      <c r="O287" s="843" t="str">
        <f>IF(SUM(J286:K287)&gt;J285,"ATTENTION : Problème de cohérence des données","")</f>
        <v/>
      </c>
      <c r="P287" s="843"/>
      <c r="Q287" s="843"/>
      <c r="R287" s="843"/>
      <c r="S287" s="843"/>
      <c r="T287" s="843"/>
      <c r="Y287" s="20"/>
    </row>
    <row r="288" spans="2:25" x14ac:dyDescent="0.25">
      <c r="B288" s="19"/>
      <c r="Y288" s="20"/>
    </row>
    <row r="289" spans="2:25" x14ac:dyDescent="0.25">
      <c r="B289" s="19"/>
      <c r="Y289" s="20"/>
    </row>
    <row r="290" spans="2:25" x14ac:dyDescent="0.25">
      <c r="B290" s="19"/>
      <c r="C290" s="42"/>
      <c r="D290" s="77" t="s">
        <v>298</v>
      </c>
      <c r="E290" s="77"/>
      <c r="F290" s="77"/>
      <c r="G290" s="77"/>
      <c r="H290" s="77"/>
      <c r="I290" s="102"/>
      <c r="J290" s="826">
        <f>Surfaces!O24</f>
        <v>0</v>
      </c>
      <c r="K290" s="835"/>
      <c r="L290" s="918"/>
      <c r="M290" s="919"/>
      <c r="Y290" s="20"/>
    </row>
    <row r="291" spans="2:25" x14ac:dyDescent="0.25">
      <c r="B291" s="19"/>
      <c r="C291" s="42"/>
      <c r="D291" s="78" t="s">
        <v>593</v>
      </c>
      <c r="E291" s="78"/>
      <c r="F291" s="78"/>
      <c r="G291" s="78"/>
      <c r="H291" s="78"/>
      <c r="I291" s="103"/>
      <c r="J291" s="822">
        <f>IFERROR(Surfaces!O141/J290,0)</f>
        <v>0</v>
      </c>
      <c r="K291" s="823"/>
      <c r="L291" s="920">
        <f>IFERROR(L272*J291,0)</f>
        <v>0</v>
      </c>
      <c r="M291" s="921"/>
      <c r="Y291" s="20"/>
    </row>
    <row r="292" spans="2:25" x14ac:dyDescent="0.25">
      <c r="B292" s="19"/>
      <c r="C292" s="42"/>
      <c r="D292" s="78" t="s">
        <v>888</v>
      </c>
      <c r="E292" s="78"/>
      <c r="F292" s="78"/>
      <c r="G292" s="78"/>
      <c r="H292" s="78"/>
      <c r="I292" s="103"/>
      <c r="J292" s="822">
        <f>IFERROR(SUM(Surfaces!O144:O158,Surfaces!O161)/Phyto!J290,0)</f>
        <v>0</v>
      </c>
      <c r="K292" s="823"/>
      <c r="L292" s="920">
        <f>IFERROR(L277*J292,0)</f>
        <v>0</v>
      </c>
      <c r="M292" s="921"/>
      <c r="Y292" s="20"/>
    </row>
    <row r="293" spans="2:25" x14ac:dyDescent="0.25">
      <c r="B293" s="19"/>
      <c r="C293" s="42"/>
      <c r="D293" s="78" t="s">
        <v>2557</v>
      </c>
      <c r="E293" s="78"/>
      <c r="F293" s="78"/>
      <c r="G293" s="78"/>
      <c r="H293" s="78"/>
      <c r="I293" s="103"/>
      <c r="J293" s="822">
        <f>IFERROR(SUM(Surfaces!O133:O135)/Phyto!J290,0)</f>
        <v>0</v>
      </c>
      <c r="K293" s="823"/>
      <c r="L293" s="920">
        <f>IFERROR(L282*J293,0)</f>
        <v>0</v>
      </c>
      <c r="M293" s="921"/>
      <c r="Y293" s="20"/>
    </row>
    <row r="294" spans="2:25" x14ac:dyDescent="0.25">
      <c r="B294" s="19"/>
      <c r="C294" s="42"/>
      <c r="D294" s="78" t="s">
        <v>889</v>
      </c>
      <c r="E294" s="78"/>
      <c r="F294" s="78"/>
      <c r="G294" s="78"/>
      <c r="H294" s="78"/>
      <c r="I294" s="103"/>
      <c r="J294" s="822">
        <f>IFERROR(Surfaces!O136/Phyto!J290,0)</f>
        <v>0</v>
      </c>
      <c r="K294" s="823"/>
      <c r="L294" s="920">
        <f>IFERROR(L287*J294,0)</f>
        <v>0</v>
      </c>
      <c r="M294" s="921"/>
      <c r="Y294" s="20"/>
    </row>
    <row r="295" spans="2:25" x14ac:dyDescent="0.25">
      <c r="B295" s="19"/>
      <c r="L295" s="843"/>
      <c r="M295" s="843"/>
      <c r="W295" s="680" t="s">
        <v>713</v>
      </c>
      <c r="X295" s="680"/>
      <c r="Y295" s="20"/>
    </row>
    <row r="296" spans="2:25" x14ac:dyDescent="0.25">
      <c r="B296" s="19"/>
      <c r="D296" s="39" t="s">
        <v>421</v>
      </c>
      <c r="E296" s="40"/>
      <c r="F296" s="40"/>
      <c r="G296" s="40"/>
      <c r="H296" s="40"/>
      <c r="I296" s="40"/>
      <c r="J296" s="140"/>
      <c r="K296" s="141"/>
      <c r="L296" s="712">
        <f>IF(ISBLANK(L11),0,IFERROR(IF(UTILISATION_CMR1="Oui",0,IF(cSAU=0,0,SUM(L291:M294))),0))</f>
        <v>0</v>
      </c>
      <c r="M296" s="713"/>
      <c r="N296" t="s">
        <v>384</v>
      </c>
      <c r="W296" s="681">
        <f>IF(cSAU = 0,6,(2*J291)+(6*(J292+J293+J294)))</f>
        <v>6</v>
      </c>
      <c r="X296" s="682"/>
      <c r="Y296" s="20"/>
    </row>
    <row r="297" spans="2:25" x14ac:dyDescent="0.25">
      <c r="B297" s="19"/>
      <c r="D297" s="42"/>
      <c r="J297" s="139"/>
      <c r="K297" s="139"/>
      <c r="L297" s="41"/>
      <c r="M297" s="41"/>
      <c r="Y297" s="20"/>
    </row>
    <row r="298" spans="2:25" x14ac:dyDescent="0.25">
      <c r="B298" s="19"/>
      <c r="D298" s="42"/>
      <c r="J298" s="139"/>
      <c r="K298" s="139"/>
      <c r="L298" s="41"/>
      <c r="M298" s="41"/>
      <c r="Y298" s="20"/>
    </row>
    <row r="299" spans="2:25" x14ac:dyDescent="0.25">
      <c r="B299" s="19"/>
      <c r="D299" s="70" t="s">
        <v>2506</v>
      </c>
      <c r="Y299" s="20"/>
    </row>
    <row r="300" spans="2:25" x14ac:dyDescent="0.25">
      <c r="B300" s="19"/>
      <c r="D300" s="667"/>
      <c r="E300" s="668"/>
      <c r="F300" s="668"/>
      <c r="G300" s="668"/>
      <c r="H300" s="668"/>
      <c r="I300" s="668"/>
      <c r="J300" s="668"/>
      <c r="K300" s="668"/>
      <c r="L300" s="668"/>
      <c r="M300" s="668"/>
      <c r="N300" s="668"/>
      <c r="O300" s="668"/>
      <c r="P300" s="668"/>
      <c r="Q300" s="668"/>
      <c r="R300" s="668"/>
      <c r="S300" s="668"/>
      <c r="T300" s="668"/>
      <c r="U300" s="668"/>
      <c r="V300" s="668"/>
      <c r="W300" s="668"/>
      <c r="X300" s="669"/>
      <c r="Y300" s="20"/>
    </row>
    <row r="301" spans="2:25" x14ac:dyDescent="0.25">
      <c r="B301" s="19"/>
      <c r="D301" s="670"/>
      <c r="E301" s="671"/>
      <c r="F301" s="671"/>
      <c r="G301" s="671"/>
      <c r="H301" s="671"/>
      <c r="I301" s="671"/>
      <c r="J301" s="671"/>
      <c r="K301" s="671"/>
      <c r="L301" s="671"/>
      <c r="M301" s="671"/>
      <c r="N301" s="671"/>
      <c r="O301" s="671"/>
      <c r="P301" s="671"/>
      <c r="Q301" s="671"/>
      <c r="R301" s="671"/>
      <c r="S301" s="671"/>
      <c r="T301" s="671"/>
      <c r="U301" s="671"/>
      <c r="V301" s="671"/>
      <c r="W301" s="671"/>
      <c r="X301" s="672"/>
      <c r="Y301" s="20"/>
    </row>
    <row r="302" spans="2:25" x14ac:dyDescent="0.25">
      <c r="B302" s="19"/>
      <c r="D302" s="670"/>
      <c r="E302" s="671"/>
      <c r="F302" s="671"/>
      <c r="G302" s="671"/>
      <c r="H302" s="671"/>
      <c r="I302" s="671"/>
      <c r="J302" s="671"/>
      <c r="K302" s="671"/>
      <c r="L302" s="671"/>
      <c r="M302" s="671"/>
      <c r="N302" s="671"/>
      <c r="O302" s="671"/>
      <c r="P302" s="671"/>
      <c r="Q302" s="671"/>
      <c r="R302" s="671"/>
      <c r="S302" s="671"/>
      <c r="T302" s="671"/>
      <c r="U302" s="671"/>
      <c r="V302" s="671"/>
      <c r="W302" s="671"/>
      <c r="X302" s="672"/>
      <c r="Y302" s="20"/>
    </row>
    <row r="303" spans="2:25" x14ac:dyDescent="0.25">
      <c r="B303" s="19"/>
      <c r="D303" s="670"/>
      <c r="E303" s="671"/>
      <c r="F303" s="671"/>
      <c r="G303" s="671"/>
      <c r="H303" s="671"/>
      <c r="I303" s="671"/>
      <c r="J303" s="671"/>
      <c r="K303" s="671"/>
      <c r="L303" s="671"/>
      <c r="M303" s="671"/>
      <c r="N303" s="671"/>
      <c r="O303" s="671"/>
      <c r="P303" s="671"/>
      <c r="Q303" s="671"/>
      <c r="R303" s="671"/>
      <c r="S303" s="671"/>
      <c r="T303" s="671"/>
      <c r="U303" s="671"/>
      <c r="V303" s="671"/>
      <c r="W303" s="671"/>
      <c r="X303" s="672"/>
      <c r="Y303" s="20"/>
    </row>
    <row r="304" spans="2:25" x14ac:dyDescent="0.25">
      <c r="B304" s="19"/>
      <c r="D304" s="673"/>
      <c r="E304" s="674"/>
      <c r="F304" s="674"/>
      <c r="G304" s="674"/>
      <c r="H304" s="674"/>
      <c r="I304" s="674"/>
      <c r="J304" s="674"/>
      <c r="K304" s="674"/>
      <c r="L304" s="674"/>
      <c r="M304" s="674"/>
      <c r="N304" s="674"/>
      <c r="O304" s="674"/>
      <c r="P304" s="674"/>
      <c r="Q304" s="674"/>
      <c r="R304" s="674"/>
      <c r="S304" s="674"/>
      <c r="T304" s="674"/>
      <c r="U304" s="674"/>
      <c r="V304" s="674"/>
      <c r="W304" s="674"/>
      <c r="X304" s="675"/>
      <c r="Y304" s="20"/>
    </row>
    <row r="305" spans="2:25" x14ac:dyDescent="0.25">
      <c r="B305" s="19"/>
      <c r="D305" s="42"/>
      <c r="J305" s="139"/>
      <c r="K305" s="139"/>
      <c r="L305" s="41"/>
      <c r="M305" s="41"/>
      <c r="Y305" s="20"/>
    </row>
    <row r="306" spans="2:25" ht="15.75" thickBot="1" x14ac:dyDescent="0.3">
      <c r="B306" s="22"/>
      <c r="C306" s="23"/>
      <c r="D306" s="23"/>
      <c r="E306" s="23"/>
      <c r="F306" s="23"/>
      <c r="G306" s="23"/>
      <c r="H306" s="23"/>
      <c r="I306" s="23"/>
      <c r="J306" s="23"/>
      <c r="K306" s="23"/>
      <c r="L306" s="23"/>
      <c r="M306" s="23"/>
      <c r="N306" s="23"/>
      <c r="O306" s="23"/>
      <c r="P306" s="23"/>
      <c r="Q306" s="23"/>
      <c r="R306" s="23"/>
      <c r="S306" s="23"/>
      <c r="T306" s="23"/>
      <c r="U306" s="23"/>
      <c r="V306" s="23"/>
      <c r="W306" s="23"/>
      <c r="X306" s="23"/>
      <c r="Y306" s="24"/>
    </row>
    <row r="309" spans="2:25" ht="15.75" thickBot="1" x14ac:dyDescent="0.3"/>
    <row r="310" spans="2:25" x14ac:dyDescent="0.25">
      <c r="B310" s="16"/>
      <c r="C310" s="17"/>
      <c r="D310" s="17"/>
      <c r="E310" s="17"/>
      <c r="F310" s="17"/>
      <c r="G310" s="17"/>
      <c r="H310" s="17"/>
      <c r="I310" s="17"/>
      <c r="J310" s="17"/>
      <c r="K310" s="17"/>
      <c r="L310" s="17"/>
      <c r="M310" s="17"/>
      <c r="N310" s="17"/>
      <c r="O310" s="17"/>
      <c r="P310" s="17"/>
      <c r="Q310" s="17"/>
      <c r="R310" s="17"/>
      <c r="S310" s="17"/>
      <c r="T310" s="17"/>
      <c r="U310" s="17"/>
      <c r="V310" s="17"/>
      <c r="W310" s="17"/>
      <c r="X310" s="17"/>
      <c r="Y310" s="18"/>
    </row>
    <row r="311" spans="2:25" x14ac:dyDescent="0.25">
      <c r="B311" s="19"/>
      <c r="Y311" s="20"/>
    </row>
    <row r="312" spans="2:25" x14ac:dyDescent="0.25">
      <c r="B312" s="19"/>
      <c r="C312" s="898" t="s">
        <v>2509</v>
      </c>
      <c r="D312" s="898"/>
      <c r="E312" s="898"/>
      <c r="F312" s="898"/>
      <c r="G312" s="898"/>
      <c r="H312" s="898"/>
      <c r="I312" s="898"/>
      <c r="J312" s="898"/>
      <c r="K312" s="898"/>
      <c r="L312" s="898"/>
      <c r="M312" s="898"/>
      <c r="N312" s="898"/>
      <c r="O312" s="898"/>
      <c r="P312" s="898"/>
      <c r="Q312" s="898"/>
      <c r="R312" s="898"/>
      <c r="S312" s="898"/>
      <c r="T312" s="898"/>
      <c r="Y312" s="20"/>
    </row>
    <row r="313" spans="2:25" x14ac:dyDescent="0.25">
      <c r="B313" s="19"/>
      <c r="C313" s="898"/>
      <c r="D313" s="898"/>
      <c r="E313" s="898"/>
      <c r="F313" s="898"/>
      <c r="G313" s="898"/>
      <c r="H313" s="898"/>
      <c r="I313" s="898"/>
      <c r="J313" s="898"/>
      <c r="K313" s="898"/>
      <c r="L313" s="898"/>
      <c r="M313" s="898"/>
      <c r="N313" s="898"/>
      <c r="O313" s="898"/>
      <c r="P313" s="898"/>
      <c r="Q313" s="898"/>
      <c r="R313" s="898"/>
      <c r="S313" s="898"/>
      <c r="T313" s="898"/>
      <c r="Y313" s="20"/>
    </row>
    <row r="314" spans="2:25" x14ac:dyDescent="0.25">
      <c r="B314" s="19"/>
      <c r="J314" s="832" t="s">
        <v>252</v>
      </c>
      <c r="K314" s="832"/>
      <c r="Y314" s="20"/>
    </row>
    <row r="315" spans="2:25" x14ac:dyDescent="0.25">
      <c r="B315" s="19"/>
      <c r="C315" s="47" t="s">
        <v>2346</v>
      </c>
      <c r="D315" s="47"/>
      <c r="E315" s="47"/>
      <c r="F315" s="47"/>
      <c r="G315" s="47"/>
      <c r="H315" s="47"/>
      <c r="I315" s="43"/>
      <c r="J315" s="830"/>
      <c r="K315" s="831"/>
      <c r="M315" s="143" t="str">
        <f>IF(J315&gt;J322,"Attention : surface saisie &gt; surface en vignes","")</f>
        <v/>
      </c>
      <c r="Y315" s="20"/>
    </row>
    <row r="316" spans="2:25" x14ac:dyDescent="0.25">
      <c r="B316" s="19"/>
      <c r="C316" s="48" t="s">
        <v>2347</v>
      </c>
      <c r="D316" s="48"/>
      <c r="E316" s="48"/>
      <c r="F316" s="48"/>
      <c r="G316" s="48"/>
      <c r="H316" s="48"/>
      <c r="I316" s="44"/>
      <c r="J316" s="830"/>
      <c r="K316" s="831"/>
      <c r="M316" s="143" t="str">
        <f>IF(J316&gt;J323,"Attention : surface saisie &gt; surface en arboriculture et autres cultures pérennes","")</f>
        <v/>
      </c>
      <c r="Y316" s="20"/>
    </row>
    <row r="317" spans="2:25" x14ac:dyDescent="0.25">
      <c r="B317" s="19"/>
      <c r="C317" s="48" t="s">
        <v>2411</v>
      </c>
      <c r="D317" s="48"/>
      <c r="E317" s="48"/>
      <c r="F317" s="48"/>
      <c r="G317" s="48"/>
      <c r="H317" s="48"/>
      <c r="I317" s="44"/>
      <c r="J317" s="830"/>
      <c r="K317" s="831"/>
      <c r="M317" s="143" t="str">
        <f>IF(J317&gt;J324,"Attention : surface saisie &gt; surface en horticulture-pépinière de pleine terre","")</f>
        <v/>
      </c>
      <c r="Y317" s="20"/>
    </row>
    <row r="318" spans="2:25" x14ac:dyDescent="0.25">
      <c r="B318" s="19"/>
      <c r="Y318" s="20"/>
    </row>
    <row r="319" spans="2:25" x14ac:dyDescent="0.25">
      <c r="B319" s="19"/>
      <c r="Y319" s="20"/>
    </row>
    <row r="320" spans="2:25" x14ac:dyDescent="0.25">
      <c r="B320" s="19"/>
      <c r="C320" s="42"/>
      <c r="L320" s="651" t="s">
        <v>239</v>
      </c>
      <c r="M320" s="651"/>
      <c r="Y320" s="20"/>
    </row>
    <row r="321" spans="2:25" x14ac:dyDescent="0.25">
      <c r="B321" s="19"/>
      <c r="L321" s="96"/>
      <c r="M321" s="96"/>
      <c r="Y321" s="20"/>
    </row>
    <row r="322" spans="2:25" x14ac:dyDescent="0.25">
      <c r="B322" s="19"/>
      <c r="D322" s="77" t="s">
        <v>320</v>
      </c>
      <c r="E322" s="77"/>
      <c r="F322" s="77"/>
      <c r="G322" s="77"/>
      <c r="H322" s="77"/>
      <c r="I322" s="102"/>
      <c r="J322" s="826">
        <f>Surfaces!O141</f>
        <v>0</v>
      </c>
      <c r="K322" s="827"/>
      <c r="L322" s="105"/>
      <c r="M322" s="91"/>
      <c r="Y322" s="20"/>
    </row>
    <row r="323" spans="2:25" x14ac:dyDescent="0.25">
      <c r="B323" s="19"/>
      <c r="D323" s="78" t="s">
        <v>321</v>
      </c>
      <c r="E323" s="78"/>
      <c r="F323" s="78"/>
      <c r="G323" s="78"/>
      <c r="H323" s="78"/>
      <c r="I323" s="103"/>
      <c r="J323" s="826">
        <f>Surfaces!O161+SUM(Surfaces!O144:O158)</f>
        <v>0</v>
      </c>
      <c r="K323" s="827"/>
      <c r="L323" s="105"/>
      <c r="M323" s="91"/>
      <c r="Y323" s="20"/>
    </row>
    <row r="324" spans="2:25" x14ac:dyDescent="0.25">
      <c r="B324" s="19"/>
      <c r="D324" s="78" t="s">
        <v>2348</v>
      </c>
      <c r="E324" s="78"/>
      <c r="F324" s="78"/>
      <c r="G324" s="78"/>
      <c r="H324" s="78"/>
      <c r="I324" s="103"/>
      <c r="J324" s="826">
        <f>Surfaces!O197-Surfaces!O196</f>
        <v>0</v>
      </c>
      <c r="K324" s="827"/>
      <c r="L324" s="105"/>
      <c r="M324" s="91"/>
      <c r="Y324" s="20"/>
    </row>
    <row r="325" spans="2:25" x14ac:dyDescent="0.25">
      <c r="B325" s="19"/>
      <c r="D325" s="78" t="s">
        <v>2349</v>
      </c>
      <c r="E325" s="78"/>
      <c r="F325" s="78"/>
      <c r="G325" s="78"/>
      <c r="H325" s="78"/>
      <c r="I325" s="103"/>
      <c r="J325" s="822">
        <f>IFERROR(SUM(J315)/SUM(J322),0)</f>
        <v>0</v>
      </c>
      <c r="K325" s="823"/>
      <c r="L325" s="824">
        <f>IF(J325=1,3,IF(J325&gt;=0.75,2,IF(J325&gt;=0.5,1,0)))</f>
        <v>0</v>
      </c>
      <c r="M325" s="825"/>
      <c r="Y325" s="20"/>
    </row>
    <row r="326" spans="2:25" x14ac:dyDescent="0.25">
      <c r="B326" s="19"/>
      <c r="D326" s="78" t="s">
        <v>2350</v>
      </c>
      <c r="E326" s="78"/>
      <c r="F326" s="78"/>
      <c r="G326" s="78"/>
      <c r="H326" s="78"/>
      <c r="I326" s="78"/>
      <c r="J326" s="822">
        <f>IFERROR(J316/J323,0)</f>
        <v>0</v>
      </c>
      <c r="K326" s="823"/>
      <c r="L326" s="824">
        <f>IF(J326=1,3,IF(J326&gt;=0.75,2,IF(J326&gt;=0.5,1,0)))</f>
        <v>0</v>
      </c>
      <c r="M326" s="825"/>
      <c r="Y326" s="20"/>
    </row>
    <row r="327" spans="2:25" x14ac:dyDescent="0.25">
      <c r="B327" s="19"/>
      <c r="D327" s="78" t="s">
        <v>2351</v>
      </c>
      <c r="E327" s="78"/>
      <c r="F327" s="78"/>
      <c r="G327" s="78"/>
      <c r="H327" s="78"/>
      <c r="I327" s="78"/>
      <c r="J327" s="822">
        <f>IFERROR(J317/J324,0)</f>
        <v>0</v>
      </c>
      <c r="K327" s="823"/>
      <c r="L327" s="824">
        <f>IF(J327=1,3,IF(J327&gt;=0.75,2,IF(J327&gt;=0.5,1,0)))</f>
        <v>0</v>
      </c>
      <c r="M327" s="825"/>
      <c r="W327" s="680" t="s">
        <v>713</v>
      </c>
      <c r="X327" s="680"/>
      <c r="Y327" s="20"/>
    </row>
    <row r="328" spans="2:25" x14ac:dyDescent="0.25">
      <c r="B328" s="19"/>
      <c r="D328" s="77" t="s">
        <v>298</v>
      </c>
      <c r="E328" s="77"/>
      <c r="F328" s="77"/>
      <c r="G328" s="77"/>
      <c r="H328" s="77"/>
      <c r="I328" s="102"/>
      <c r="J328" s="826">
        <f>Surfaces!O24</f>
        <v>0</v>
      </c>
      <c r="K328" s="835"/>
      <c r="L328" s="397"/>
      <c r="M328" s="398"/>
      <c r="W328" s="305"/>
      <c r="X328" s="305"/>
      <c r="Y328" s="20"/>
    </row>
    <row r="329" spans="2:25" x14ac:dyDescent="0.25">
      <c r="B329" s="19"/>
      <c r="D329" s="78" t="s">
        <v>722</v>
      </c>
      <c r="E329" s="78"/>
      <c r="F329" s="78"/>
      <c r="G329" s="78"/>
      <c r="H329" s="78"/>
      <c r="I329" s="78"/>
      <c r="J329" s="324"/>
      <c r="K329" s="325"/>
      <c r="L329" s="828">
        <f>IF(ISBLANK(L11),0,IF(UTILISATION_CMR1&lt;&gt;"Oui",IF(cSAU=0,0,((J322*L325)+(J323*L326)+(J324*L327))/J328),0))</f>
        <v>0</v>
      </c>
      <c r="M329" s="829"/>
      <c r="W329" s="681">
        <f>IF(cSAU=0,9,3*(SUM(J322:K324)/J328))</f>
        <v>9</v>
      </c>
      <c r="X329" s="682"/>
      <c r="Y329" s="20"/>
    </row>
    <row r="330" spans="2:25" x14ac:dyDescent="0.25">
      <c r="B330" s="19"/>
      <c r="Y330" s="20"/>
    </row>
    <row r="331" spans="2:25" x14ac:dyDescent="0.25">
      <c r="B331" s="19"/>
      <c r="Y331" s="20"/>
    </row>
    <row r="332" spans="2:25" x14ac:dyDescent="0.25">
      <c r="B332" s="19"/>
      <c r="D332" s="70" t="s">
        <v>2506</v>
      </c>
      <c r="Y332" s="20"/>
    </row>
    <row r="333" spans="2:25" x14ac:dyDescent="0.25">
      <c r="B333" s="19"/>
      <c r="D333" s="667"/>
      <c r="E333" s="668"/>
      <c r="F333" s="668"/>
      <c r="G333" s="668"/>
      <c r="H333" s="668"/>
      <c r="I333" s="668"/>
      <c r="J333" s="668"/>
      <c r="K333" s="668"/>
      <c r="L333" s="668"/>
      <c r="M333" s="668"/>
      <c r="N333" s="668"/>
      <c r="O333" s="668"/>
      <c r="P333" s="668"/>
      <c r="Q333" s="668"/>
      <c r="R333" s="668"/>
      <c r="S333" s="668"/>
      <c r="T333" s="668"/>
      <c r="U333" s="668"/>
      <c r="V333" s="668"/>
      <c r="W333" s="668"/>
      <c r="X333" s="669"/>
      <c r="Y333" s="20"/>
    </row>
    <row r="334" spans="2:25" x14ac:dyDescent="0.25">
      <c r="B334" s="19"/>
      <c r="D334" s="670"/>
      <c r="E334" s="671"/>
      <c r="F334" s="671"/>
      <c r="G334" s="671"/>
      <c r="H334" s="671"/>
      <c r="I334" s="671"/>
      <c r="J334" s="671"/>
      <c r="K334" s="671"/>
      <c r="L334" s="671"/>
      <c r="M334" s="671"/>
      <c r="N334" s="671"/>
      <c r="O334" s="671"/>
      <c r="P334" s="671"/>
      <c r="Q334" s="671"/>
      <c r="R334" s="671"/>
      <c r="S334" s="671"/>
      <c r="T334" s="671"/>
      <c r="U334" s="671"/>
      <c r="V334" s="671"/>
      <c r="W334" s="671"/>
      <c r="X334" s="672"/>
      <c r="Y334" s="20"/>
    </row>
    <row r="335" spans="2:25" x14ac:dyDescent="0.25">
      <c r="B335" s="19"/>
      <c r="D335" s="670"/>
      <c r="E335" s="671"/>
      <c r="F335" s="671"/>
      <c r="G335" s="671"/>
      <c r="H335" s="671"/>
      <c r="I335" s="671"/>
      <c r="J335" s="671"/>
      <c r="K335" s="671"/>
      <c r="L335" s="671"/>
      <c r="M335" s="671"/>
      <c r="N335" s="671"/>
      <c r="O335" s="671"/>
      <c r="P335" s="671"/>
      <c r="Q335" s="671"/>
      <c r="R335" s="671"/>
      <c r="S335" s="671"/>
      <c r="T335" s="671"/>
      <c r="U335" s="671"/>
      <c r="V335" s="671"/>
      <c r="W335" s="671"/>
      <c r="X335" s="672"/>
      <c r="Y335" s="20"/>
    </row>
    <row r="336" spans="2:25" x14ac:dyDescent="0.25">
      <c r="B336" s="19"/>
      <c r="D336" s="670"/>
      <c r="E336" s="671"/>
      <c r="F336" s="671"/>
      <c r="G336" s="671"/>
      <c r="H336" s="671"/>
      <c r="I336" s="671"/>
      <c r="J336" s="671"/>
      <c r="K336" s="671"/>
      <c r="L336" s="671"/>
      <c r="M336" s="671"/>
      <c r="N336" s="671"/>
      <c r="O336" s="671"/>
      <c r="P336" s="671"/>
      <c r="Q336" s="671"/>
      <c r="R336" s="671"/>
      <c r="S336" s="671"/>
      <c r="T336" s="671"/>
      <c r="U336" s="671"/>
      <c r="V336" s="671"/>
      <c r="W336" s="671"/>
      <c r="X336" s="672"/>
      <c r="Y336" s="20"/>
    </row>
    <row r="337" spans="2:25" x14ac:dyDescent="0.25">
      <c r="B337" s="19"/>
      <c r="D337" s="673"/>
      <c r="E337" s="674"/>
      <c r="F337" s="674"/>
      <c r="G337" s="674"/>
      <c r="H337" s="674"/>
      <c r="I337" s="674"/>
      <c r="J337" s="674"/>
      <c r="K337" s="674"/>
      <c r="L337" s="674"/>
      <c r="M337" s="674"/>
      <c r="N337" s="674"/>
      <c r="O337" s="674"/>
      <c r="P337" s="674"/>
      <c r="Q337" s="674"/>
      <c r="R337" s="674"/>
      <c r="S337" s="674"/>
      <c r="T337" s="674"/>
      <c r="U337" s="674"/>
      <c r="V337" s="674"/>
      <c r="W337" s="674"/>
      <c r="X337" s="675"/>
      <c r="Y337" s="20"/>
    </row>
    <row r="338" spans="2:25" x14ac:dyDescent="0.25">
      <c r="B338" s="19"/>
      <c r="Y338" s="20"/>
    </row>
    <row r="339" spans="2:25" ht="15.75" thickBot="1" x14ac:dyDescent="0.3">
      <c r="B339" s="22"/>
      <c r="C339" s="23"/>
      <c r="D339" s="23"/>
      <c r="E339" s="23"/>
      <c r="F339" s="23"/>
      <c r="G339" s="23"/>
      <c r="H339" s="23"/>
      <c r="I339" s="23"/>
      <c r="J339" s="23"/>
      <c r="K339" s="23"/>
      <c r="L339" s="23"/>
      <c r="M339" s="23"/>
      <c r="N339" s="23"/>
      <c r="O339" s="23"/>
      <c r="P339" s="23"/>
      <c r="Q339" s="23"/>
      <c r="R339" s="23"/>
      <c r="S339" s="23"/>
      <c r="T339" s="23"/>
      <c r="U339" s="23"/>
      <c r="V339" s="23"/>
      <c r="W339" s="23"/>
      <c r="X339" s="23"/>
      <c r="Y339" s="24"/>
    </row>
    <row r="342" spans="2:25" ht="15.75" thickBot="1" x14ac:dyDescent="0.3"/>
    <row r="343" spans="2:25" x14ac:dyDescent="0.25">
      <c r="B343" s="16"/>
      <c r="C343" s="17"/>
      <c r="D343" s="17"/>
      <c r="E343" s="17"/>
      <c r="F343" s="17"/>
      <c r="G343" s="17"/>
      <c r="H343" s="17"/>
      <c r="I343" s="17"/>
      <c r="J343" s="17"/>
      <c r="K343" s="17"/>
      <c r="L343" s="17"/>
      <c r="M343" s="17"/>
      <c r="N343" s="17"/>
      <c r="O343" s="17"/>
      <c r="P343" s="17"/>
      <c r="Q343" s="17"/>
      <c r="R343" s="17"/>
      <c r="S343" s="17"/>
      <c r="T343" s="17"/>
      <c r="U343" s="17"/>
      <c r="V343" s="17"/>
      <c r="W343" s="17"/>
      <c r="X343" s="17"/>
      <c r="Y343" s="18"/>
    </row>
    <row r="344" spans="2:25" x14ac:dyDescent="0.25">
      <c r="B344" s="19"/>
      <c r="Y344" s="20"/>
    </row>
    <row r="345" spans="2:25" x14ac:dyDescent="0.25">
      <c r="B345" s="19"/>
      <c r="C345" s="143" t="s">
        <v>2525</v>
      </c>
      <c r="Y345" s="20"/>
    </row>
    <row r="346" spans="2:25" x14ac:dyDescent="0.25">
      <c r="B346" s="19"/>
      <c r="Y346" s="20"/>
    </row>
    <row r="347" spans="2:25" x14ac:dyDescent="0.25">
      <c r="B347" s="19"/>
      <c r="C347" s="42" t="s">
        <v>2352</v>
      </c>
      <c r="L347" s="832" t="s">
        <v>322</v>
      </c>
      <c r="M347" s="832"/>
      <c r="Y347" s="20"/>
    </row>
    <row r="348" spans="2:25" x14ac:dyDescent="0.25">
      <c r="B348" s="19"/>
      <c r="D348" t="s">
        <v>2356</v>
      </c>
      <c r="L348" s="830"/>
      <c r="M348" s="831"/>
      <c r="Y348" s="20"/>
    </row>
    <row r="349" spans="2:25" x14ac:dyDescent="0.25">
      <c r="B349" s="19"/>
      <c r="D349" t="s">
        <v>323</v>
      </c>
      <c r="L349" s="830"/>
      <c r="M349" s="831"/>
      <c r="O349" s="143" t="str">
        <f>IF(L349&gt;L348,"Attention : volume recyclé et traité &gt; volume utilisé","")</f>
        <v/>
      </c>
      <c r="Y349" s="20"/>
    </row>
    <row r="350" spans="2:25" x14ac:dyDescent="0.25">
      <c r="B350" s="19"/>
      <c r="D350" t="s">
        <v>334</v>
      </c>
      <c r="L350" s="826">
        <f>Surfaces!O136-Surfaces!O196</f>
        <v>0</v>
      </c>
      <c r="M350" s="827"/>
      <c r="Y350" s="20"/>
    </row>
    <row r="351" spans="2:25" x14ac:dyDescent="0.25">
      <c r="B351" s="19"/>
      <c r="Y351" s="20"/>
    </row>
    <row r="352" spans="2:25" x14ac:dyDescent="0.25">
      <c r="B352" s="19"/>
      <c r="C352" s="42" t="s">
        <v>2353</v>
      </c>
      <c r="F352" s="120"/>
      <c r="L352" s="832" t="s">
        <v>422</v>
      </c>
      <c r="M352" s="832"/>
      <c r="Y352" s="20"/>
    </row>
    <row r="353" spans="2:25" x14ac:dyDescent="0.25">
      <c r="B353" s="19"/>
      <c r="D353" t="s">
        <v>594</v>
      </c>
      <c r="J353" s="120"/>
      <c r="L353" s="830"/>
      <c r="M353" s="831"/>
      <c r="O353" s="143" t="str">
        <f>IF(AND(L353&lt;&gt;"",OR(SUM(L353:M354)&gt;L355,L353&gt;L355)),"Attention : surfaces saisies &gt; surface concernée","")</f>
        <v/>
      </c>
      <c r="Y353" s="20"/>
    </row>
    <row r="354" spans="2:25" x14ac:dyDescent="0.25">
      <c r="B354" s="19"/>
      <c r="D354" t="s">
        <v>595</v>
      </c>
      <c r="L354" s="830"/>
      <c r="M354" s="831"/>
      <c r="O354" s="143" t="str">
        <f>IF(AND(L354&lt;&gt;"",OR(SUM(L353:M354)&gt;L355,L354&gt;L355)),"Attention : surfaces saisies &gt; surface concernée","")</f>
        <v/>
      </c>
      <c r="Y354" s="20"/>
    </row>
    <row r="355" spans="2:25" x14ac:dyDescent="0.25">
      <c r="B355" s="19"/>
      <c r="D355" t="s">
        <v>334</v>
      </c>
      <c r="L355" s="826">
        <f>Surfaces!O196</f>
        <v>0</v>
      </c>
      <c r="M355" s="827"/>
      <c r="Y355" s="20"/>
    </row>
    <row r="356" spans="2:25" x14ac:dyDescent="0.25">
      <c r="B356" s="19"/>
      <c r="Y356" s="20"/>
    </row>
    <row r="357" spans="2:25" x14ac:dyDescent="0.25">
      <c r="B357" s="19"/>
      <c r="C357" s="42"/>
      <c r="N357" s="651" t="s">
        <v>239</v>
      </c>
      <c r="O357" s="651"/>
      <c r="Y357" s="20"/>
    </row>
    <row r="358" spans="2:25" x14ac:dyDescent="0.25">
      <c r="B358" s="19"/>
      <c r="N358" s="96"/>
      <c r="O358" s="96"/>
      <c r="Y358" s="20"/>
    </row>
    <row r="359" spans="2:25" x14ac:dyDescent="0.25">
      <c r="B359" s="19"/>
      <c r="D359" s="77" t="s">
        <v>298</v>
      </c>
      <c r="E359" s="77"/>
      <c r="F359" s="77"/>
      <c r="G359" s="77"/>
      <c r="H359" s="77"/>
      <c r="I359" s="77"/>
      <c r="J359" s="40"/>
      <c r="K359" s="45"/>
      <c r="L359" s="826">
        <f>Surfaces!O24</f>
        <v>0</v>
      </c>
      <c r="M359" s="835"/>
      <c r="N359" s="96"/>
      <c r="O359" s="96"/>
      <c r="Y359" s="20"/>
    </row>
    <row r="360" spans="2:25" x14ac:dyDescent="0.25">
      <c r="B360" s="19"/>
      <c r="D360" s="77" t="s">
        <v>2591</v>
      </c>
      <c r="E360" s="77"/>
      <c r="F360" s="77"/>
      <c r="G360" s="77"/>
      <c r="H360" s="77"/>
      <c r="I360" s="77"/>
      <c r="J360" s="77"/>
      <c r="K360" s="102"/>
      <c r="L360" s="822">
        <f>IF(L350=0,0,IFERROR(L349/L348,0))</f>
        <v>0</v>
      </c>
      <c r="M360" s="823"/>
      <c r="N360" s="824">
        <f>IF(L350=0,0,ROUNDUP(MAX(L360/10%,0),0))</f>
        <v>0</v>
      </c>
      <c r="O360" s="825"/>
      <c r="Y360" s="20"/>
    </row>
    <row r="361" spans="2:25" x14ac:dyDescent="0.25">
      <c r="B361" s="19"/>
      <c r="D361" s="78" t="s">
        <v>2354</v>
      </c>
      <c r="E361" s="78"/>
      <c r="F361" s="78"/>
      <c r="G361" s="78"/>
      <c r="H361" s="78"/>
      <c r="I361" s="78"/>
      <c r="J361" s="78"/>
      <c r="K361" s="103"/>
      <c r="L361" s="822">
        <f>IFERROR(IF(L353="",0,L353/L355),0)</f>
        <v>0</v>
      </c>
      <c r="M361" s="823"/>
      <c r="N361" s="824">
        <f>IF(AND(L348="",L349="",L353="",L354=""),0,IF(L361&lt;0.25,0,IF(AND(L361&gt;=0.25,L361&lt;0.5),2,IF(AND(L361&gt;=0.5,L361&lt;0.75),4,IF(L361&gt;=0.75,6,0)))))</f>
        <v>0</v>
      </c>
      <c r="O361" s="825"/>
      <c r="Y361" s="20"/>
    </row>
    <row r="362" spans="2:25" x14ac:dyDescent="0.25">
      <c r="B362" s="19"/>
      <c r="D362" s="78" t="s">
        <v>2355</v>
      </c>
      <c r="E362" s="78"/>
      <c r="F362" s="78"/>
      <c r="G362" s="78"/>
      <c r="H362" s="78"/>
      <c r="I362" s="78"/>
      <c r="J362" s="78"/>
      <c r="K362" s="103"/>
      <c r="L362" s="822">
        <f>IFERROR(IF(L354="",0,L354/L355),0)</f>
        <v>0</v>
      </c>
      <c r="M362" s="823"/>
      <c r="N362" s="824">
        <f>IF(AND(L348="",L349="",L353="",L354=""),0,IF(L362&lt;0.25,0,IF(AND(L362&gt;=0.25,L362&lt;0.5),1,IF(AND(L362&gt;=0.5,L362&lt;0.75),2,IF(L362&gt;=0.75,3,0)))))</f>
        <v>0</v>
      </c>
      <c r="O362" s="825"/>
      <c r="W362" s="680" t="s">
        <v>713</v>
      </c>
      <c r="X362" s="680"/>
      <c r="Y362" s="20"/>
    </row>
    <row r="363" spans="2:25" x14ac:dyDescent="0.25">
      <c r="B363" s="19"/>
      <c r="D363" s="39" t="s">
        <v>421</v>
      </c>
      <c r="E363" s="40"/>
      <c r="F363" s="40"/>
      <c r="G363" s="40"/>
      <c r="H363" s="40"/>
      <c r="I363" s="40"/>
      <c r="J363" s="40"/>
      <c r="K363" s="40"/>
      <c r="L363" s="140"/>
      <c r="M363" s="141"/>
      <c r="N363" s="833">
        <f>IF(ISBLANK(L11),0,IF(UTILISATION_CMR1="Oui",0,IF(cSAU=0,0,(N360*(L350/L359))+(N361*(L355/L359))+(N362*(L355/L359)))))</f>
        <v>0</v>
      </c>
      <c r="O363" s="834"/>
      <c r="W363" s="681">
        <f>IF(cSAU=0,10,(10*L350+6*L355)/L359)</f>
        <v>10</v>
      </c>
      <c r="X363" s="682"/>
      <c r="Y363" s="20"/>
    </row>
    <row r="364" spans="2:25" x14ac:dyDescent="0.25">
      <c r="B364" s="19"/>
      <c r="D364" s="42"/>
      <c r="L364" s="139"/>
      <c r="M364" s="139"/>
      <c r="N364" s="355"/>
      <c r="O364" s="355"/>
      <c r="W364" s="356"/>
      <c r="X364" s="356"/>
      <c r="Y364" s="20"/>
    </row>
    <row r="365" spans="2:25" x14ac:dyDescent="0.25">
      <c r="B365" s="19"/>
      <c r="D365" s="42"/>
      <c r="L365" s="139"/>
      <c r="M365" s="139"/>
      <c r="N365" s="355"/>
      <c r="O365" s="355"/>
      <c r="W365" s="356"/>
      <c r="X365" s="356"/>
      <c r="Y365" s="20"/>
    </row>
    <row r="366" spans="2:25" x14ac:dyDescent="0.25">
      <c r="B366" s="19"/>
      <c r="D366" s="70" t="s">
        <v>2506</v>
      </c>
      <c r="Y366" s="20"/>
    </row>
    <row r="367" spans="2:25" x14ac:dyDescent="0.25">
      <c r="B367" s="19"/>
      <c r="D367" s="667"/>
      <c r="E367" s="668"/>
      <c r="F367" s="668"/>
      <c r="G367" s="668"/>
      <c r="H367" s="668"/>
      <c r="I367" s="668"/>
      <c r="J367" s="668"/>
      <c r="K367" s="668"/>
      <c r="L367" s="668"/>
      <c r="M367" s="668"/>
      <c r="N367" s="668"/>
      <c r="O367" s="668"/>
      <c r="P367" s="668"/>
      <c r="Q367" s="668"/>
      <c r="R367" s="668"/>
      <c r="S367" s="668"/>
      <c r="T367" s="668"/>
      <c r="U367" s="668"/>
      <c r="V367" s="668"/>
      <c r="W367" s="668"/>
      <c r="X367" s="669"/>
      <c r="Y367" s="20"/>
    </row>
    <row r="368" spans="2:25" x14ac:dyDescent="0.25">
      <c r="B368" s="19"/>
      <c r="D368" s="670"/>
      <c r="E368" s="671"/>
      <c r="F368" s="671"/>
      <c r="G368" s="671"/>
      <c r="H368" s="671"/>
      <c r="I368" s="671"/>
      <c r="J368" s="671"/>
      <c r="K368" s="671"/>
      <c r="L368" s="671"/>
      <c r="M368" s="671"/>
      <c r="N368" s="671"/>
      <c r="O368" s="671"/>
      <c r="P368" s="671"/>
      <c r="Q368" s="671"/>
      <c r="R368" s="671"/>
      <c r="S368" s="671"/>
      <c r="T368" s="671"/>
      <c r="U368" s="671"/>
      <c r="V368" s="671"/>
      <c r="W368" s="671"/>
      <c r="X368" s="672"/>
      <c r="Y368" s="20"/>
    </row>
    <row r="369" spans="2:25" x14ac:dyDescent="0.25">
      <c r="B369" s="19"/>
      <c r="D369" s="670"/>
      <c r="E369" s="671"/>
      <c r="F369" s="671"/>
      <c r="G369" s="671"/>
      <c r="H369" s="671"/>
      <c r="I369" s="671"/>
      <c r="J369" s="671"/>
      <c r="K369" s="671"/>
      <c r="L369" s="671"/>
      <c r="M369" s="671"/>
      <c r="N369" s="671"/>
      <c r="O369" s="671"/>
      <c r="P369" s="671"/>
      <c r="Q369" s="671"/>
      <c r="R369" s="671"/>
      <c r="S369" s="671"/>
      <c r="T369" s="671"/>
      <c r="U369" s="671"/>
      <c r="V369" s="671"/>
      <c r="W369" s="671"/>
      <c r="X369" s="672"/>
      <c r="Y369" s="20"/>
    </row>
    <row r="370" spans="2:25" x14ac:dyDescent="0.25">
      <c r="B370" s="19"/>
      <c r="D370" s="670"/>
      <c r="E370" s="671"/>
      <c r="F370" s="671"/>
      <c r="G370" s="671"/>
      <c r="H370" s="671"/>
      <c r="I370" s="671"/>
      <c r="J370" s="671"/>
      <c r="K370" s="671"/>
      <c r="L370" s="671"/>
      <c r="M370" s="671"/>
      <c r="N370" s="671"/>
      <c r="O370" s="671"/>
      <c r="P370" s="671"/>
      <c r="Q370" s="671"/>
      <c r="R370" s="671"/>
      <c r="S370" s="671"/>
      <c r="T370" s="671"/>
      <c r="U370" s="671"/>
      <c r="V370" s="671"/>
      <c r="W370" s="671"/>
      <c r="X370" s="672"/>
      <c r="Y370" s="20"/>
    </row>
    <row r="371" spans="2:25" x14ac:dyDescent="0.25">
      <c r="B371" s="19"/>
      <c r="D371" s="673"/>
      <c r="E371" s="674"/>
      <c r="F371" s="674"/>
      <c r="G371" s="674"/>
      <c r="H371" s="674"/>
      <c r="I371" s="674"/>
      <c r="J371" s="674"/>
      <c r="K371" s="674"/>
      <c r="L371" s="674"/>
      <c r="M371" s="674"/>
      <c r="N371" s="674"/>
      <c r="O371" s="674"/>
      <c r="P371" s="674"/>
      <c r="Q371" s="674"/>
      <c r="R371" s="674"/>
      <c r="S371" s="674"/>
      <c r="T371" s="674"/>
      <c r="U371" s="674"/>
      <c r="V371" s="674"/>
      <c r="W371" s="674"/>
      <c r="X371" s="675"/>
      <c r="Y371" s="20"/>
    </row>
    <row r="372" spans="2:25" x14ac:dyDescent="0.25">
      <c r="B372" s="19"/>
      <c r="D372" s="42"/>
      <c r="L372" s="139"/>
      <c r="M372" s="139"/>
      <c r="N372" s="355"/>
      <c r="O372" s="355"/>
      <c r="W372" s="356"/>
      <c r="X372" s="356"/>
      <c r="Y372" s="20"/>
    </row>
    <row r="373" spans="2:25" ht="15.75" thickBot="1" x14ac:dyDescent="0.3">
      <c r="B373" s="22"/>
      <c r="C373" s="23"/>
      <c r="D373" s="23"/>
      <c r="E373" s="23"/>
      <c r="F373" s="23"/>
      <c r="G373" s="23"/>
      <c r="H373" s="23"/>
      <c r="I373" s="23"/>
      <c r="J373" s="23"/>
      <c r="K373" s="23"/>
      <c r="L373" s="23"/>
      <c r="M373" s="23"/>
      <c r="N373" s="23"/>
      <c r="O373" s="23"/>
      <c r="P373" s="23"/>
      <c r="Q373" s="23"/>
      <c r="R373" s="23"/>
      <c r="S373" s="23"/>
      <c r="T373" s="23"/>
      <c r="U373" s="23"/>
      <c r="V373" s="23"/>
      <c r="W373" s="23"/>
      <c r="X373" s="23"/>
      <c r="Y373" s="24"/>
    </row>
    <row r="376" spans="2:25" ht="15.75" thickBot="1" x14ac:dyDescent="0.3"/>
    <row r="377" spans="2:25" x14ac:dyDescent="0.25">
      <c r="B377" s="8"/>
      <c r="C377" s="9"/>
      <c r="D377" s="9"/>
      <c r="E377" s="9"/>
      <c r="F377" s="9"/>
      <c r="G377" s="9"/>
      <c r="H377" s="9"/>
      <c r="I377" s="9"/>
      <c r="J377" s="9"/>
      <c r="K377" s="9"/>
      <c r="L377" s="9"/>
      <c r="M377" s="9"/>
      <c r="N377" s="9"/>
      <c r="O377" s="9"/>
      <c r="P377" s="9"/>
      <c r="Q377" s="9"/>
      <c r="R377" s="9"/>
      <c r="S377" s="9"/>
      <c r="T377" s="9"/>
      <c r="U377" s="9"/>
      <c r="V377" s="9"/>
      <c r="W377" s="9"/>
      <c r="X377" s="9"/>
      <c r="Y377" s="10"/>
    </row>
    <row r="378" spans="2:25" x14ac:dyDescent="0.25">
      <c r="B378" s="11"/>
      <c r="Y378" s="12"/>
    </row>
    <row r="379" spans="2:25" x14ac:dyDescent="0.25">
      <c r="B379" s="11"/>
      <c r="Y379" s="12"/>
    </row>
    <row r="380" spans="2:25" x14ac:dyDescent="0.25">
      <c r="B380" s="11"/>
      <c r="C380" s="77" t="s">
        <v>2337</v>
      </c>
      <c r="D380" s="40"/>
      <c r="E380" s="40"/>
      <c r="F380" s="40"/>
      <c r="G380" s="40"/>
      <c r="H380" s="40"/>
      <c r="I380" s="40"/>
      <c r="J380" s="40"/>
      <c r="K380" s="40"/>
      <c r="L380" s="40"/>
      <c r="M380" s="40"/>
      <c r="N380" s="40"/>
      <c r="O380" s="40"/>
      <c r="P380" s="40"/>
      <c r="Q380" s="45"/>
      <c r="R380" s="691">
        <f>P25+P55+M121+S157+R197+P239+L296+L329+N363+D263</f>
        <v>0</v>
      </c>
      <c r="S380" s="692"/>
      <c r="W380" s="681">
        <f>W25+W55+O121+W157+W197+W239+W263+W296+W329+W363</f>
        <v>63</v>
      </c>
      <c r="X380" s="682"/>
      <c r="Y380" s="12"/>
    </row>
    <row r="381" spans="2:25" x14ac:dyDescent="0.25">
      <c r="B381" s="11"/>
      <c r="Y381" s="12"/>
    </row>
    <row r="382" spans="2:25" x14ac:dyDescent="0.25">
      <c r="B382" s="11"/>
      <c r="Y382" s="12"/>
    </row>
    <row r="383" spans="2:25" x14ac:dyDescent="0.25">
      <c r="B383" s="11"/>
      <c r="C383" s="70" t="s">
        <v>2506</v>
      </c>
      <c r="Y383" s="12"/>
    </row>
    <row r="384" spans="2:25" x14ac:dyDescent="0.25">
      <c r="B384" s="11"/>
      <c r="C384" s="667"/>
      <c r="D384" s="668"/>
      <c r="E384" s="668"/>
      <c r="F384" s="668"/>
      <c r="G384" s="668"/>
      <c r="H384" s="668"/>
      <c r="I384" s="668"/>
      <c r="J384" s="668"/>
      <c r="K384" s="668"/>
      <c r="L384" s="668"/>
      <c r="M384" s="668"/>
      <c r="N384" s="668"/>
      <c r="O384" s="668"/>
      <c r="P384" s="668"/>
      <c r="Q384" s="668"/>
      <c r="R384" s="668"/>
      <c r="S384" s="668"/>
      <c r="T384" s="668"/>
      <c r="U384" s="668"/>
      <c r="V384" s="668"/>
      <c r="W384" s="669"/>
      <c r="Y384" s="12"/>
    </row>
    <row r="385" spans="2:25" x14ac:dyDescent="0.25">
      <c r="B385" s="11"/>
      <c r="C385" s="670"/>
      <c r="D385" s="671"/>
      <c r="E385" s="671"/>
      <c r="F385" s="671"/>
      <c r="G385" s="671"/>
      <c r="H385" s="671"/>
      <c r="I385" s="671"/>
      <c r="J385" s="671"/>
      <c r="K385" s="671"/>
      <c r="L385" s="671"/>
      <c r="M385" s="671"/>
      <c r="N385" s="671"/>
      <c r="O385" s="671"/>
      <c r="P385" s="671"/>
      <c r="Q385" s="671"/>
      <c r="R385" s="671"/>
      <c r="S385" s="671"/>
      <c r="T385" s="671"/>
      <c r="U385" s="671"/>
      <c r="V385" s="671"/>
      <c r="W385" s="672"/>
      <c r="Y385" s="12"/>
    </row>
    <row r="386" spans="2:25" x14ac:dyDescent="0.25">
      <c r="B386" s="11"/>
      <c r="C386" s="670"/>
      <c r="D386" s="671"/>
      <c r="E386" s="671"/>
      <c r="F386" s="671"/>
      <c r="G386" s="671"/>
      <c r="H386" s="671"/>
      <c r="I386" s="671"/>
      <c r="J386" s="671"/>
      <c r="K386" s="671"/>
      <c r="L386" s="671"/>
      <c r="M386" s="671"/>
      <c r="N386" s="671"/>
      <c r="O386" s="671"/>
      <c r="P386" s="671"/>
      <c r="Q386" s="671"/>
      <c r="R386" s="671"/>
      <c r="S386" s="671"/>
      <c r="T386" s="671"/>
      <c r="U386" s="671"/>
      <c r="V386" s="671"/>
      <c r="W386" s="672"/>
      <c r="Y386" s="12"/>
    </row>
    <row r="387" spans="2:25" x14ac:dyDescent="0.25">
      <c r="B387" s="11"/>
      <c r="C387" s="670"/>
      <c r="D387" s="671"/>
      <c r="E387" s="671"/>
      <c r="F387" s="671"/>
      <c r="G387" s="671"/>
      <c r="H387" s="671"/>
      <c r="I387" s="671"/>
      <c r="J387" s="671"/>
      <c r="K387" s="671"/>
      <c r="L387" s="671"/>
      <c r="M387" s="671"/>
      <c r="N387" s="671"/>
      <c r="O387" s="671"/>
      <c r="P387" s="671"/>
      <c r="Q387" s="671"/>
      <c r="R387" s="671"/>
      <c r="S387" s="671"/>
      <c r="T387" s="671"/>
      <c r="U387" s="671"/>
      <c r="V387" s="671"/>
      <c r="W387" s="672"/>
      <c r="Y387" s="12"/>
    </row>
    <row r="388" spans="2:25" x14ac:dyDescent="0.25">
      <c r="B388" s="11"/>
      <c r="C388" s="670"/>
      <c r="D388" s="671"/>
      <c r="E388" s="671"/>
      <c r="F388" s="671"/>
      <c r="G388" s="671"/>
      <c r="H388" s="671"/>
      <c r="I388" s="671"/>
      <c r="J388" s="671"/>
      <c r="K388" s="671"/>
      <c r="L388" s="671"/>
      <c r="M388" s="671"/>
      <c r="N388" s="671"/>
      <c r="O388" s="671"/>
      <c r="P388" s="671"/>
      <c r="Q388" s="671"/>
      <c r="R388" s="671"/>
      <c r="S388" s="671"/>
      <c r="T388" s="671"/>
      <c r="U388" s="671"/>
      <c r="V388" s="671"/>
      <c r="W388" s="672"/>
      <c r="Y388" s="12"/>
    </row>
    <row r="389" spans="2:25" x14ac:dyDescent="0.25">
      <c r="B389" s="11"/>
      <c r="C389" s="670"/>
      <c r="D389" s="671"/>
      <c r="E389" s="671"/>
      <c r="F389" s="671"/>
      <c r="G389" s="671"/>
      <c r="H389" s="671"/>
      <c r="I389" s="671"/>
      <c r="J389" s="671"/>
      <c r="K389" s="671"/>
      <c r="L389" s="671"/>
      <c r="M389" s="671"/>
      <c r="N389" s="671"/>
      <c r="O389" s="671"/>
      <c r="P389" s="671"/>
      <c r="Q389" s="671"/>
      <c r="R389" s="671"/>
      <c r="S389" s="671"/>
      <c r="T389" s="671"/>
      <c r="U389" s="671"/>
      <c r="V389" s="671"/>
      <c r="W389" s="672"/>
      <c r="Y389" s="12"/>
    </row>
    <row r="390" spans="2:25" x14ac:dyDescent="0.25">
      <c r="B390" s="11"/>
      <c r="C390" s="670"/>
      <c r="D390" s="671"/>
      <c r="E390" s="671"/>
      <c r="F390" s="671"/>
      <c r="G390" s="671"/>
      <c r="H390" s="671"/>
      <c r="I390" s="671"/>
      <c r="J390" s="671"/>
      <c r="K390" s="671"/>
      <c r="L390" s="671"/>
      <c r="M390" s="671"/>
      <c r="N390" s="671"/>
      <c r="O390" s="671"/>
      <c r="P390" s="671"/>
      <c r="Q390" s="671"/>
      <c r="R390" s="671"/>
      <c r="S390" s="671"/>
      <c r="T390" s="671"/>
      <c r="U390" s="671"/>
      <c r="V390" s="671"/>
      <c r="W390" s="672"/>
      <c r="Y390" s="12"/>
    </row>
    <row r="391" spans="2:25" x14ac:dyDescent="0.25">
      <c r="B391" s="11"/>
      <c r="C391" s="670"/>
      <c r="D391" s="671"/>
      <c r="E391" s="671"/>
      <c r="F391" s="671"/>
      <c r="G391" s="671"/>
      <c r="H391" s="671"/>
      <c r="I391" s="671"/>
      <c r="J391" s="671"/>
      <c r="K391" s="671"/>
      <c r="L391" s="671"/>
      <c r="M391" s="671"/>
      <c r="N391" s="671"/>
      <c r="O391" s="671"/>
      <c r="P391" s="671"/>
      <c r="Q391" s="671"/>
      <c r="R391" s="671"/>
      <c r="S391" s="671"/>
      <c r="T391" s="671"/>
      <c r="U391" s="671"/>
      <c r="V391" s="671"/>
      <c r="W391" s="672"/>
      <c r="Y391" s="12"/>
    </row>
    <row r="392" spans="2:25" x14ac:dyDescent="0.25">
      <c r="B392" s="11"/>
      <c r="C392" s="670"/>
      <c r="D392" s="671"/>
      <c r="E392" s="671"/>
      <c r="F392" s="671"/>
      <c r="G392" s="671"/>
      <c r="H392" s="671"/>
      <c r="I392" s="671"/>
      <c r="J392" s="671"/>
      <c r="K392" s="671"/>
      <c r="L392" s="671"/>
      <c r="M392" s="671"/>
      <c r="N392" s="671"/>
      <c r="O392" s="671"/>
      <c r="P392" s="671"/>
      <c r="Q392" s="671"/>
      <c r="R392" s="671"/>
      <c r="S392" s="671"/>
      <c r="T392" s="671"/>
      <c r="U392" s="671"/>
      <c r="V392" s="671"/>
      <c r="W392" s="672"/>
      <c r="Y392" s="12"/>
    </row>
    <row r="393" spans="2:25" x14ac:dyDescent="0.25">
      <c r="B393" s="11"/>
      <c r="C393" s="673"/>
      <c r="D393" s="674"/>
      <c r="E393" s="674"/>
      <c r="F393" s="674"/>
      <c r="G393" s="674"/>
      <c r="H393" s="674"/>
      <c r="I393" s="674"/>
      <c r="J393" s="674"/>
      <c r="K393" s="674"/>
      <c r="L393" s="674"/>
      <c r="M393" s="674"/>
      <c r="N393" s="674"/>
      <c r="O393" s="674"/>
      <c r="P393" s="674"/>
      <c r="Q393" s="674"/>
      <c r="R393" s="674"/>
      <c r="S393" s="674"/>
      <c r="T393" s="674"/>
      <c r="U393" s="674"/>
      <c r="V393" s="674"/>
      <c r="W393" s="675"/>
      <c r="Y393" s="12"/>
    </row>
    <row r="394" spans="2:25" x14ac:dyDescent="0.25">
      <c r="B394" s="11"/>
      <c r="Y394" s="12"/>
    </row>
    <row r="395" spans="2:25" ht="15.75" thickBot="1" x14ac:dyDescent="0.3">
      <c r="B395" s="13"/>
      <c r="C395" s="14"/>
      <c r="D395" s="14"/>
      <c r="E395" s="14"/>
      <c r="F395" s="14"/>
      <c r="G395" s="14"/>
      <c r="H395" s="14"/>
      <c r="I395" s="14"/>
      <c r="J395" s="14"/>
      <c r="K395" s="14"/>
      <c r="L395" s="14"/>
      <c r="M395" s="14"/>
      <c r="N395" s="14"/>
      <c r="O395" s="14"/>
      <c r="P395" s="14"/>
      <c r="Q395" s="14"/>
      <c r="R395" s="14"/>
      <c r="S395" s="14"/>
      <c r="T395" s="14"/>
      <c r="U395" s="14"/>
      <c r="V395" s="14"/>
      <c r="W395" s="14"/>
      <c r="X395" s="14"/>
      <c r="Y395" s="15"/>
    </row>
  </sheetData>
  <sheetProtection algorithmName="SHA-512" hashValue="FYVLg5jLa8Lo0rJyxIpVKCq7w5b9uUj56kYTrJK9E06tCmEtUvaj59U1FG/Sjhglc2NYMeAUBNHvaZlI+0bIIA==" saltValue="d7LB30b3ld4MO2yrTn/ndw==" spinCount="100000" sheet="1" scenarios="1"/>
  <mergeCells count="332">
    <mergeCell ref="AL65:AM65"/>
    <mergeCell ref="I73:M73"/>
    <mergeCell ref="M53:N53"/>
    <mergeCell ref="M54:N54"/>
    <mergeCell ref="M55:N55"/>
    <mergeCell ref="P55:Q55"/>
    <mergeCell ref="P52:Q52"/>
    <mergeCell ref="P79:Q79"/>
    <mergeCell ref="C79:I79"/>
    <mergeCell ref="D55:L55"/>
    <mergeCell ref="D54:L54"/>
    <mergeCell ref="D53:L53"/>
    <mergeCell ref="J79:K79"/>
    <mergeCell ref="L79:M79"/>
    <mergeCell ref="N79:O79"/>
    <mergeCell ref="D59:X63"/>
    <mergeCell ref="AI75:AM75"/>
    <mergeCell ref="AH76:AH77"/>
    <mergeCell ref="AH78:AH79"/>
    <mergeCell ref="R174:S174"/>
    <mergeCell ref="R196:S196"/>
    <mergeCell ref="R193:S193"/>
    <mergeCell ref="R194:S194"/>
    <mergeCell ref="C188:X189"/>
    <mergeCell ref="C176:Q177"/>
    <mergeCell ref="N89:O89"/>
    <mergeCell ref="K119:L119"/>
    <mergeCell ref="M116:N116"/>
    <mergeCell ref="M117:N117"/>
    <mergeCell ref="M118:N118"/>
    <mergeCell ref="M115:N115"/>
    <mergeCell ref="O118:P118"/>
    <mergeCell ref="O117:P117"/>
    <mergeCell ref="K116:L116"/>
    <mergeCell ref="P89:Q89"/>
    <mergeCell ref="U146:V146"/>
    <mergeCell ref="Q151:R151"/>
    <mergeCell ref="M107:N107"/>
    <mergeCell ref="M108:N108"/>
    <mergeCell ref="H108:I108"/>
    <mergeCell ref="T106:V109"/>
    <mergeCell ref="R109:S109"/>
    <mergeCell ref="R184:S184"/>
    <mergeCell ref="N362:O362"/>
    <mergeCell ref="N361:O361"/>
    <mergeCell ref="N360:O360"/>
    <mergeCell ref="L354:M354"/>
    <mergeCell ref="L360:M360"/>
    <mergeCell ref="L361:M361"/>
    <mergeCell ref="L362:M362"/>
    <mergeCell ref="O287:T287"/>
    <mergeCell ref="L355:M355"/>
    <mergeCell ref="L359:M359"/>
    <mergeCell ref="L292:M292"/>
    <mergeCell ref="L293:M293"/>
    <mergeCell ref="L294:M294"/>
    <mergeCell ref="D300:X304"/>
    <mergeCell ref="J317:K317"/>
    <mergeCell ref="J324:K324"/>
    <mergeCell ref="N357:O357"/>
    <mergeCell ref="J328:K328"/>
    <mergeCell ref="C312:T313"/>
    <mergeCell ref="AB4:AC4"/>
    <mergeCell ref="L287:M287"/>
    <mergeCell ref="J249:K249"/>
    <mergeCell ref="C254:W258"/>
    <mergeCell ref="J272:K272"/>
    <mergeCell ref="J275:K275"/>
    <mergeCell ref="N236:O236"/>
    <mergeCell ref="D263:E263"/>
    <mergeCell ref="J250:K250"/>
    <mergeCell ref="L272:M272"/>
    <mergeCell ref="L277:M277"/>
    <mergeCell ref="N228:O228"/>
    <mergeCell ref="D261:E261"/>
    <mergeCell ref="D262:E262"/>
    <mergeCell ref="N238:O238"/>
    <mergeCell ref="O121:P121"/>
    <mergeCell ref="R105:S105"/>
    <mergeCell ref="O282:T282"/>
    <mergeCell ref="N235:O235"/>
    <mergeCell ref="R185:S185"/>
    <mergeCell ref="R186:S186"/>
    <mergeCell ref="R197:S197"/>
    <mergeCell ref="R191:S191"/>
    <mergeCell ref="R172:S172"/>
    <mergeCell ref="N237:O237"/>
    <mergeCell ref="C221:X225"/>
    <mergeCell ref="J276:K276"/>
    <mergeCell ref="J277:K277"/>
    <mergeCell ref="P237:Q237"/>
    <mergeCell ref="P239:Q239"/>
    <mergeCell ref="J322:K322"/>
    <mergeCell ref="J314:K314"/>
    <mergeCell ref="L296:M296"/>
    <mergeCell ref="J291:K291"/>
    <mergeCell ref="J290:K290"/>
    <mergeCell ref="L295:M295"/>
    <mergeCell ref="J280:K280"/>
    <mergeCell ref="J292:K292"/>
    <mergeCell ref="J293:K293"/>
    <mergeCell ref="J294:K294"/>
    <mergeCell ref="L290:M290"/>
    <mergeCell ref="L291:M291"/>
    <mergeCell ref="W263:X263"/>
    <mergeCell ref="W295:X295"/>
    <mergeCell ref="W296:X296"/>
    <mergeCell ref="L270:M270"/>
    <mergeCell ref="N234:O234"/>
    <mergeCell ref="N229:O229"/>
    <mergeCell ref="C40:Q41"/>
    <mergeCell ref="D28:V32"/>
    <mergeCell ref="T105:V105"/>
    <mergeCell ref="H112:I112"/>
    <mergeCell ref="M112:N112"/>
    <mergeCell ref="R112:S112"/>
    <mergeCell ref="K115:L115"/>
    <mergeCell ref="H109:I109"/>
    <mergeCell ref="M109:N109"/>
    <mergeCell ref="M105:N105"/>
    <mergeCell ref="J105:L105"/>
    <mergeCell ref="J106:L109"/>
    <mergeCell ref="O105:Q105"/>
    <mergeCell ref="O106:Q109"/>
    <mergeCell ref="H106:I106"/>
    <mergeCell ref="M106:N106"/>
    <mergeCell ref="H107:I107"/>
    <mergeCell ref="L85:M85"/>
    <mergeCell ref="N85:O85"/>
    <mergeCell ref="P85:Q85"/>
    <mergeCell ref="C87:I87"/>
    <mergeCell ref="C89:I89"/>
    <mergeCell ref="J89:K89"/>
    <mergeCell ref="L89:M89"/>
    <mergeCell ref="J80:K80"/>
    <mergeCell ref="J81:K81"/>
    <mergeCell ref="L81:M81"/>
    <mergeCell ref="N81:O81"/>
    <mergeCell ref="P81:Q81"/>
    <mergeCell ref="L80:M80"/>
    <mergeCell ref="D14:V18"/>
    <mergeCell ref="P9:Q9"/>
    <mergeCell ref="S10:T10"/>
    <mergeCell ref="C46:I46"/>
    <mergeCell ref="C45:I45"/>
    <mergeCell ref="M46:N46"/>
    <mergeCell ref="M45:N45"/>
    <mergeCell ref="M22:N22"/>
    <mergeCell ref="P22:Q22"/>
    <mergeCell ref="M23:N23"/>
    <mergeCell ref="P23:Q23"/>
    <mergeCell ref="S11:V11"/>
    <mergeCell ref="L11:N11"/>
    <mergeCell ref="P25:Q25"/>
    <mergeCell ref="M44:N44"/>
    <mergeCell ref="M39:N39"/>
    <mergeCell ref="P20:Q20"/>
    <mergeCell ref="M43:N43"/>
    <mergeCell ref="L83:M83"/>
    <mergeCell ref="N83:O83"/>
    <mergeCell ref="P83:Q83"/>
    <mergeCell ref="C83:I83"/>
    <mergeCell ref="C84:I84"/>
    <mergeCell ref="J84:K84"/>
    <mergeCell ref="L84:M84"/>
    <mergeCell ref="N84:O84"/>
    <mergeCell ref="P84:Q84"/>
    <mergeCell ref="D125:X134"/>
    <mergeCell ref="C88:I88"/>
    <mergeCell ref="J88:K88"/>
    <mergeCell ref="L88:M88"/>
    <mergeCell ref="N88:O88"/>
    <mergeCell ref="P88:Q88"/>
    <mergeCell ref="C85:I85"/>
    <mergeCell ref="J85:K85"/>
    <mergeCell ref="J87:K87"/>
    <mergeCell ref="L87:M87"/>
    <mergeCell ref="N87:O87"/>
    <mergeCell ref="P87:Q87"/>
    <mergeCell ref="J100:K100"/>
    <mergeCell ref="H105:I105"/>
    <mergeCell ref="L95:M95"/>
    <mergeCell ref="L97:M97"/>
    <mergeCell ref="J95:K95"/>
    <mergeCell ref="C95:I95"/>
    <mergeCell ref="K117:L117"/>
    <mergeCell ref="K118:L118"/>
    <mergeCell ref="P101:Q101"/>
    <mergeCell ref="H96:I96"/>
    <mergeCell ref="H97:I97"/>
    <mergeCell ref="C96:G97"/>
    <mergeCell ref="S157:T157"/>
    <mergeCell ref="U144:V144"/>
    <mergeCell ref="S149:T149"/>
    <mergeCell ref="Q156:R156"/>
    <mergeCell ref="Q155:R155"/>
    <mergeCell ref="S143:T143"/>
    <mergeCell ref="S154:T154"/>
    <mergeCell ref="U145:V145"/>
    <mergeCell ref="Q146:R146"/>
    <mergeCell ref="S146:T146"/>
    <mergeCell ref="S144:T144"/>
    <mergeCell ref="Q153:R153"/>
    <mergeCell ref="Q152:R152"/>
    <mergeCell ref="Q144:R144"/>
    <mergeCell ref="Q143:R143"/>
    <mergeCell ref="Q150:R150"/>
    <mergeCell ref="C161:W165"/>
    <mergeCell ref="K120:L120"/>
    <mergeCell ref="M121:N121"/>
    <mergeCell ref="Q145:R145"/>
    <mergeCell ref="S145:T145"/>
    <mergeCell ref="U143:V143"/>
    <mergeCell ref="W24:X24"/>
    <mergeCell ref="W25:X25"/>
    <mergeCell ref="W54:X54"/>
    <mergeCell ref="W55:X55"/>
    <mergeCell ref="O115:P115"/>
    <mergeCell ref="O116:P116"/>
    <mergeCell ref="W156:X156"/>
    <mergeCell ref="W157:X157"/>
    <mergeCell ref="N80:O80"/>
    <mergeCell ref="P80:Q80"/>
    <mergeCell ref="R106:S106"/>
    <mergeCell ref="R107:S107"/>
    <mergeCell ref="R108:S108"/>
    <mergeCell ref="C48:U49"/>
    <mergeCell ref="I74:M74"/>
    <mergeCell ref="C80:I80"/>
    <mergeCell ref="C81:I81"/>
    <mergeCell ref="J83:K83"/>
    <mergeCell ref="R178:S178"/>
    <mergeCell ref="R183:S183"/>
    <mergeCell ref="R180:S180"/>
    <mergeCell ref="R179:S179"/>
    <mergeCell ref="R181:S181"/>
    <mergeCell ref="J315:K315"/>
    <mergeCell ref="J285:K285"/>
    <mergeCell ref="L320:M320"/>
    <mergeCell ref="J323:K323"/>
    <mergeCell ref="R195:S195"/>
    <mergeCell ref="P236:Q236"/>
    <mergeCell ref="J287:K287"/>
    <mergeCell ref="J281:K281"/>
    <mergeCell ref="J282:K282"/>
    <mergeCell ref="J286:K286"/>
    <mergeCell ref="L282:M282"/>
    <mergeCell ref="J316:K316"/>
    <mergeCell ref="O277:T277"/>
    <mergeCell ref="D201:X205"/>
    <mergeCell ref="P232:Q232"/>
    <mergeCell ref="W197:X197"/>
    <mergeCell ref="W237:X237"/>
    <mergeCell ref="W239:X239"/>
    <mergeCell ref="W262:X262"/>
    <mergeCell ref="W196:X196"/>
    <mergeCell ref="C384:W393"/>
    <mergeCell ref="J326:K326"/>
    <mergeCell ref="J327:K327"/>
    <mergeCell ref="L325:M325"/>
    <mergeCell ref="L326:M326"/>
    <mergeCell ref="L327:M327"/>
    <mergeCell ref="D333:X337"/>
    <mergeCell ref="D367:X371"/>
    <mergeCell ref="R380:S380"/>
    <mergeCell ref="W380:X380"/>
    <mergeCell ref="W362:X362"/>
    <mergeCell ref="W363:X363"/>
    <mergeCell ref="L350:M350"/>
    <mergeCell ref="J325:K325"/>
    <mergeCell ref="L329:M329"/>
    <mergeCell ref="W327:X327"/>
    <mergeCell ref="W329:X329"/>
    <mergeCell ref="L348:M348"/>
    <mergeCell ref="L349:M349"/>
    <mergeCell ref="L347:M347"/>
    <mergeCell ref="L353:M353"/>
    <mergeCell ref="N363:O363"/>
    <mergeCell ref="L352:M352"/>
    <mergeCell ref="AH80:AH81"/>
    <mergeCell ref="V74:W74"/>
    <mergeCell ref="AH66:AH67"/>
    <mergeCell ref="AI67:AM67"/>
    <mergeCell ref="AH68:AH69"/>
    <mergeCell ref="AH70:AH71"/>
    <mergeCell ref="AH72:AH73"/>
    <mergeCell ref="AI74:AM74"/>
    <mergeCell ref="P100:Q100"/>
    <mergeCell ref="P98:Q98"/>
    <mergeCell ref="P99:Q99"/>
    <mergeCell ref="H98:I98"/>
    <mergeCell ref="H99:I99"/>
    <mergeCell ref="H100:I100"/>
    <mergeCell ref="H101:I101"/>
    <mergeCell ref="C98:G99"/>
    <mergeCell ref="C100:G101"/>
    <mergeCell ref="J101:K101"/>
    <mergeCell ref="J98:K98"/>
    <mergeCell ref="J99:K99"/>
    <mergeCell ref="N101:O101"/>
    <mergeCell ref="L101:M101"/>
    <mergeCell ref="J96:K96"/>
    <mergeCell ref="J97:K97"/>
    <mergeCell ref="AJ65:AK65"/>
    <mergeCell ref="N95:O95"/>
    <mergeCell ref="N96:O96"/>
    <mergeCell ref="N97:O97"/>
    <mergeCell ref="N98:O98"/>
    <mergeCell ref="N99:O99"/>
    <mergeCell ref="N100:O100"/>
    <mergeCell ref="L96:M96"/>
    <mergeCell ref="L98:M98"/>
    <mergeCell ref="L99:M99"/>
    <mergeCell ref="L100:M100"/>
    <mergeCell ref="AH85:AH86"/>
    <mergeCell ref="AH87:AH88"/>
    <mergeCell ref="AH89:AH90"/>
    <mergeCell ref="R98:X99"/>
    <mergeCell ref="R100:Y101"/>
    <mergeCell ref="I75:N75"/>
    <mergeCell ref="P95:Q95"/>
    <mergeCell ref="P96:Q96"/>
    <mergeCell ref="P97:Q97"/>
    <mergeCell ref="C102:G103"/>
    <mergeCell ref="H102:I102"/>
    <mergeCell ref="H103:I103"/>
    <mergeCell ref="J102:M102"/>
    <mergeCell ref="J103:M103"/>
    <mergeCell ref="N102:O102"/>
    <mergeCell ref="N103:O103"/>
    <mergeCell ref="P102:Q102"/>
    <mergeCell ref="P103:Q103"/>
  </mergeCells>
  <conditionalFormatting sqref="M315:Q315">
    <cfRule type="expression" dxfId="52" priority="6">
      <formula>$M$315&lt;&gt;""</formula>
    </cfRule>
  </conditionalFormatting>
  <conditionalFormatting sqref="M316:T316">
    <cfRule type="expression" dxfId="51" priority="5">
      <formula>$M$316&lt;&gt;""</formula>
    </cfRule>
  </conditionalFormatting>
  <conditionalFormatting sqref="M317:T317">
    <cfRule type="expression" dxfId="50" priority="4">
      <formula>$M$317&lt;&gt;""</formula>
    </cfRule>
  </conditionalFormatting>
  <conditionalFormatting sqref="O349:S349">
    <cfRule type="expression" dxfId="49" priority="3">
      <formula>$O$349&lt;&gt;""</formula>
    </cfRule>
  </conditionalFormatting>
  <conditionalFormatting sqref="O353:S353">
    <cfRule type="expression" dxfId="48" priority="2">
      <formula>$O$353&lt;&gt;""</formula>
    </cfRule>
  </conditionalFormatting>
  <conditionalFormatting sqref="O354:S354">
    <cfRule type="expression" dxfId="47" priority="1">
      <formula>$O$354&lt;&gt;""</formula>
    </cfRule>
  </conditionalFormatting>
  <conditionalFormatting sqref="O277:T277">
    <cfRule type="expression" dxfId="46" priority="11">
      <formula>$O$277="ATTENTION : Problème de cohérence des données"</formula>
    </cfRule>
  </conditionalFormatting>
  <conditionalFormatting sqref="O282:T282">
    <cfRule type="expression" dxfId="45" priority="15">
      <formula>$O$282="ATTENTION : Problème de cohérence des données"</formula>
    </cfRule>
  </conditionalFormatting>
  <conditionalFormatting sqref="O287:T287">
    <cfRule type="expression" dxfId="44" priority="14">
      <formula>$O$287="ATTENTION : Problème de cohérence des données"</formula>
    </cfRule>
  </conditionalFormatting>
  <conditionalFormatting sqref="P45:U45">
    <cfRule type="expression" dxfId="43" priority="17">
      <formula>$P$45&lt;&gt;""</formula>
    </cfRule>
  </conditionalFormatting>
  <conditionalFormatting sqref="P46:U46">
    <cfRule type="expression" dxfId="42" priority="19">
      <formula>$P$46&lt;&gt;""</formula>
    </cfRule>
  </conditionalFormatting>
  <conditionalFormatting sqref="R179:S179">
    <cfRule type="expression" dxfId="41" priority="10">
      <formula>$R$178="Non"</formula>
    </cfRule>
  </conditionalFormatting>
  <conditionalFormatting sqref="R184:S184">
    <cfRule type="expression" dxfId="40" priority="9">
      <formula>$R$183="Non"</formula>
    </cfRule>
  </conditionalFormatting>
  <conditionalFormatting sqref="R228:V228">
    <cfRule type="expression" dxfId="39" priority="8">
      <formula>$R$228&lt;&gt;""</formula>
    </cfRule>
  </conditionalFormatting>
  <conditionalFormatting sqref="R229:V229">
    <cfRule type="expression" dxfId="38" priority="7">
      <formula>$R$229&lt;&gt;""</formula>
    </cfRule>
  </conditionalFormatting>
  <conditionalFormatting sqref="S11:V11">
    <cfRule type="expression" dxfId="37" priority="16">
      <formula>$S$11&lt;&gt;""</formula>
    </cfRule>
  </conditionalFormatting>
  <dataValidations count="5">
    <dataValidation type="list" allowBlank="1" showInputMessage="1" showErrorMessage="1" sqref="R174:S174 R172:S172 R178:S178 R183:S183 M22:N23 H112 M112 R112">
      <formula1>"Oui,Non"</formula1>
    </dataValidation>
    <dataValidation type="list" allowBlank="1" showInputMessage="1" showErrorMessage="1" sqref="L11">
      <formula1>"Oui, Oui avec dérogation,Non"</formula1>
    </dataValidation>
    <dataValidation type="whole" allowBlank="1" showInputMessage="1" showErrorMessage="1" sqref="J250:K250">
      <formula1>0</formula1>
      <formula2>99999</formula2>
    </dataValidation>
    <dataValidation type="whole" allowBlank="1" showInputMessage="1" showErrorMessage="1" sqref="J272:K272 J276:K277 J281:K282 J286:K287">
      <formula1>0</formula1>
      <formula2>10000</formula2>
    </dataValidation>
    <dataValidation type="list" allowBlank="1" showInputMessage="1" showErrorMessage="1" sqref="V74:W74">
      <formula1>"1,2,3"</formula1>
    </dataValidation>
  </dataValidations>
  <pageMargins left="0.7" right="0.7" top="0.75" bottom="0.75" header="0.3" footer="0.3"/>
  <pageSetup paperSize="9" scale="4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AL385"/>
  <sheetViews>
    <sheetView showGridLines="0" zoomScaleNormal="100" workbookViewId="0">
      <pane ySplit="5" topLeftCell="A6" activePane="bottomLeft" state="frozen"/>
      <selection activeCell="AA19" sqref="AA19"/>
      <selection pane="bottomLeft" activeCell="D304" sqref="D304:X308"/>
    </sheetView>
  </sheetViews>
  <sheetFormatPr baseColWidth="10" defaultColWidth="9.140625" defaultRowHeight="15" x14ac:dyDescent="0.25"/>
  <cols>
    <col min="27" max="27" width="9.140625" customWidth="1"/>
    <col min="28" max="28" width="9.140625" hidden="1" customWidth="1"/>
    <col min="29" max="29" width="10.140625" hidden="1" customWidth="1"/>
    <col min="30" max="30" width="9.140625" hidden="1" customWidth="1"/>
    <col min="31" max="31" width="11.140625" hidden="1" customWidth="1"/>
    <col min="32" max="34" width="9.140625" hidden="1" customWidth="1"/>
    <col min="35" max="35" width="6.85546875" hidden="1" customWidth="1"/>
    <col min="36" max="36" width="4.85546875" hidden="1" customWidth="1"/>
    <col min="37" max="38" width="14.28515625" hidden="1" customWidth="1"/>
    <col min="39" max="39" width="6.140625" customWidth="1"/>
    <col min="40" max="40" width="7" customWidth="1"/>
    <col min="41" max="45" width="9.140625" customWidth="1"/>
  </cols>
  <sheetData>
    <row r="1" spans="1:26" x14ac:dyDescent="0.25">
      <c r="A1" s="26"/>
      <c r="B1" s="26"/>
      <c r="C1" s="26"/>
      <c r="D1" s="26"/>
      <c r="E1" s="26"/>
      <c r="F1" s="26"/>
      <c r="G1" s="26"/>
      <c r="H1" s="26"/>
      <c r="I1" s="26"/>
      <c r="J1" s="26"/>
      <c r="K1" s="74"/>
      <c r="L1" s="74"/>
      <c r="M1" s="74"/>
      <c r="N1" s="74"/>
      <c r="O1" s="26"/>
      <c r="P1" s="26"/>
      <c r="Q1" s="26"/>
      <c r="R1" s="26"/>
      <c r="S1" s="76" t="s">
        <v>706</v>
      </c>
      <c r="T1" s="26"/>
      <c r="U1" s="26"/>
      <c r="V1" s="26"/>
      <c r="W1" s="26"/>
      <c r="X1" s="26"/>
      <c r="Y1" s="26"/>
      <c r="Z1" s="26"/>
    </row>
    <row r="2" spans="1:26" x14ac:dyDescent="0.25">
      <c r="A2" s="26"/>
      <c r="B2" s="26"/>
      <c r="C2" s="26"/>
      <c r="D2" s="26"/>
      <c r="E2" s="26"/>
      <c r="F2" s="26"/>
      <c r="G2" s="26"/>
      <c r="H2" s="26"/>
      <c r="I2" s="26"/>
      <c r="J2" s="26"/>
      <c r="K2" s="74"/>
      <c r="L2" s="74"/>
      <c r="M2" s="74"/>
      <c r="N2" s="74"/>
      <c r="O2" s="26"/>
      <c r="P2" s="26"/>
      <c r="Q2" s="26"/>
      <c r="R2" s="26"/>
      <c r="S2" s="76" t="s">
        <v>707</v>
      </c>
      <c r="T2" s="26"/>
      <c r="U2" s="26"/>
      <c r="V2" s="26"/>
      <c r="W2" s="26"/>
      <c r="X2" s="26"/>
      <c r="Y2" s="26"/>
      <c r="Z2" s="26"/>
    </row>
    <row r="3" spans="1:26" x14ac:dyDescent="0.25">
      <c r="A3" s="26"/>
      <c r="B3" s="26"/>
      <c r="C3" s="26"/>
      <c r="D3" s="26"/>
      <c r="E3" s="26"/>
      <c r="F3" s="26"/>
      <c r="G3" s="26"/>
      <c r="H3" s="26"/>
      <c r="I3" s="26"/>
      <c r="J3" s="26"/>
      <c r="K3" s="74"/>
      <c r="L3" s="74"/>
      <c r="M3" s="74"/>
      <c r="N3" s="74"/>
      <c r="O3" s="26"/>
      <c r="P3" s="26"/>
      <c r="Q3" s="26"/>
      <c r="R3" s="26"/>
      <c r="S3" s="75" t="s">
        <v>596</v>
      </c>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676" t="str">
        <f>Accueil!I6</f>
        <v>Version 1.11</v>
      </c>
      <c r="Z4" s="676"/>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75" thickBot="1" x14ac:dyDescent="0.3"/>
    <row r="8" spans="1:26" x14ac:dyDescent="0.25">
      <c r="B8" s="16"/>
      <c r="C8" s="17"/>
      <c r="D8" s="17"/>
      <c r="E8" s="17"/>
      <c r="F8" s="17"/>
      <c r="G8" s="17"/>
      <c r="H8" s="17"/>
      <c r="I8" s="17"/>
      <c r="J8" s="17"/>
      <c r="K8" s="17"/>
      <c r="L8" s="17"/>
      <c r="M8" s="17"/>
      <c r="N8" s="17"/>
      <c r="O8" s="17"/>
      <c r="P8" s="17"/>
      <c r="Q8" s="17"/>
      <c r="R8" s="17"/>
      <c r="S8" s="17"/>
      <c r="T8" s="17"/>
      <c r="U8" s="17"/>
      <c r="V8" s="17"/>
      <c r="W8" s="17"/>
      <c r="X8" s="17"/>
      <c r="Y8" s="18"/>
    </row>
    <row r="9" spans="1:26" ht="16.5" customHeight="1" x14ac:dyDescent="0.25">
      <c r="B9" s="19"/>
      <c r="Y9" s="20"/>
    </row>
    <row r="10" spans="1:26" x14ac:dyDescent="0.25">
      <c r="B10" s="19"/>
      <c r="C10" s="145" t="s">
        <v>440</v>
      </c>
      <c r="D10" s="125"/>
      <c r="E10" s="125"/>
      <c r="F10" s="125"/>
      <c r="G10" s="125"/>
      <c r="H10" s="125"/>
      <c r="I10" s="125"/>
      <c r="J10" s="125"/>
      <c r="K10" s="125"/>
      <c r="L10" s="125"/>
      <c r="M10" s="125"/>
      <c r="N10" s="125"/>
      <c r="O10" s="125"/>
      <c r="P10" s="962" t="s">
        <v>330</v>
      </c>
      <c r="Q10" s="962"/>
      <c r="R10" s="962"/>
      <c r="S10" s="962"/>
      <c r="T10" s="962"/>
      <c r="U10" s="962"/>
      <c r="V10" s="962"/>
      <c r="W10" s="962"/>
      <c r="X10" s="149"/>
      <c r="Y10" s="20"/>
    </row>
    <row r="11" spans="1:26" x14ac:dyDescent="0.25">
      <c r="B11" s="19"/>
      <c r="C11" s="146"/>
      <c r="D11" s="70" t="s">
        <v>441</v>
      </c>
      <c r="P11" s="919" t="str">
        <f>TEXT(cCampagneN,"0000-00")</f>
        <v>N</v>
      </c>
      <c r="Q11" s="919"/>
      <c r="S11" s="919" t="str">
        <f>cCampagneN1</f>
        <v>N-1</v>
      </c>
      <c r="T11" s="919"/>
      <c r="V11" s="919" t="str">
        <f>CCampagneN2</f>
        <v>N-2</v>
      </c>
      <c r="W11" s="919"/>
      <c r="X11" s="147"/>
      <c r="Y11" s="20"/>
    </row>
    <row r="12" spans="1:26" x14ac:dyDescent="0.25">
      <c r="B12" s="19"/>
      <c r="C12" s="146"/>
      <c r="D12" s="65"/>
      <c r="E12" s="47" t="s">
        <v>2412</v>
      </c>
      <c r="F12" s="47"/>
      <c r="G12" s="47"/>
      <c r="H12" s="47"/>
      <c r="I12" s="47"/>
      <c r="J12" s="47"/>
      <c r="K12" s="47"/>
      <c r="L12" s="47"/>
      <c r="M12" s="47"/>
      <c r="N12" s="47"/>
      <c r="O12" s="43"/>
      <c r="P12" s="703"/>
      <c r="Q12" s="704"/>
      <c r="S12" s="703"/>
      <c r="T12" s="704"/>
      <c r="V12" s="703"/>
      <c r="W12" s="704"/>
      <c r="X12" s="147"/>
      <c r="Y12" s="20"/>
    </row>
    <row r="13" spans="1:26" x14ac:dyDescent="0.25">
      <c r="B13" s="19"/>
      <c r="C13" s="146"/>
      <c r="D13" s="65"/>
      <c r="E13" s="47" t="s">
        <v>2357</v>
      </c>
      <c r="F13" s="47"/>
      <c r="G13" s="47"/>
      <c r="H13" s="47"/>
      <c r="I13" s="47"/>
      <c r="J13" s="47"/>
      <c r="K13" s="47"/>
      <c r="L13" s="47"/>
      <c r="M13" s="47"/>
      <c r="N13" s="47"/>
      <c r="O13" s="43"/>
      <c r="P13" s="703"/>
      <c r="Q13" s="704"/>
      <c r="S13" s="703"/>
      <c r="T13" s="704"/>
      <c r="V13" s="703"/>
      <c r="W13" s="704"/>
      <c r="X13" s="147"/>
      <c r="Y13" s="20"/>
    </row>
    <row r="14" spans="1:26" x14ac:dyDescent="0.25">
      <c r="B14" s="19"/>
      <c r="C14" s="146"/>
      <c r="D14" s="65"/>
      <c r="E14" s="48" t="s">
        <v>2358</v>
      </c>
      <c r="F14" s="48"/>
      <c r="G14" s="48"/>
      <c r="H14" s="48"/>
      <c r="I14" s="48"/>
      <c r="J14" s="48"/>
      <c r="K14" s="48"/>
      <c r="L14" s="48"/>
      <c r="M14" s="48"/>
      <c r="N14" s="48"/>
      <c r="O14" s="44"/>
      <c r="P14" s="703"/>
      <c r="Q14" s="704"/>
      <c r="S14" s="703"/>
      <c r="T14" s="704"/>
      <c r="V14" s="703"/>
      <c r="W14" s="704"/>
      <c r="X14" s="147"/>
      <c r="Y14" s="20"/>
    </row>
    <row r="15" spans="1:26" x14ac:dyDescent="0.25">
      <c r="B15" s="19"/>
      <c r="C15" s="146"/>
      <c r="E15" s="48" t="s">
        <v>2359</v>
      </c>
      <c r="F15" s="48"/>
      <c r="G15" s="48"/>
      <c r="H15" s="48"/>
      <c r="I15" s="48"/>
      <c r="J15" s="48"/>
      <c r="K15" s="48"/>
      <c r="L15" s="48"/>
      <c r="M15" s="48"/>
      <c r="N15" s="48"/>
      <c r="O15" s="44"/>
      <c r="P15" s="703"/>
      <c r="Q15" s="704"/>
      <c r="S15" s="703"/>
      <c r="T15" s="704"/>
      <c r="V15" s="703"/>
      <c r="W15" s="704"/>
      <c r="X15" s="147"/>
      <c r="Y15" s="20"/>
    </row>
    <row r="16" spans="1:26" x14ac:dyDescent="0.25">
      <c r="B16" s="19"/>
      <c r="C16" s="146"/>
      <c r="D16" s="65"/>
      <c r="X16" s="147"/>
      <c r="Y16" s="20"/>
    </row>
    <row r="17" spans="2:25" x14ac:dyDescent="0.25">
      <c r="B17" s="19"/>
      <c r="C17" s="146"/>
      <c r="D17" s="70" t="s">
        <v>442</v>
      </c>
      <c r="X17" s="147"/>
      <c r="Y17" s="20"/>
    </row>
    <row r="18" spans="2:25" x14ac:dyDescent="0.25">
      <c r="B18" s="19"/>
      <c r="C18" s="146"/>
      <c r="D18" s="70"/>
      <c r="E18" s="47" t="s">
        <v>2360</v>
      </c>
      <c r="F18" s="47"/>
      <c r="G18" s="47"/>
      <c r="H18" s="47"/>
      <c r="I18" s="47"/>
      <c r="J18" s="47"/>
      <c r="K18" s="47"/>
      <c r="L18" s="47"/>
      <c r="M18" s="47"/>
      <c r="N18" s="47"/>
      <c r="O18" s="43"/>
      <c r="P18" s="703"/>
      <c r="Q18" s="704"/>
      <c r="S18" s="703"/>
      <c r="T18" s="704"/>
      <c r="V18" s="703"/>
      <c r="W18" s="704"/>
      <c r="X18" s="147"/>
      <c r="Y18" s="20"/>
    </row>
    <row r="19" spans="2:25" x14ac:dyDescent="0.25">
      <c r="B19" s="19"/>
      <c r="C19" s="146"/>
      <c r="D19" s="65"/>
      <c r="E19" s="47" t="s">
        <v>2361</v>
      </c>
      <c r="F19" s="47"/>
      <c r="G19" s="47"/>
      <c r="H19" s="47"/>
      <c r="I19" s="47"/>
      <c r="J19" s="47"/>
      <c r="K19" s="47"/>
      <c r="L19" s="47"/>
      <c r="M19" s="47"/>
      <c r="N19" s="47"/>
      <c r="O19" s="43"/>
      <c r="P19" s="703"/>
      <c r="Q19" s="704"/>
      <c r="S19" s="703"/>
      <c r="T19" s="704"/>
      <c r="V19" s="703"/>
      <c r="W19" s="704"/>
      <c r="X19" s="147"/>
      <c r="Y19" s="20"/>
    </row>
    <row r="20" spans="2:25" x14ac:dyDescent="0.25">
      <c r="B20" s="19"/>
      <c r="C20" s="146"/>
      <c r="D20" s="65"/>
      <c r="E20" s="47" t="s">
        <v>2362</v>
      </c>
      <c r="F20" s="47"/>
      <c r="G20" s="47"/>
      <c r="H20" s="47"/>
      <c r="I20" s="47"/>
      <c r="J20" s="47"/>
      <c r="K20" s="47"/>
      <c r="L20" s="47"/>
      <c r="M20" s="47"/>
      <c r="N20" s="47"/>
      <c r="O20" s="43"/>
      <c r="P20" s="703"/>
      <c r="Q20" s="704"/>
      <c r="S20" s="703"/>
      <c r="T20" s="704"/>
      <c r="V20" s="703"/>
      <c r="W20" s="704"/>
      <c r="X20" s="147"/>
      <c r="Y20" s="20"/>
    </row>
    <row r="21" spans="2:25" x14ac:dyDescent="0.25">
      <c r="B21" s="19"/>
      <c r="C21" s="146"/>
      <c r="D21" s="65"/>
      <c r="E21" s="47" t="s">
        <v>2363</v>
      </c>
      <c r="F21" s="47"/>
      <c r="G21" s="47"/>
      <c r="H21" s="47"/>
      <c r="I21" s="47"/>
      <c r="J21" s="47"/>
      <c r="K21" s="47"/>
      <c r="L21" s="47"/>
      <c r="M21" s="47"/>
      <c r="N21" s="47"/>
      <c r="O21" s="43"/>
      <c r="P21" s="703"/>
      <c r="Q21" s="704"/>
      <c r="S21" s="703"/>
      <c r="T21" s="704"/>
      <c r="V21" s="703"/>
      <c r="W21" s="704"/>
      <c r="X21" s="147"/>
      <c r="Y21" s="20"/>
    </row>
    <row r="22" spans="2:25" x14ac:dyDescent="0.25">
      <c r="B22" s="19"/>
      <c r="C22" s="146"/>
      <c r="D22" s="65"/>
      <c r="X22" s="147"/>
      <c r="Y22" s="20"/>
    </row>
    <row r="23" spans="2:25" x14ac:dyDescent="0.25">
      <c r="B23" s="19"/>
      <c r="C23" s="146"/>
      <c r="D23" s="151" t="s">
        <v>445</v>
      </c>
      <c r="E23" s="40"/>
      <c r="F23" s="40"/>
      <c r="G23" s="40"/>
      <c r="H23" s="40"/>
      <c r="I23" s="40"/>
      <c r="J23" s="40"/>
      <c r="K23" s="40"/>
      <c r="L23" s="40"/>
      <c r="M23" s="40"/>
      <c r="N23" s="40"/>
      <c r="O23" s="45"/>
      <c r="P23" s="953" t="str">
        <f>IF(AND(ISBLANK(P12),ISBLANK(P13),ISBLANK(P14),ISBLANK(P15),ISBLANK(P18),ISBLANK(P19),ISBLANK(P20),ISBLANK(P21)),"",SUM(P12:Q14)-SUM(P18:Q21))</f>
        <v/>
      </c>
      <c r="Q23" s="954"/>
      <c r="S23" s="953" t="str">
        <f>IF(AND(ISBLANK(S12),ISBLANK(S13),ISBLANK(S14),ISBLANK(S15),ISBLANK(S18),ISBLANK(S19),ISBLANK(S20),ISBLANK(S21)),"",SUM(S12:T14)-SUM(S18:T21))</f>
        <v/>
      </c>
      <c r="T23" s="954"/>
      <c r="V23" s="953" t="str">
        <f>IF(AND(ISBLANK(V12),ISBLANK(V13),ISBLANK(V14),ISBLANK(V15),ISBLANK(V18),ISBLANK(V19),ISBLANK(V20),ISBLANK(V21)),"",SUM(V12:W14)-SUM(V18:W21))</f>
        <v/>
      </c>
      <c r="W23" s="954"/>
      <c r="X23" s="147"/>
      <c r="Y23" s="20"/>
    </row>
    <row r="24" spans="2:25" x14ac:dyDescent="0.25">
      <c r="B24" s="19"/>
      <c r="C24" s="146"/>
      <c r="D24" s="70"/>
      <c r="X24" s="147"/>
      <c r="Y24" s="20"/>
    </row>
    <row r="25" spans="2:25" x14ac:dyDescent="0.25">
      <c r="B25" s="19"/>
      <c r="C25" s="146"/>
      <c r="D25" s="151" t="s">
        <v>443</v>
      </c>
      <c r="E25" s="40"/>
      <c r="F25" s="40"/>
      <c r="G25" s="40"/>
      <c r="H25" s="40"/>
      <c r="I25" s="40"/>
      <c r="J25" s="40"/>
      <c r="K25" s="40"/>
      <c r="L25" s="40"/>
      <c r="M25" s="40"/>
      <c r="N25" s="40"/>
      <c r="O25" s="45"/>
      <c r="P25" s="953" t="str">
        <f>IF(ISERROR(P23+P15),"",P23+P15)</f>
        <v/>
      </c>
      <c r="Q25" s="954"/>
      <c r="S25" s="953" t="str">
        <f>IF(ISERROR(S23+S15),"",S23+S15)</f>
        <v/>
      </c>
      <c r="T25" s="954"/>
      <c r="V25" s="953" t="str">
        <f>IF(ISERROR(V23+V15),"",V23+V15)</f>
        <v/>
      </c>
      <c r="W25" s="954"/>
      <c r="X25" s="147"/>
      <c r="Y25" s="20"/>
    </row>
    <row r="26" spans="2:25" x14ac:dyDescent="0.25">
      <c r="B26" s="19"/>
      <c r="C26" s="148"/>
      <c r="D26" s="128"/>
      <c r="E26" s="128"/>
      <c r="F26" s="128"/>
      <c r="G26" s="128"/>
      <c r="H26" s="128"/>
      <c r="I26" s="128"/>
      <c r="J26" s="128"/>
      <c r="K26" s="128"/>
      <c r="L26" s="128"/>
      <c r="M26" s="128"/>
      <c r="N26" s="128"/>
      <c r="O26" s="128"/>
      <c r="P26" s="128"/>
      <c r="Q26" s="128"/>
      <c r="R26" s="128"/>
      <c r="S26" s="128"/>
      <c r="T26" s="128"/>
      <c r="U26" s="128"/>
      <c r="V26" s="128"/>
      <c r="W26" s="128"/>
      <c r="X26" s="150"/>
      <c r="Y26" s="20"/>
    </row>
    <row r="27" spans="2:25" x14ac:dyDescent="0.25">
      <c r="B27" s="19"/>
      <c r="Y27" s="20"/>
    </row>
    <row r="28" spans="2:25" x14ac:dyDescent="0.25">
      <c r="B28" s="19"/>
      <c r="Y28" s="20"/>
    </row>
    <row r="29" spans="2:25" x14ac:dyDescent="0.25">
      <c r="B29" s="19"/>
      <c r="C29" s="145" t="s">
        <v>444</v>
      </c>
      <c r="D29" s="125"/>
      <c r="E29" s="125"/>
      <c r="F29" s="125"/>
      <c r="G29" s="125"/>
      <c r="H29" s="125"/>
      <c r="I29" s="125"/>
      <c r="J29" s="125"/>
      <c r="K29" s="125"/>
      <c r="L29" s="125"/>
      <c r="M29" s="125"/>
      <c r="N29" s="125"/>
      <c r="O29" s="125"/>
      <c r="P29" s="962" t="s">
        <v>330</v>
      </c>
      <c r="Q29" s="962"/>
      <c r="R29" s="962"/>
      <c r="S29" s="962"/>
      <c r="T29" s="962"/>
      <c r="U29" s="962"/>
      <c r="V29" s="962"/>
      <c r="W29" s="962"/>
      <c r="X29" s="149"/>
      <c r="Y29" s="20"/>
    </row>
    <row r="30" spans="2:25" x14ac:dyDescent="0.25">
      <c r="B30" s="19"/>
      <c r="C30" s="146"/>
      <c r="D30" s="70" t="s">
        <v>441</v>
      </c>
      <c r="P30" s="919" t="str">
        <f>TEXT(cCampagneN,"0000-00")</f>
        <v>N</v>
      </c>
      <c r="Q30" s="919"/>
      <c r="S30" s="919" t="str">
        <f>cCampagneN1</f>
        <v>N-1</v>
      </c>
      <c r="T30" s="919"/>
      <c r="V30" s="919" t="str">
        <f>CCampagneN2</f>
        <v>N-2</v>
      </c>
      <c r="W30" s="919"/>
      <c r="X30" s="147"/>
      <c r="Y30" s="20"/>
    </row>
    <row r="31" spans="2:25" x14ac:dyDescent="0.25">
      <c r="B31" s="19"/>
      <c r="C31" s="146"/>
      <c r="D31" s="65"/>
      <c r="E31" s="47" t="s">
        <v>2364</v>
      </c>
      <c r="F31" s="47"/>
      <c r="G31" s="47"/>
      <c r="H31" s="47"/>
      <c r="I31" s="47"/>
      <c r="J31" s="47"/>
      <c r="K31" s="47"/>
      <c r="L31" s="47"/>
      <c r="M31" s="47"/>
      <c r="N31" s="47"/>
      <c r="O31" s="43"/>
      <c r="P31" s="703"/>
      <c r="Q31" s="704"/>
      <c r="S31" s="703"/>
      <c r="T31" s="704"/>
      <c r="V31" s="703"/>
      <c r="W31" s="704"/>
      <c r="X31" s="147"/>
      <c r="Y31" s="20"/>
    </row>
    <row r="32" spans="2:25" x14ac:dyDescent="0.25">
      <c r="B32" s="19"/>
      <c r="C32" s="146"/>
      <c r="D32" s="65"/>
      <c r="E32" s="47" t="s">
        <v>2365</v>
      </c>
      <c r="F32" s="47"/>
      <c r="G32" s="47"/>
      <c r="H32" s="47"/>
      <c r="I32" s="47"/>
      <c r="J32" s="47"/>
      <c r="K32" s="47"/>
      <c r="L32" s="47"/>
      <c r="M32" s="47"/>
      <c r="N32" s="47"/>
      <c r="O32" s="43"/>
      <c r="P32" s="703"/>
      <c r="Q32" s="704"/>
      <c r="S32" s="703"/>
      <c r="T32" s="704"/>
      <c r="V32" s="703"/>
      <c r="W32" s="704"/>
      <c r="X32" s="147"/>
      <c r="Y32" s="20"/>
    </row>
    <row r="33" spans="2:32" x14ac:dyDescent="0.25">
      <c r="B33" s="19"/>
      <c r="C33" s="146"/>
      <c r="D33" s="65"/>
      <c r="E33" s="47" t="s">
        <v>2366</v>
      </c>
      <c r="F33" s="47"/>
      <c r="G33" s="47"/>
      <c r="H33" s="47"/>
      <c r="I33" s="47"/>
      <c r="J33" s="47"/>
      <c r="K33" s="47"/>
      <c r="L33" s="47"/>
      <c r="M33" s="47"/>
      <c r="N33" s="47"/>
      <c r="O33" s="43"/>
      <c r="P33" s="703"/>
      <c r="Q33" s="704"/>
      <c r="S33" s="703"/>
      <c r="T33" s="704"/>
      <c r="V33" s="703"/>
      <c r="W33" s="704"/>
      <c r="X33" s="147"/>
      <c r="Y33" s="20"/>
    </row>
    <row r="34" spans="2:32" x14ac:dyDescent="0.25">
      <c r="B34" s="19"/>
      <c r="C34" s="146"/>
      <c r="D34" s="65"/>
      <c r="E34" s="47" t="s">
        <v>2367</v>
      </c>
      <c r="F34" s="47"/>
      <c r="G34" s="47"/>
      <c r="H34" s="47"/>
      <c r="I34" s="47"/>
      <c r="J34" s="47"/>
      <c r="K34" s="47"/>
      <c r="L34" s="47"/>
      <c r="M34" s="47"/>
      <c r="N34" s="47"/>
      <c r="O34" s="43"/>
      <c r="P34" s="703"/>
      <c r="Q34" s="704"/>
      <c r="S34" s="703"/>
      <c r="T34" s="704"/>
      <c r="V34" s="703"/>
      <c r="W34" s="704"/>
      <c r="X34" s="147"/>
      <c r="Y34" s="20"/>
    </row>
    <row r="35" spans="2:32" x14ac:dyDescent="0.25">
      <c r="B35" s="19"/>
      <c r="C35" s="146"/>
      <c r="D35" s="65"/>
      <c r="E35" s="48" t="s">
        <v>2368</v>
      </c>
      <c r="F35" s="48"/>
      <c r="G35" s="48"/>
      <c r="H35" s="48"/>
      <c r="I35" s="48"/>
      <c r="J35" s="48"/>
      <c r="K35" s="48"/>
      <c r="L35" s="48"/>
      <c r="M35" s="48"/>
      <c r="N35" s="48"/>
      <c r="O35" s="44"/>
      <c r="P35" s="703"/>
      <c r="Q35" s="704"/>
      <c r="S35" s="703"/>
      <c r="T35" s="704"/>
      <c r="V35" s="703"/>
      <c r="W35" s="704"/>
      <c r="X35" s="147"/>
      <c r="Y35" s="20"/>
    </row>
    <row r="36" spans="2:32" x14ac:dyDescent="0.25">
      <c r="B36" s="19"/>
      <c r="C36" s="146"/>
      <c r="E36" s="48" t="s">
        <v>2369</v>
      </c>
      <c r="F36" s="48"/>
      <c r="G36" s="48"/>
      <c r="H36" s="48"/>
      <c r="I36" s="48"/>
      <c r="J36" s="48"/>
      <c r="K36" s="48"/>
      <c r="L36" s="48"/>
      <c r="M36" s="48"/>
      <c r="N36" s="48"/>
      <c r="O36" s="44"/>
      <c r="P36" s="703"/>
      <c r="Q36" s="704"/>
      <c r="S36" s="703"/>
      <c r="T36" s="704"/>
      <c r="V36" s="703"/>
      <c r="W36" s="704"/>
      <c r="X36" s="147"/>
      <c r="Y36" s="20"/>
    </row>
    <row r="37" spans="2:32" x14ac:dyDescent="0.25">
      <c r="B37" s="19"/>
      <c r="C37" s="146"/>
      <c r="D37" s="65"/>
      <c r="X37" s="147"/>
      <c r="Y37" s="20"/>
    </row>
    <row r="38" spans="2:32" x14ac:dyDescent="0.25">
      <c r="B38" s="19"/>
      <c r="C38" s="146"/>
      <c r="D38" s="70" t="s">
        <v>442</v>
      </c>
      <c r="X38" s="147"/>
      <c r="Y38" s="20"/>
    </row>
    <row r="39" spans="2:32" x14ac:dyDescent="0.25">
      <c r="B39" s="19"/>
      <c r="C39" s="146"/>
      <c r="D39" s="70"/>
      <c r="E39" s="47" t="s">
        <v>2371</v>
      </c>
      <c r="F39" s="47"/>
      <c r="G39" s="47"/>
      <c r="H39" s="47"/>
      <c r="I39" s="47"/>
      <c r="J39" s="47"/>
      <c r="K39" s="47"/>
      <c r="L39" s="47"/>
      <c r="M39" s="47"/>
      <c r="N39" s="47"/>
      <c r="O39" s="43"/>
      <c r="P39" s="703"/>
      <c r="Q39" s="704"/>
      <c r="S39" s="703"/>
      <c r="T39" s="704"/>
      <c r="V39" s="703"/>
      <c r="W39" s="704"/>
      <c r="X39" s="147"/>
      <c r="Y39" s="20"/>
    </row>
    <row r="40" spans="2:32" x14ac:dyDescent="0.25">
      <c r="B40" s="19"/>
      <c r="C40" s="146"/>
      <c r="D40" s="70"/>
      <c r="E40" s="48" t="s">
        <v>2370</v>
      </c>
      <c r="F40" s="48"/>
      <c r="G40" s="48"/>
      <c r="H40" s="48"/>
      <c r="I40" s="48"/>
      <c r="J40" s="48"/>
      <c r="K40" s="48"/>
      <c r="L40" s="48"/>
      <c r="M40" s="48"/>
      <c r="N40" s="48"/>
      <c r="O40" s="44"/>
      <c r="P40" s="703"/>
      <c r="Q40" s="704"/>
      <c r="S40" s="703"/>
      <c r="T40" s="704"/>
      <c r="V40" s="703"/>
      <c r="W40" s="704"/>
      <c r="X40" s="147"/>
      <c r="Y40" s="20"/>
    </row>
    <row r="41" spans="2:32" x14ac:dyDescent="0.25">
      <c r="B41" s="19"/>
      <c r="C41" s="146"/>
      <c r="D41" s="70"/>
      <c r="E41" s="48" t="s">
        <v>2372</v>
      </c>
      <c r="F41" s="48"/>
      <c r="G41" s="48"/>
      <c r="H41" s="48"/>
      <c r="I41" s="48"/>
      <c r="J41" s="48"/>
      <c r="K41" s="48"/>
      <c r="L41" s="48"/>
      <c r="M41" s="48"/>
      <c r="N41" s="48"/>
      <c r="O41" s="44"/>
      <c r="P41" s="703"/>
      <c r="Q41" s="704"/>
      <c r="S41" s="703"/>
      <c r="T41" s="704"/>
      <c r="V41" s="703"/>
      <c r="W41" s="704"/>
      <c r="X41" s="147"/>
      <c r="Y41" s="20"/>
    </row>
    <row r="42" spans="2:32" x14ac:dyDescent="0.25">
      <c r="B42" s="19"/>
      <c r="C42" s="146"/>
      <c r="D42" s="65"/>
      <c r="E42" s="48" t="s">
        <v>2373</v>
      </c>
      <c r="F42" s="48"/>
      <c r="G42" s="48"/>
      <c r="H42" s="48"/>
      <c r="I42" s="48"/>
      <c r="J42" s="48"/>
      <c r="K42" s="48"/>
      <c r="L42" s="48"/>
      <c r="M42" s="48"/>
      <c r="N42" s="48"/>
      <c r="O42" s="44"/>
      <c r="P42" s="703"/>
      <c r="Q42" s="704"/>
      <c r="S42" s="703"/>
      <c r="T42" s="704"/>
      <c r="V42" s="703"/>
      <c r="W42" s="704"/>
      <c r="X42" s="147"/>
      <c r="Y42" s="20"/>
    </row>
    <row r="43" spans="2:32" x14ac:dyDescent="0.25">
      <c r="B43" s="19"/>
      <c r="C43" s="146"/>
      <c r="D43" s="65"/>
      <c r="X43" s="147"/>
      <c r="Y43" s="20"/>
    </row>
    <row r="44" spans="2:32" x14ac:dyDescent="0.25">
      <c r="B44" s="19"/>
      <c r="C44" s="146"/>
      <c r="D44" s="151" t="s">
        <v>445</v>
      </c>
      <c r="E44" s="40"/>
      <c r="F44" s="40"/>
      <c r="G44" s="40"/>
      <c r="H44" s="40"/>
      <c r="I44" s="40"/>
      <c r="J44" s="40"/>
      <c r="K44" s="40"/>
      <c r="L44" s="40"/>
      <c r="M44" s="40"/>
      <c r="N44" s="40"/>
      <c r="O44" s="45"/>
      <c r="P44" s="953" t="str">
        <f>IF(AND(ISBLANK(P31),ISBLANK(P32),ISBLANK(P33),ISBLANK(P34),ISBLANK(P35),ISBLANK(P36),ISBLANK(P39),ISBLANK(P40),ISBLANK(P41),ISBLANK(P42)),"",SUM(P31:Q35)-SUM(P39:Q42))</f>
        <v/>
      </c>
      <c r="Q44" s="954"/>
      <c r="S44" s="953" t="str">
        <f>IF(AND(ISBLANK(S31),ISBLANK(S32),ISBLANK(S33),ISBLANK(S34),ISBLANK(S35),ISBLANK(S36),ISBLANK(S39),ISBLANK(S40),ISBLANK(S41),ISBLANK(S42)),"",SUM(S31:T35)-SUM(S39:T42))</f>
        <v/>
      </c>
      <c r="T44" s="954"/>
      <c r="V44" s="953" t="str">
        <f>IF(AND(ISBLANK(V31),ISBLANK(V32),ISBLANK(V33),ISBLANK(V34),ISBLANK(V35),ISBLANK(V36),ISBLANK(V39),ISBLANK(V40),ISBLANK(V41),ISBLANK(V42)),"",SUM(V31:W35)-SUM(V39:W42))</f>
        <v/>
      </c>
      <c r="W44" s="954"/>
      <c r="X44" s="147"/>
      <c r="Y44" s="20"/>
    </row>
    <row r="45" spans="2:32" x14ac:dyDescent="0.25">
      <c r="B45" s="19"/>
      <c r="C45" s="146"/>
      <c r="D45" s="70"/>
      <c r="X45" s="147"/>
      <c r="Y45" s="20"/>
    </row>
    <row r="46" spans="2:32" x14ac:dyDescent="0.25">
      <c r="B46" s="19"/>
      <c r="C46" s="146"/>
      <c r="D46" s="151" t="s">
        <v>443</v>
      </c>
      <c r="E46" s="40"/>
      <c r="F46" s="40"/>
      <c r="G46" s="40"/>
      <c r="H46" s="40"/>
      <c r="I46" s="40"/>
      <c r="J46" s="40"/>
      <c r="K46" s="40"/>
      <c r="L46" s="40"/>
      <c r="M46" s="40"/>
      <c r="N46" s="40"/>
      <c r="O46" s="45"/>
      <c r="P46" s="953" t="str">
        <f>IF(ISERROR(P44+P36),"",P44+P36)</f>
        <v/>
      </c>
      <c r="Q46" s="954"/>
      <c r="S46" s="953" t="str">
        <f>IF(ISERROR(S44+S36),"",S44+S36)</f>
        <v/>
      </c>
      <c r="T46" s="954"/>
      <c r="V46" s="953" t="str">
        <f>IF(ISERROR(V44+V36),"",V44+V36)</f>
        <v/>
      </c>
      <c r="W46" s="954"/>
      <c r="X46" s="147"/>
      <c r="Y46" s="20"/>
      <c r="AC46" t="s">
        <v>2375</v>
      </c>
      <c r="AF46">
        <f>IF(M54=1,P25,IF(M54=2,SUM(P25:T25)/2,SUM(P25:W25)/3))</f>
        <v>0</v>
      </c>
    </row>
    <row r="47" spans="2:32" x14ac:dyDescent="0.25">
      <c r="B47" s="19"/>
      <c r="C47" s="148"/>
      <c r="D47" s="128"/>
      <c r="E47" s="128"/>
      <c r="F47" s="128"/>
      <c r="G47" s="128"/>
      <c r="H47" s="128"/>
      <c r="I47" s="128"/>
      <c r="J47" s="128"/>
      <c r="K47" s="128"/>
      <c r="L47" s="128"/>
      <c r="M47" s="128"/>
      <c r="N47" s="128"/>
      <c r="O47" s="128"/>
      <c r="P47" s="128"/>
      <c r="Q47" s="128"/>
      <c r="R47" s="128"/>
      <c r="S47" s="128"/>
      <c r="T47" s="128"/>
      <c r="U47" s="128"/>
      <c r="V47" s="128"/>
      <c r="W47" s="128"/>
      <c r="X47" s="150"/>
      <c r="Y47" s="20"/>
      <c r="AC47" t="s">
        <v>2374</v>
      </c>
      <c r="AF47">
        <f>IF(M54=1,P46,IF(M54=2,SUM(P46:T46)/2,SUM(P46:W46)/3))</f>
        <v>0</v>
      </c>
    </row>
    <row r="48" spans="2:32" x14ac:dyDescent="0.25">
      <c r="B48" s="19"/>
      <c r="Y48" s="20"/>
    </row>
    <row r="49" spans="2:38" x14ac:dyDescent="0.25">
      <c r="B49" s="19"/>
      <c r="D49" s="143" t="s">
        <v>2510</v>
      </c>
      <c r="P49" s="143" t="str">
        <f>IF(M54&lt;&gt;"","Bien saisir les données du bilan sur " &amp; M54 &amp; " campagne(s).","")</f>
        <v/>
      </c>
      <c r="Y49" s="20"/>
    </row>
    <row r="50" spans="2:38" x14ac:dyDescent="0.25">
      <c r="B50" s="19"/>
      <c r="Y50" s="20"/>
    </row>
    <row r="51" spans="2:38" x14ac:dyDescent="0.25">
      <c r="B51" s="19"/>
      <c r="D51" s="47" t="s">
        <v>446</v>
      </c>
      <c r="E51" s="47"/>
      <c r="F51" s="47"/>
      <c r="G51" s="47"/>
      <c r="H51" s="47"/>
      <c r="I51" s="47"/>
      <c r="J51" s="47"/>
      <c r="K51" s="47"/>
      <c r="L51" s="43"/>
      <c r="M51" s="956" t="str">
        <f>IF(Identification!F69="","",IFERROR(IF(MATCH(Identification!F69,Listes!Z:Z,0)&gt;0,"Oui","Non"),"Non"))</f>
        <v/>
      </c>
      <c r="N51" s="957"/>
      <c r="P51" s="143" t="str">
        <f>IF(M51="","Saisir l'OTEX dans l'onglet Identification","")</f>
        <v>Saisir l'OTEX dans l'onglet Identification</v>
      </c>
      <c r="Y51" s="20"/>
    </row>
    <row r="52" spans="2:38" x14ac:dyDescent="0.25">
      <c r="B52" s="19"/>
      <c r="D52" s="48" t="s">
        <v>447</v>
      </c>
      <c r="E52" s="48"/>
      <c r="F52" s="48"/>
      <c r="G52" s="48"/>
      <c r="H52" s="48"/>
      <c r="I52" s="48"/>
      <c r="J52" s="48"/>
      <c r="K52" s="48"/>
      <c r="L52" s="44"/>
      <c r="M52" s="703"/>
      <c r="N52" s="897"/>
      <c r="O52" s="897"/>
      <c r="P52" s="897"/>
      <c r="Q52" s="704"/>
      <c r="Y52" s="20"/>
    </row>
    <row r="53" spans="2:38" x14ac:dyDescent="0.25">
      <c r="B53" s="19"/>
      <c r="C53" s="42"/>
      <c r="Y53" s="20"/>
    </row>
    <row r="54" spans="2:38" x14ac:dyDescent="0.25">
      <c r="B54" s="19"/>
      <c r="D54" s="77" t="s">
        <v>5161</v>
      </c>
      <c r="E54" s="77"/>
      <c r="F54" s="40"/>
      <c r="G54" s="40"/>
      <c r="H54" s="40"/>
      <c r="I54" s="40"/>
      <c r="J54" s="40"/>
      <c r="K54" s="40"/>
      <c r="L54" s="45"/>
      <c r="M54" s="703"/>
      <c r="N54" s="704"/>
      <c r="P54" s="651" t="s">
        <v>239</v>
      </c>
      <c r="Q54" s="651"/>
      <c r="Y54" s="20"/>
      <c r="AI54" s="303"/>
      <c r="AJ54" s="303"/>
      <c r="AK54" s="303" t="s">
        <v>2416</v>
      </c>
      <c r="AL54" s="303" t="s">
        <v>2417</v>
      </c>
    </row>
    <row r="55" spans="2:38" x14ac:dyDescent="0.25">
      <c r="B55" s="19"/>
      <c r="D55" s="77" t="str">
        <f>"Solde du bilan en moyenne sur " &amp; M54 &amp; " campagne(s)"</f>
        <v>Solde du bilan en moyenne sur  campagne(s)</v>
      </c>
      <c r="E55" s="77"/>
      <c r="F55" s="40"/>
      <c r="G55" s="40"/>
      <c r="H55" s="40"/>
      <c r="I55" s="40"/>
      <c r="J55" s="40"/>
      <c r="K55" s="40"/>
      <c r="L55" s="45"/>
      <c r="M55" s="826" t="str">
        <f>IF(M54="","",IF(AND(M52="Bilan apparent",M51="Oui"),AF47,IF(AND(M51="Non",M52="Bilan apparent"),AF47,AF46)))</f>
        <v/>
      </c>
      <c r="N55" s="827"/>
      <c r="P55" s="839">
        <f>IF(OR(M54="",M52=""),0,IF(AND(M51="Oui",M52="Bilan apparent"),AF55,AD55))</f>
        <v>0</v>
      </c>
      <c r="Q55" s="840"/>
      <c r="Y55" s="20"/>
      <c r="AC55" t="s">
        <v>2413</v>
      </c>
      <c r="AD55">
        <f>IF(M55&gt;50,0,IF(AND(M55&lt;=50,M55&gt;40),2,IF(AND(M55&lt;=40,M55&gt;30),5,IF(AND(M55&lt;=30,M55&gt;20),7,IF(M55&lt;=20,8,0)))))</f>
        <v>0</v>
      </c>
      <c r="AE55" t="s">
        <v>2414</v>
      </c>
      <c r="AF55">
        <f>IF(M55&gt;90,0,IF(AND(M55&lt;=90,M55&gt;70),2,IF(AND(M55&lt;=70,M55&gt;50),4,IF(AND(M55&lt;=50,M55&gt;30),6,IF(M55&lt;=30,8,0)))))</f>
        <v>0</v>
      </c>
      <c r="AI55" s="303" t="s">
        <v>2415</v>
      </c>
      <c r="AJ55" s="303" t="s">
        <v>309</v>
      </c>
      <c r="AK55" s="303" t="str">
        <f>AC55</f>
        <v>calcul général</v>
      </c>
      <c r="AL55" s="303" t="str">
        <f>AC55</f>
        <v>calcul général</v>
      </c>
    </row>
    <row r="56" spans="2:38" x14ac:dyDescent="0.25">
      <c r="B56" s="19"/>
      <c r="Y56" s="20"/>
      <c r="AI56" s="303"/>
      <c r="AJ56" s="303" t="s">
        <v>66</v>
      </c>
      <c r="AK56" s="303" t="str">
        <f>AC55</f>
        <v>calcul général</v>
      </c>
      <c r="AL56" s="303" t="str">
        <f>AE55</f>
        <v>calcul spé</v>
      </c>
    </row>
    <row r="57" spans="2:38" x14ac:dyDescent="0.25">
      <c r="B57" s="19"/>
      <c r="D57" s="77" t="s">
        <v>2376</v>
      </c>
      <c r="E57" s="77"/>
      <c r="F57" s="77"/>
      <c r="G57" s="77"/>
      <c r="H57" s="77"/>
      <c r="I57" s="77"/>
      <c r="J57" s="77"/>
      <c r="K57" s="77"/>
      <c r="L57" s="102"/>
      <c r="M57" s="703"/>
      <c r="N57" s="704"/>
      <c r="Y57" s="20"/>
    </row>
    <row r="58" spans="2:38" x14ac:dyDescent="0.25">
      <c r="B58" s="19"/>
      <c r="D58" s="77" t="s">
        <v>2841</v>
      </c>
      <c r="E58" s="77"/>
      <c r="F58" s="77"/>
      <c r="G58" s="77"/>
      <c r="H58" s="77"/>
      <c r="I58" s="77"/>
      <c r="J58" s="77"/>
      <c r="K58" s="77"/>
      <c r="L58" s="102"/>
      <c r="M58" s="830"/>
      <c r="N58" s="831"/>
      <c r="P58" s="143" t="str">
        <f>IF(M58&gt;M59,"Attention : surface en cultures mineures saisies &gt; SAU","")</f>
        <v/>
      </c>
      <c r="Y58" s="20"/>
    </row>
    <row r="59" spans="2:38" x14ac:dyDescent="0.25">
      <c r="B59" s="19"/>
      <c r="D59" s="78" t="s">
        <v>448</v>
      </c>
      <c r="E59" s="78"/>
      <c r="F59" s="78"/>
      <c r="G59" s="78"/>
      <c r="H59" s="78"/>
      <c r="I59" s="78"/>
      <c r="J59" s="78"/>
      <c r="K59" s="78"/>
      <c r="L59" s="103"/>
      <c r="M59" s="826">
        <f>Surfaces!O24</f>
        <v>0</v>
      </c>
      <c r="N59" s="835"/>
      <c r="Y59" s="20"/>
    </row>
    <row r="60" spans="2:38" x14ac:dyDescent="0.25">
      <c r="B60" s="19"/>
      <c r="D60" s="78" t="s">
        <v>449</v>
      </c>
      <c r="E60" s="78"/>
      <c r="F60" s="78"/>
      <c r="G60" s="78"/>
      <c r="H60" s="78"/>
      <c r="I60" s="78"/>
      <c r="J60" s="78"/>
      <c r="K60" s="78"/>
      <c r="L60" s="103"/>
      <c r="M60" s="822">
        <f>IFERROR(M58/M59,0)</f>
        <v>0</v>
      </c>
      <c r="N60" s="823"/>
      <c r="Y60" s="20"/>
    </row>
    <row r="61" spans="2:38" x14ac:dyDescent="0.25">
      <c r="B61" s="19"/>
      <c r="Y61" s="20"/>
    </row>
    <row r="62" spans="2:38" x14ac:dyDescent="0.25">
      <c r="B62" s="19"/>
      <c r="D62" s="77" t="s">
        <v>450</v>
      </c>
      <c r="E62" s="40"/>
      <c r="F62" s="40"/>
      <c r="G62" s="40"/>
      <c r="H62" s="40"/>
      <c r="I62" s="40"/>
      <c r="J62" s="40"/>
      <c r="K62" s="40"/>
      <c r="L62" s="45"/>
      <c r="M62" s="836" t="str">
        <f>IF(M57="Oui","Non",IF(M60&lt;=0.05,"Non","Oui"))</f>
        <v>Non</v>
      </c>
      <c r="N62" s="835"/>
      <c r="O62" s="143"/>
      <c r="Y62" s="20"/>
    </row>
    <row r="63" spans="2:38" x14ac:dyDescent="0.25">
      <c r="B63" s="19"/>
      <c r="D63" s="65"/>
      <c r="W63" s="680" t="s">
        <v>713</v>
      </c>
      <c r="X63" s="680"/>
      <c r="Y63" s="20"/>
    </row>
    <row r="64" spans="2:38" x14ac:dyDescent="0.25">
      <c r="B64" s="19"/>
      <c r="D64" s="151" t="s">
        <v>451</v>
      </c>
      <c r="E64" s="40"/>
      <c r="F64" s="40"/>
      <c r="G64" s="40"/>
      <c r="H64" s="40"/>
      <c r="I64" s="40"/>
      <c r="J64" s="40"/>
      <c r="K64" s="40"/>
      <c r="L64" s="40"/>
      <c r="M64" s="40"/>
      <c r="N64" s="40"/>
      <c r="O64" s="399"/>
      <c r="P64" s="833">
        <f>IF(ISBLANK(M58),0,MAX(IF(M62="Oui",P55*(100%-M60),P55),0))</f>
        <v>0</v>
      </c>
      <c r="Q64" s="834"/>
      <c r="W64" s="681">
        <f>MAX(IF(M62="Oui",8*(100%-M60),8),0)</f>
        <v>8</v>
      </c>
      <c r="X64" s="682"/>
      <c r="Y64" s="20"/>
    </row>
    <row r="65" spans="2:25" x14ac:dyDescent="0.25">
      <c r="B65" s="19"/>
      <c r="D65" s="70"/>
      <c r="M65" s="355"/>
      <c r="N65" s="355"/>
      <c r="O65" s="143"/>
      <c r="W65" s="356"/>
      <c r="X65" s="356"/>
      <c r="Y65" s="20"/>
    </row>
    <row r="66" spans="2:25" x14ac:dyDescent="0.25">
      <c r="B66" s="19"/>
      <c r="D66" s="70"/>
      <c r="M66" s="355"/>
      <c r="N66" s="355"/>
      <c r="O66" s="143"/>
      <c r="W66" s="356"/>
      <c r="X66" s="356"/>
      <c r="Y66" s="20"/>
    </row>
    <row r="67" spans="2:25" x14ac:dyDescent="0.25">
      <c r="B67" s="19"/>
      <c r="D67" s="70" t="s">
        <v>2506</v>
      </c>
      <c r="Y67" s="20"/>
    </row>
    <row r="68" spans="2:25" x14ac:dyDescent="0.25">
      <c r="B68" s="19"/>
      <c r="D68" s="667"/>
      <c r="E68" s="668"/>
      <c r="F68" s="668"/>
      <c r="G68" s="668"/>
      <c r="H68" s="668"/>
      <c r="I68" s="668"/>
      <c r="J68" s="668"/>
      <c r="K68" s="668"/>
      <c r="L68" s="668"/>
      <c r="M68" s="668"/>
      <c r="N68" s="668"/>
      <c r="O68" s="668"/>
      <c r="P68" s="668"/>
      <c r="Q68" s="668"/>
      <c r="R68" s="668"/>
      <c r="S68" s="668"/>
      <c r="T68" s="668"/>
      <c r="U68" s="668"/>
      <c r="V68" s="668"/>
      <c r="W68" s="668"/>
      <c r="X68" s="669"/>
      <c r="Y68" s="20"/>
    </row>
    <row r="69" spans="2:25" x14ac:dyDescent="0.25">
      <c r="B69" s="19"/>
      <c r="D69" s="670"/>
      <c r="E69" s="671"/>
      <c r="F69" s="671"/>
      <c r="G69" s="671"/>
      <c r="H69" s="671"/>
      <c r="I69" s="671"/>
      <c r="J69" s="671"/>
      <c r="K69" s="671"/>
      <c r="L69" s="671"/>
      <c r="M69" s="671"/>
      <c r="N69" s="671"/>
      <c r="O69" s="671"/>
      <c r="P69" s="671"/>
      <c r="Q69" s="671"/>
      <c r="R69" s="671"/>
      <c r="S69" s="671"/>
      <c r="T69" s="671"/>
      <c r="U69" s="671"/>
      <c r="V69" s="671"/>
      <c r="W69" s="671"/>
      <c r="X69" s="672"/>
      <c r="Y69" s="20"/>
    </row>
    <row r="70" spans="2:25" x14ac:dyDescent="0.25">
      <c r="B70" s="19"/>
      <c r="D70" s="670"/>
      <c r="E70" s="671"/>
      <c r="F70" s="671"/>
      <c r="G70" s="671"/>
      <c r="H70" s="671"/>
      <c r="I70" s="671"/>
      <c r="J70" s="671"/>
      <c r="K70" s="671"/>
      <c r="L70" s="671"/>
      <c r="M70" s="671"/>
      <c r="N70" s="671"/>
      <c r="O70" s="671"/>
      <c r="P70" s="671"/>
      <c r="Q70" s="671"/>
      <c r="R70" s="671"/>
      <c r="S70" s="671"/>
      <c r="T70" s="671"/>
      <c r="U70" s="671"/>
      <c r="V70" s="671"/>
      <c r="W70" s="671"/>
      <c r="X70" s="672"/>
      <c r="Y70" s="20"/>
    </row>
    <row r="71" spans="2:25" x14ac:dyDescent="0.25">
      <c r="B71" s="19"/>
      <c r="D71" s="670"/>
      <c r="E71" s="671"/>
      <c r="F71" s="671"/>
      <c r="G71" s="671"/>
      <c r="H71" s="671"/>
      <c r="I71" s="671"/>
      <c r="J71" s="671"/>
      <c r="K71" s="671"/>
      <c r="L71" s="671"/>
      <c r="M71" s="671"/>
      <c r="N71" s="671"/>
      <c r="O71" s="671"/>
      <c r="P71" s="671"/>
      <c r="Q71" s="671"/>
      <c r="R71" s="671"/>
      <c r="S71" s="671"/>
      <c r="T71" s="671"/>
      <c r="U71" s="671"/>
      <c r="V71" s="671"/>
      <c r="W71" s="671"/>
      <c r="X71" s="672"/>
      <c r="Y71" s="20"/>
    </row>
    <row r="72" spans="2:25" x14ac:dyDescent="0.25">
      <c r="B72" s="19"/>
      <c r="D72" s="670"/>
      <c r="E72" s="671"/>
      <c r="F72" s="671"/>
      <c r="G72" s="671"/>
      <c r="H72" s="671"/>
      <c r="I72" s="671"/>
      <c r="J72" s="671"/>
      <c r="K72" s="671"/>
      <c r="L72" s="671"/>
      <c r="M72" s="671"/>
      <c r="N72" s="671"/>
      <c r="O72" s="671"/>
      <c r="P72" s="671"/>
      <c r="Q72" s="671"/>
      <c r="R72" s="671"/>
      <c r="S72" s="671"/>
      <c r="T72" s="671"/>
      <c r="U72" s="671"/>
      <c r="V72" s="671"/>
      <c r="W72" s="671"/>
      <c r="X72" s="672"/>
      <c r="Y72" s="20"/>
    </row>
    <row r="73" spans="2:25" x14ac:dyDescent="0.25">
      <c r="B73" s="19"/>
      <c r="D73" s="670"/>
      <c r="E73" s="671"/>
      <c r="F73" s="671"/>
      <c r="G73" s="671"/>
      <c r="H73" s="671"/>
      <c r="I73" s="671"/>
      <c r="J73" s="671"/>
      <c r="K73" s="671"/>
      <c r="L73" s="671"/>
      <c r="M73" s="671"/>
      <c r="N73" s="671"/>
      <c r="O73" s="671"/>
      <c r="P73" s="671"/>
      <c r="Q73" s="671"/>
      <c r="R73" s="671"/>
      <c r="S73" s="671"/>
      <c r="T73" s="671"/>
      <c r="U73" s="671"/>
      <c r="V73" s="671"/>
      <c r="W73" s="671"/>
      <c r="X73" s="672"/>
      <c r="Y73" s="20"/>
    </row>
    <row r="74" spans="2:25" x14ac:dyDescent="0.25">
      <c r="B74" s="19"/>
      <c r="D74" s="670"/>
      <c r="E74" s="671"/>
      <c r="F74" s="671"/>
      <c r="G74" s="671"/>
      <c r="H74" s="671"/>
      <c r="I74" s="671"/>
      <c r="J74" s="671"/>
      <c r="K74" s="671"/>
      <c r="L74" s="671"/>
      <c r="M74" s="671"/>
      <c r="N74" s="671"/>
      <c r="O74" s="671"/>
      <c r="P74" s="671"/>
      <c r="Q74" s="671"/>
      <c r="R74" s="671"/>
      <c r="S74" s="671"/>
      <c r="T74" s="671"/>
      <c r="U74" s="671"/>
      <c r="V74" s="671"/>
      <c r="W74" s="671"/>
      <c r="X74" s="672"/>
      <c r="Y74" s="20"/>
    </row>
    <row r="75" spans="2:25" x14ac:dyDescent="0.25">
      <c r="B75" s="19"/>
      <c r="D75" s="670"/>
      <c r="E75" s="671"/>
      <c r="F75" s="671"/>
      <c r="G75" s="671"/>
      <c r="H75" s="671"/>
      <c r="I75" s="671"/>
      <c r="J75" s="671"/>
      <c r="K75" s="671"/>
      <c r="L75" s="671"/>
      <c r="M75" s="671"/>
      <c r="N75" s="671"/>
      <c r="O75" s="671"/>
      <c r="P75" s="671"/>
      <c r="Q75" s="671"/>
      <c r="R75" s="671"/>
      <c r="S75" s="671"/>
      <c r="T75" s="671"/>
      <c r="U75" s="671"/>
      <c r="V75" s="671"/>
      <c r="W75" s="671"/>
      <c r="X75" s="672"/>
      <c r="Y75" s="20"/>
    </row>
    <row r="76" spans="2:25" x14ac:dyDescent="0.25">
      <c r="B76" s="19"/>
      <c r="D76" s="670"/>
      <c r="E76" s="671"/>
      <c r="F76" s="671"/>
      <c r="G76" s="671"/>
      <c r="H76" s="671"/>
      <c r="I76" s="671"/>
      <c r="J76" s="671"/>
      <c r="K76" s="671"/>
      <c r="L76" s="671"/>
      <c r="M76" s="671"/>
      <c r="N76" s="671"/>
      <c r="O76" s="671"/>
      <c r="P76" s="671"/>
      <c r="Q76" s="671"/>
      <c r="R76" s="671"/>
      <c r="S76" s="671"/>
      <c r="T76" s="671"/>
      <c r="U76" s="671"/>
      <c r="V76" s="671"/>
      <c r="W76" s="671"/>
      <c r="X76" s="672"/>
      <c r="Y76" s="20"/>
    </row>
    <row r="77" spans="2:25" x14ac:dyDescent="0.25">
      <c r="B77" s="19"/>
      <c r="D77" s="673"/>
      <c r="E77" s="674"/>
      <c r="F77" s="674"/>
      <c r="G77" s="674"/>
      <c r="H77" s="674"/>
      <c r="I77" s="674"/>
      <c r="J77" s="674"/>
      <c r="K77" s="674"/>
      <c r="L77" s="674"/>
      <c r="M77" s="674"/>
      <c r="N77" s="674"/>
      <c r="O77" s="674"/>
      <c r="P77" s="674"/>
      <c r="Q77" s="674"/>
      <c r="R77" s="674"/>
      <c r="S77" s="674"/>
      <c r="T77" s="674"/>
      <c r="U77" s="674"/>
      <c r="V77" s="674"/>
      <c r="W77" s="674"/>
      <c r="X77" s="675"/>
      <c r="Y77" s="20"/>
    </row>
    <row r="78" spans="2:25" x14ac:dyDescent="0.25">
      <c r="B78" s="19"/>
      <c r="D78" s="70"/>
      <c r="M78" s="355"/>
      <c r="N78" s="355"/>
      <c r="O78" s="143"/>
      <c r="W78" s="356"/>
      <c r="X78" s="356"/>
      <c r="Y78" s="20"/>
    </row>
    <row r="79" spans="2:25" ht="15.75" thickBot="1" x14ac:dyDescent="0.3">
      <c r="B79" s="22"/>
      <c r="C79" s="23"/>
      <c r="D79" s="23"/>
      <c r="E79" s="23"/>
      <c r="F79" s="23"/>
      <c r="G79" s="23"/>
      <c r="H79" s="23"/>
      <c r="I79" s="23"/>
      <c r="J79" s="23"/>
      <c r="K79" s="23"/>
      <c r="L79" s="23"/>
      <c r="M79" s="23"/>
      <c r="N79" s="23"/>
      <c r="O79" s="23"/>
      <c r="P79" s="23"/>
      <c r="Q79" s="23"/>
      <c r="R79" s="23"/>
      <c r="S79" s="23"/>
      <c r="T79" s="23"/>
      <c r="U79" s="23"/>
      <c r="V79" s="23"/>
      <c r="W79" s="23"/>
      <c r="X79" s="23"/>
      <c r="Y79" s="24"/>
    </row>
    <row r="82" spans="2:33" ht="15.75" thickBot="1" x14ac:dyDescent="0.3"/>
    <row r="83" spans="2:33" x14ac:dyDescent="0.25">
      <c r="B83" s="16"/>
      <c r="C83" s="17"/>
      <c r="D83" s="17"/>
      <c r="E83" s="17"/>
      <c r="F83" s="17"/>
      <c r="G83" s="17"/>
      <c r="H83" s="17"/>
      <c r="I83" s="17"/>
      <c r="J83" s="17"/>
      <c r="K83" s="17"/>
      <c r="L83" s="17"/>
      <c r="M83" s="17"/>
      <c r="N83" s="17"/>
      <c r="O83" s="17"/>
      <c r="P83" s="17"/>
      <c r="Q83" s="17"/>
      <c r="R83" s="17"/>
      <c r="S83" s="17"/>
      <c r="T83" s="17"/>
      <c r="U83" s="17"/>
      <c r="V83" s="17"/>
      <c r="W83" s="17"/>
      <c r="X83" s="17"/>
      <c r="Y83" s="18"/>
    </row>
    <row r="84" spans="2:33" x14ac:dyDescent="0.25">
      <c r="B84" s="19"/>
      <c r="Y84" s="20"/>
    </row>
    <row r="85" spans="2:33" x14ac:dyDescent="0.25">
      <c r="B85" s="19"/>
      <c r="C85" s="143" t="s">
        <v>2585</v>
      </c>
      <c r="Y85" s="20"/>
    </row>
    <row r="86" spans="2:33" x14ac:dyDescent="0.25">
      <c r="B86" s="19"/>
      <c r="Q86" s="963" t="s">
        <v>727</v>
      </c>
      <c r="R86" s="963"/>
      <c r="S86" s="853" t="s">
        <v>294</v>
      </c>
      <c r="T86" s="853"/>
      <c r="U86" s="853" t="s">
        <v>293</v>
      </c>
      <c r="V86" s="853"/>
      <c r="W86" s="651"/>
      <c r="X86" s="651"/>
      <c r="Y86" s="20"/>
    </row>
    <row r="87" spans="2:33" x14ac:dyDescent="0.25">
      <c r="B87" s="19"/>
      <c r="C87" s="47" t="str">
        <f>"Azote apporté pendant 1 campagne sur les surfaces en horticulture et pépinière (" &amp; TEXT(cCampagneN,"0000-00") &amp; ")"</f>
        <v>Azote apporté pendant 1 campagne sur les surfaces en horticulture et pépinière (N)</v>
      </c>
      <c r="D87" s="47"/>
      <c r="E87" s="47"/>
      <c r="F87" s="47"/>
      <c r="G87" s="47"/>
      <c r="H87" s="47"/>
      <c r="I87" s="47"/>
      <c r="J87" s="47"/>
      <c r="K87" s="47"/>
      <c r="L87" s="47"/>
      <c r="M87" s="47"/>
      <c r="N87" s="47"/>
      <c r="O87" s="47"/>
      <c r="P87" s="43"/>
      <c r="Q87" s="961"/>
      <c r="R87" s="961"/>
      <c r="S87" s="955">
        <f>SUM(Paramètres!AA5:AA25)/1000</f>
        <v>0</v>
      </c>
      <c r="T87" s="955"/>
      <c r="U87" s="955">
        <f>SUM(Paramètres!Z5:Z25)/1000</f>
        <v>0</v>
      </c>
      <c r="V87" s="870"/>
      <c r="W87" s="952"/>
      <c r="X87" s="843"/>
      <c r="Y87" s="20"/>
    </row>
    <row r="88" spans="2:33" x14ac:dyDescent="0.25">
      <c r="B88" s="19"/>
      <c r="C88" s="48" t="str">
        <f>"Azote apporté pendant 1 campagne sur les surfaces en horticulture et pépinière (" &amp; cCampagneN1 &amp; ")"</f>
        <v>Azote apporté pendant 1 campagne sur les surfaces en horticulture et pépinière (N-1)</v>
      </c>
      <c r="D88" s="48"/>
      <c r="E88" s="48"/>
      <c r="F88" s="48"/>
      <c r="G88" s="48"/>
      <c r="H88" s="48"/>
      <c r="I88" s="48"/>
      <c r="J88" s="48"/>
      <c r="K88" s="48"/>
      <c r="L88" s="48"/>
      <c r="M88" s="48"/>
      <c r="N88" s="48"/>
      <c r="O88" s="48"/>
      <c r="P88" s="44"/>
      <c r="Q88" s="961"/>
      <c r="R88" s="961"/>
      <c r="S88" s="955">
        <f>SUM(Paramètres!AE5:AE25)/1000</f>
        <v>0</v>
      </c>
      <c r="T88" s="955"/>
      <c r="U88" s="955">
        <f>SUM(Paramètres!AD5:AD25)/1000</f>
        <v>0</v>
      </c>
      <c r="V88" s="870"/>
      <c r="W88" s="952"/>
      <c r="X88" s="843"/>
      <c r="Y88" s="20"/>
    </row>
    <row r="89" spans="2:33" x14ac:dyDescent="0.25">
      <c r="B89" s="19"/>
      <c r="C89" s="48" t="str">
        <f>"Azote apporté pendant 1 campagne sur les surfaces en horticulture et pépinière (" &amp; CCampagneN2 &amp; ")"</f>
        <v>Azote apporté pendant 1 campagne sur les surfaces en horticulture et pépinière (N-2)</v>
      </c>
      <c r="D89" s="48"/>
      <c r="E89" s="48"/>
      <c r="F89" s="48"/>
      <c r="G89" s="48"/>
      <c r="H89" s="48"/>
      <c r="I89" s="48"/>
      <c r="J89" s="48"/>
      <c r="K89" s="48"/>
      <c r="L89" s="48"/>
      <c r="M89" s="48"/>
      <c r="N89" s="48"/>
      <c r="O89" s="48"/>
      <c r="P89" s="44"/>
      <c r="Q89" s="961"/>
      <c r="R89" s="961"/>
      <c r="S89" s="955">
        <f>SUM(Paramètres!AI5:AI25)/1000</f>
        <v>0</v>
      </c>
      <c r="T89" s="955"/>
      <c r="U89" s="955">
        <f>SUM(Paramètres!AH5:AH25)/1000</f>
        <v>0</v>
      </c>
      <c r="V89" s="870"/>
      <c r="W89" s="952"/>
      <c r="X89" s="843"/>
      <c r="Y89" s="20"/>
    </row>
    <row r="90" spans="2:33" x14ac:dyDescent="0.25">
      <c r="B90" s="19"/>
      <c r="C90" s="42"/>
      <c r="K90" s="36"/>
      <c r="L90" s="36"/>
      <c r="M90" s="36"/>
      <c r="N90" s="36"/>
      <c r="O90" s="36"/>
      <c r="P90" s="36"/>
      <c r="Q90" s="393" t="str">
        <f>IF(Q93&lt;&gt;"","Bien saisir les quantités sur " &amp; Q93&amp; " campagne(s), tout comme les surfaces et durées dans l'onglet Surfaces.","")</f>
        <v/>
      </c>
      <c r="Y90" s="20"/>
    </row>
    <row r="91" spans="2:33" x14ac:dyDescent="0.25">
      <c r="B91" s="19"/>
      <c r="O91" s="153"/>
      <c r="P91" s="153"/>
      <c r="Q91" s="153"/>
      <c r="R91" s="153"/>
      <c r="Y91" s="20"/>
    </row>
    <row r="92" spans="2:33" x14ac:dyDescent="0.25">
      <c r="B92" s="19"/>
      <c r="O92" s="153"/>
      <c r="P92" s="153"/>
      <c r="Q92" s="153"/>
      <c r="R92" s="153"/>
      <c r="S92" s="651" t="s">
        <v>239</v>
      </c>
      <c r="T92" s="651"/>
      <c r="Y92" s="20"/>
    </row>
    <row r="93" spans="2:33" x14ac:dyDescent="0.25">
      <c r="B93" s="19"/>
      <c r="C93" s="77" t="s">
        <v>2589</v>
      </c>
      <c r="D93" s="77"/>
      <c r="E93" s="77"/>
      <c r="F93" s="77"/>
      <c r="G93" s="77"/>
      <c r="H93" s="77"/>
      <c r="I93" s="77"/>
      <c r="J93" s="77"/>
      <c r="K93" s="77"/>
      <c r="L93" s="77"/>
      <c r="M93" s="77"/>
      <c r="N93" s="77"/>
      <c r="O93" s="77"/>
      <c r="P93" s="77"/>
      <c r="Q93" s="873" t="str">
        <f>IF(cTypeAudit="","",IF(cTypeAudit="Initial",1,IF(cTypeAudit="Suivi",2,3)))</f>
        <v/>
      </c>
      <c r="R93" s="873"/>
      <c r="T93" s="143" t="str">
        <f>IF(Q93="","Saisir le type de l'audit dans l'onglet Identification","")</f>
        <v>Saisir le type de l'audit dans l'onglet Identification</v>
      </c>
      <c r="Y93" s="20"/>
    </row>
    <row r="94" spans="2:33" x14ac:dyDescent="0.25">
      <c r="B94" s="19"/>
      <c r="C94" s="77" t="str">
        <f>"Quantité totale apportée sur " &amp; Q93 &amp; " campagne(s)"</f>
        <v>Quantité totale apportée sur  campagne(s)</v>
      </c>
      <c r="D94" s="77"/>
      <c r="E94" s="77"/>
      <c r="F94" s="77"/>
      <c r="G94" s="77"/>
      <c r="H94" s="77"/>
      <c r="I94" s="77"/>
      <c r="J94" s="77"/>
      <c r="K94" s="77"/>
      <c r="L94" s="77"/>
      <c r="M94" s="40"/>
      <c r="N94" s="40"/>
      <c r="O94" s="166"/>
      <c r="P94" s="40"/>
      <c r="Q94" s="852">
        <f>IF(SUM(Q87:R89) = 0,0,IF(Q93=1,Q87,IF(Q93=2,SUM(Q87:R88),SUM(Q87:R89))))</f>
        <v>0</v>
      </c>
      <c r="R94" s="852"/>
      <c r="Y94" s="20"/>
    </row>
    <row r="95" spans="2:33" x14ac:dyDescent="0.25">
      <c r="B95" s="19"/>
      <c r="C95" s="77" t="s">
        <v>723</v>
      </c>
      <c r="D95" s="77"/>
      <c r="E95" s="77"/>
      <c r="F95" s="77"/>
      <c r="G95" s="77"/>
      <c r="H95" s="77"/>
      <c r="I95" s="77"/>
      <c r="J95" s="77"/>
      <c r="K95" s="77"/>
      <c r="L95" s="77"/>
      <c r="M95" s="40"/>
      <c r="N95" s="40"/>
      <c r="O95" s="166"/>
      <c r="P95" s="40"/>
      <c r="Q95" s="826">
        <f>IF(Q93="",0,IF(Q93=1,S87,IF(Q93=2,SUM(S87:T88),SUM(S87:T89))))</f>
        <v>0</v>
      </c>
      <c r="R95" s="827"/>
      <c r="Y95" s="20"/>
      <c r="AC95" t="s">
        <v>248</v>
      </c>
    </row>
    <row r="96" spans="2:33" x14ac:dyDescent="0.25">
      <c r="B96" s="19"/>
      <c r="C96" s="77" t="s">
        <v>724</v>
      </c>
      <c r="D96" s="77"/>
      <c r="E96" s="77"/>
      <c r="F96" s="77"/>
      <c r="G96" s="77"/>
      <c r="H96" s="77"/>
      <c r="I96" s="77"/>
      <c r="J96" s="77"/>
      <c r="K96" s="77"/>
      <c r="L96" s="77"/>
      <c r="M96" s="40"/>
      <c r="N96" s="40"/>
      <c r="O96" s="166"/>
      <c r="P96" s="40"/>
      <c r="Q96" s="826">
        <f>IF(Q93=1,U87,IF(Q93=2,SUM(U87:V88),SUM(U87:V89)))</f>
        <v>0</v>
      </c>
      <c r="R96" s="827"/>
      <c r="Y96" s="20"/>
      <c r="AC96" s="307" t="s">
        <v>737</v>
      </c>
      <c r="AD96" s="303" t="s">
        <v>738</v>
      </c>
      <c r="AE96" s="303" t="s">
        <v>739</v>
      </c>
      <c r="AF96" s="303" t="s">
        <v>740</v>
      </c>
      <c r="AG96" s="303" t="s">
        <v>741</v>
      </c>
    </row>
    <row r="97" spans="2:33" x14ac:dyDescent="0.25">
      <c r="B97" s="19"/>
      <c r="C97" s="77" t="s">
        <v>721</v>
      </c>
      <c r="D97" s="77"/>
      <c r="E97" s="77"/>
      <c r="F97" s="77"/>
      <c r="G97" s="77"/>
      <c r="H97" s="77"/>
      <c r="I97" s="77"/>
      <c r="J97" s="77"/>
      <c r="K97" s="77"/>
      <c r="L97" s="77"/>
      <c r="M97" s="40"/>
      <c r="N97" s="40"/>
      <c r="O97" s="40"/>
      <c r="P97" s="40"/>
      <c r="Q97" s="40"/>
      <c r="R97" s="45"/>
      <c r="S97" s="837">
        <f>IF(COUNT(Q87:R89)&gt;=1,IF(Q93="",0,AG97),0)</f>
        <v>0</v>
      </c>
      <c r="T97" s="838"/>
      <c r="Y97" s="20"/>
      <c r="AC97" s="303">
        <f>(Q95-Q96)/4</f>
        <v>0</v>
      </c>
      <c r="AD97" s="303">
        <f>AC97*2</f>
        <v>0</v>
      </c>
      <c r="AE97" s="303">
        <f>AC97*3</f>
        <v>0</v>
      </c>
      <c r="AF97" s="303">
        <f>AC97*4</f>
        <v>0</v>
      </c>
      <c r="AG97" s="308">
        <f>IF(Q94&lt;Q96,5,IF(AND(Q94&gt;=Q96,Q94&lt;(Q96+AC97)),4,IF(AND(Q94&gt;=(Q96+AC97),Q94&lt;(Q96+AD97)),3,IF(AND(Q94&gt;=(Q96+AD97),Q94&lt;(Q96+AE97)),2,IF(AND(Q94&gt;=(Q96+AE97),Q94&lt;Q95),1,0)))))</f>
        <v>0</v>
      </c>
    </row>
    <row r="98" spans="2:33" x14ac:dyDescent="0.25">
      <c r="B98" s="19"/>
      <c r="C98" s="77" t="str">
        <f>"Surfaces en horticulture et pépinière"</f>
        <v>Surfaces en horticulture et pépinière</v>
      </c>
      <c r="D98" s="77"/>
      <c r="E98" s="77"/>
      <c r="F98" s="77"/>
      <c r="G98" s="77"/>
      <c r="H98" s="77"/>
      <c r="I98" s="77"/>
      <c r="J98" s="77"/>
      <c r="K98" s="77"/>
      <c r="L98" s="77"/>
      <c r="M98" s="40"/>
      <c r="N98" s="40"/>
      <c r="O98" s="40"/>
      <c r="P98" s="40"/>
      <c r="Q98" s="870">
        <f>Surfaces!O197</f>
        <v>0</v>
      </c>
      <c r="R98" s="871"/>
      <c r="W98" s="305"/>
      <c r="X98" s="305"/>
      <c r="Y98" s="20"/>
    </row>
    <row r="99" spans="2:33" x14ac:dyDescent="0.25">
      <c r="B99" s="19"/>
      <c r="C99" s="77" t="str">
        <f>"Total SAU"</f>
        <v>Total SAU</v>
      </c>
      <c r="D99" s="77"/>
      <c r="E99" s="77"/>
      <c r="F99" s="77"/>
      <c r="G99" s="77"/>
      <c r="H99" s="77"/>
      <c r="I99" s="77"/>
      <c r="J99" s="77"/>
      <c r="K99" s="77"/>
      <c r="L99" s="77"/>
      <c r="M99" s="40"/>
      <c r="N99" s="40"/>
      <c r="O99" s="40"/>
      <c r="P99" s="40"/>
      <c r="Q99" s="870">
        <f>cSAU</f>
        <v>0</v>
      </c>
      <c r="R99" s="871"/>
      <c r="W99" s="680" t="s">
        <v>713</v>
      </c>
      <c r="X99" s="680"/>
      <c r="Y99" s="20"/>
    </row>
    <row r="100" spans="2:33" x14ac:dyDescent="0.25">
      <c r="B100" s="19"/>
      <c r="C100" s="77" t="s">
        <v>722</v>
      </c>
      <c r="D100" s="77"/>
      <c r="E100" s="77"/>
      <c r="F100" s="77"/>
      <c r="G100" s="77"/>
      <c r="H100" s="77"/>
      <c r="I100" s="77"/>
      <c r="J100" s="77"/>
      <c r="K100" s="77"/>
      <c r="L100" s="77"/>
      <c r="M100" s="40"/>
      <c r="N100" s="40"/>
      <c r="O100" s="40"/>
      <c r="P100" s="40"/>
      <c r="Q100" s="40"/>
      <c r="R100" s="45"/>
      <c r="S100" s="868">
        <f>IF(cSAU=0,0,IFERROR(S97*(Q98/Q99),0))</f>
        <v>0</v>
      </c>
      <c r="T100" s="869"/>
      <c r="W100" s="681">
        <f>IF(cSAU=0,5,5*(Q98/Q99))</f>
        <v>5</v>
      </c>
      <c r="X100" s="682"/>
      <c r="Y100" s="20"/>
    </row>
    <row r="101" spans="2:33" x14ac:dyDescent="0.25">
      <c r="B101" s="19"/>
      <c r="C101" s="42"/>
      <c r="K101" s="36"/>
      <c r="L101" s="36"/>
      <c r="M101" s="36"/>
      <c r="N101" s="36"/>
      <c r="O101" s="36"/>
      <c r="P101" s="36"/>
      <c r="Y101" s="20"/>
    </row>
    <row r="102" spans="2:33" x14ac:dyDescent="0.25">
      <c r="B102" s="19"/>
      <c r="C102" s="42"/>
      <c r="K102" s="36"/>
      <c r="L102" s="36"/>
      <c r="M102" s="36"/>
      <c r="N102" s="36"/>
      <c r="O102" s="36"/>
      <c r="P102" s="36"/>
      <c r="Y102" s="20"/>
    </row>
    <row r="103" spans="2:33" x14ac:dyDescent="0.25">
      <c r="B103" s="19"/>
      <c r="C103" s="70" t="s">
        <v>2506</v>
      </c>
      <c r="Y103" s="20"/>
    </row>
    <row r="104" spans="2:33" x14ac:dyDescent="0.25">
      <c r="B104" s="19"/>
      <c r="C104" s="667"/>
      <c r="D104" s="668"/>
      <c r="E104" s="668"/>
      <c r="F104" s="668"/>
      <c r="G104" s="668"/>
      <c r="H104" s="668"/>
      <c r="I104" s="668"/>
      <c r="J104" s="668"/>
      <c r="K104" s="668"/>
      <c r="L104" s="668"/>
      <c r="M104" s="668"/>
      <c r="N104" s="668"/>
      <c r="O104" s="668"/>
      <c r="P104" s="668"/>
      <c r="Q104" s="668"/>
      <c r="R104" s="668"/>
      <c r="S104" s="668"/>
      <c r="T104" s="668"/>
      <c r="U104" s="668"/>
      <c r="V104" s="668"/>
      <c r="W104" s="669"/>
      <c r="Y104" s="20"/>
    </row>
    <row r="105" spans="2:33" x14ac:dyDescent="0.25">
      <c r="B105" s="19"/>
      <c r="C105" s="670"/>
      <c r="D105" s="671"/>
      <c r="E105" s="671"/>
      <c r="F105" s="671"/>
      <c r="G105" s="671"/>
      <c r="H105" s="671"/>
      <c r="I105" s="671"/>
      <c r="J105" s="671"/>
      <c r="K105" s="671"/>
      <c r="L105" s="671"/>
      <c r="M105" s="671"/>
      <c r="N105" s="671"/>
      <c r="O105" s="671"/>
      <c r="P105" s="671"/>
      <c r="Q105" s="671"/>
      <c r="R105" s="671"/>
      <c r="S105" s="671"/>
      <c r="T105" s="671"/>
      <c r="U105" s="671"/>
      <c r="V105" s="671"/>
      <c r="W105" s="672"/>
      <c r="Y105" s="20"/>
    </row>
    <row r="106" spans="2:33" x14ac:dyDescent="0.25">
      <c r="B106" s="19"/>
      <c r="C106" s="670"/>
      <c r="D106" s="671"/>
      <c r="E106" s="671"/>
      <c r="F106" s="671"/>
      <c r="G106" s="671"/>
      <c r="H106" s="671"/>
      <c r="I106" s="671"/>
      <c r="J106" s="671"/>
      <c r="K106" s="671"/>
      <c r="L106" s="671"/>
      <c r="M106" s="671"/>
      <c r="N106" s="671"/>
      <c r="O106" s="671"/>
      <c r="P106" s="671"/>
      <c r="Q106" s="671"/>
      <c r="R106" s="671"/>
      <c r="S106" s="671"/>
      <c r="T106" s="671"/>
      <c r="U106" s="671"/>
      <c r="V106" s="671"/>
      <c r="W106" s="672"/>
      <c r="Y106" s="20"/>
    </row>
    <row r="107" spans="2:33" x14ac:dyDescent="0.25">
      <c r="B107" s="19"/>
      <c r="C107" s="670"/>
      <c r="D107" s="671"/>
      <c r="E107" s="671"/>
      <c r="F107" s="671"/>
      <c r="G107" s="671"/>
      <c r="H107" s="671"/>
      <c r="I107" s="671"/>
      <c r="J107" s="671"/>
      <c r="K107" s="671"/>
      <c r="L107" s="671"/>
      <c r="M107" s="671"/>
      <c r="N107" s="671"/>
      <c r="O107" s="671"/>
      <c r="P107" s="671"/>
      <c r="Q107" s="671"/>
      <c r="R107" s="671"/>
      <c r="S107" s="671"/>
      <c r="T107" s="671"/>
      <c r="U107" s="671"/>
      <c r="V107" s="671"/>
      <c r="W107" s="672"/>
      <c r="Y107" s="20"/>
    </row>
    <row r="108" spans="2:33" x14ac:dyDescent="0.25">
      <c r="B108" s="19"/>
      <c r="C108" s="673"/>
      <c r="D108" s="674"/>
      <c r="E108" s="674"/>
      <c r="F108" s="674"/>
      <c r="G108" s="674"/>
      <c r="H108" s="674"/>
      <c r="I108" s="674"/>
      <c r="J108" s="674"/>
      <c r="K108" s="674"/>
      <c r="L108" s="674"/>
      <c r="M108" s="674"/>
      <c r="N108" s="674"/>
      <c r="O108" s="674"/>
      <c r="P108" s="674"/>
      <c r="Q108" s="674"/>
      <c r="R108" s="674"/>
      <c r="S108" s="674"/>
      <c r="T108" s="674"/>
      <c r="U108" s="674"/>
      <c r="V108" s="674"/>
      <c r="W108" s="675"/>
      <c r="Y108" s="20"/>
    </row>
    <row r="109" spans="2:33" x14ac:dyDescent="0.25">
      <c r="B109" s="19"/>
      <c r="C109" s="42"/>
      <c r="K109" s="36"/>
      <c r="L109" s="36"/>
      <c r="M109" s="36"/>
      <c r="N109" s="36"/>
      <c r="O109" s="36"/>
      <c r="P109" s="36"/>
      <c r="Y109" s="20"/>
    </row>
    <row r="110" spans="2:33" ht="15.75" thickBot="1" x14ac:dyDescent="0.3">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4"/>
    </row>
    <row r="113" spans="2:25" ht="15.75" thickBot="1" x14ac:dyDescent="0.3"/>
    <row r="114" spans="2:25" x14ac:dyDescent="0.25">
      <c r="B114" s="16"/>
      <c r="C114" s="17"/>
      <c r="D114" s="17"/>
      <c r="E114" s="17"/>
      <c r="F114" s="17"/>
      <c r="G114" s="17"/>
      <c r="H114" s="17"/>
      <c r="I114" s="17"/>
      <c r="J114" s="17"/>
      <c r="K114" s="17"/>
      <c r="L114" s="17"/>
      <c r="M114" s="17"/>
      <c r="N114" s="17"/>
      <c r="O114" s="17"/>
      <c r="P114" s="17"/>
      <c r="Q114" s="17"/>
      <c r="R114" s="17"/>
      <c r="S114" s="17"/>
      <c r="T114" s="17"/>
      <c r="U114" s="17"/>
      <c r="V114" s="17"/>
      <c r="W114" s="17"/>
      <c r="X114" s="17"/>
      <c r="Y114" s="18"/>
    </row>
    <row r="115" spans="2:25" x14ac:dyDescent="0.25">
      <c r="B115" s="19"/>
      <c r="Y115" s="20"/>
    </row>
    <row r="116" spans="2:25" x14ac:dyDescent="0.25">
      <c r="B116" s="19"/>
      <c r="C116" s="47" t="s">
        <v>2377</v>
      </c>
      <c r="D116" s="47"/>
      <c r="E116" s="47"/>
      <c r="F116" s="47"/>
      <c r="G116" s="47"/>
      <c r="H116" s="47"/>
      <c r="I116" s="47"/>
      <c r="J116" s="47"/>
      <c r="K116" s="47"/>
      <c r="L116" s="47"/>
      <c r="M116" s="43"/>
      <c r="N116" s="961"/>
      <c r="O116" s="961"/>
      <c r="Y116" s="20"/>
    </row>
    <row r="117" spans="2:25" x14ac:dyDescent="0.25">
      <c r="B117" s="19"/>
      <c r="C117" s="48" t="s">
        <v>2378</v>
      </c>
      <c r="D117" s="48"/>
      <c r="E117" s="48"/>
      <c r="F117" s="48"/>
      <c r="G117" s="48"/>
      <c r="H117" s="48"/>
      <c r="I117" s="48"/>
      <c r="J117" s="48"/>
      <c r="K117" s="48"/>
      <c r="L117" s="48"/>
      <c r="M117" s="44"/>
      <c r="N117" s="961"/>
      <c r="O117" s="961"/>
      <c r="Y117" s="20"/>
    </row>
    <row r="118" spans="2:25" x14ac:dyDescent="0.25">
      <c r="B118" s="19"/>
      <c r="Y118" s="20"/>
    </row>
    <row r="119" spans="2:25" x14ac:dyDescent="0.25">
      <c r="B119" s="19"/>
      <c r="C119" s="42"/>
      <c r="P119" s="651" t="s">
        <v>239</v>
      </c>
      <c r="Q119" s="651"/>
      <c r="Y119" s="20"/>
    </row>
    <row r="120" spans="2:25" x14ac:dyDescent="0.25">
      <c r="B120" s="19"/>
      <c r="Y120" s="20"/>
    </row>
    <row r="121" spans="2:25" x14ac:dyDescent="0.25">
      <c r="B121" s="19"/>
      <c r="C121" s="77" t="s">
        <v>728</v>
      </c>
      <c r="D121" s="40"/>
      <c r="E121" s="77"/>
      <c r="F121" s="77"/>
      <c r="G121" s="77"/>
      <c r="H121" s="40"/>
      <c r="I121" s="40"/>
      <c r="J121" s="40"/>
      <c r="K121" s="40"/>
      <c r="L121" s="40"/>
      <c r="M121" s="45"/>
      <c r="N121" s="950">
        <f>SUM(N116:O117)</f>
        <v>0</v>
      </c>
      <c r="O121" s="950"/>
      <c r="W121" s="680" t="s">
        <v>713</v>
      </c>
      <c r="X121" s="680"/>
      <c r="Y121" s="20"/>
    </row>
    <row r="122" spans="2:25" x14ac:dyDescent="0.25">
      <c r="B122" s="19"/>
      <c r="C122" s="78" t="s">
        <v>729</v>
      </c>
      <c r="D122" s="79"/>
      <c r="E122" s="78"/>
      <c r="F122" s="78"/>
      <c r="G122" s="78"/>
      <c r="H122" s="79"/>
      <c r="I122" s="79"/>
      <c r="J122" s="79"/>
      <c r="K122" s="79"/>
      <c r="L122" s="79"/>
      <c r="M122" s="80"/>
      <c r="N122" s="940">
        <f>IFERROR(N117/N121,0)</f>
        <v>0</v>
      </c>
      <c r="O122" s="940"/>
      <c r="P122" s="828">
        <f>IF(N122&gt;=0.55,4,IF(AND(N122&lt;0.55,N122&gt;=0.45),3,IF(AND(N122&lt;0.45,N122&gt;=0.35),2,IF(AND(N122&lt;0.35,N122&gt;=0.25),1,0))))</f>
        <v>0</v>
      </c>
      <c r="Q122" s="829"/>
      <c r="W122" s="681">
        <v>4</v>
      </c>
      <c r="X122" s="682"/>
      <c r="Y122" s="20"/>
    </row>
    <row r="123" spans="2:25" x14ac:dyDescent="0.25">
      <c r="B123" s="19"/>
      <c r="Y123" s="20"/>
    </row>
    <row r="124" spans="2:25" x14ac:dyDescent="0.25">
      <c r="B124" s="19"/>
      <c r="Y124" s="20"/>
    </row>
    <row r="125" spans="2:25" x14ac:dyDescent="0.25">
      <c r="B125" s="19"/>
      <c r="C125" s="70" t="s">
        <v>2506</v>
      </c>
      <c r="Y125" s="20"/>
    </row>
    <row r="126" spans="2:25" x14ac:dyDescent="0.25">
      <c r="B126" s="19"/>
      <c r="C126" s="667"/>
      <c r="D126" s="668"/>
      <c r="E126" s="668"/>
      <c r="F126" s="668"/>
      <c r="G126" s="668"/>
      <c r="H126" s="668"/>
      <c r="I126" s="668"/>
      <c r="J126" s="668"/>
      <c r="K126" s="668"/>
      <c r="L126" s="668"/>
      <c r="M126" s="668"/>
      <c r="N126" s="668"/>
      <c r="O126" s="668"/>
      <c r="P126" s="668"/>
      <c r="Q126" s="668"/>
      <c r="R126" s="668"/>
      <c r="S126" s="668"/>
      <c r="T126" s="668"/>
      <c r="U126" s="668"/>
      <c r="V126" s="668"/>
      <c r="W126" s="669"/>
      <c r="Y126" s="20"/>
    </row>
    <row r="127" spans="2:25" x14ac:dyDescent="0.25">
      <c r="B127" s="19"/>
      <c r="C127" s="670"/>
      <c r="D127" s="671"/>
      <c r="E127" s="671"/>
      <c r="F127" s="671"/>
      <c r="G127" s="671"/>
      <c r="H127" s="671"/>
      <c r="I127" s="671"/>
      <c r="J127" s="671"/>
      <c r="K127" s="671"/>
      <c r="L127" s="671"/>
      <c r="M127" s="671"/>
      <c r="N127" s="671"/>
      <c r="O127" s="671"/>
      <c r="P127" s="671"/>
      <c r="Q127" s="671"/>
      <c r="R127" s="671"/>
      <c r="S127" s="671"/>
      <c r="T127" s="671"/>
      <c r="U127" s="671"/>
      <c r="V127" s="671"/>
      <c r="W127" s="672"/>
      <c r="Y127" s="20"/>
    </row>
    <row r="128" spans="2:25" x14ac:dyDescent="0.25">
      <c r="B128" s="19"/>
      <c r="C128" s="670"/>
      <c r="D128" s="671"/>
      <c r="E128" s="671"/>
      <c r="F128" s="671"/>
      <c r="G128" s="671"/>
      <c r="H128" s="671"/>
      <c r="I128" s="671"/>
      <c r="J128" s="671"/>
      <c r="K128" s="671"/>
      <c r="L128" s="671"/>
      <c r="M128" s="671"/>
      <c r="N128" s="671"/>
      <c r="O128" s="671"/>
      <c r="P128" s="671"/>
      <c r="Q128" s="671"/>
      <c r="R128" s="671"/>
      <c r="S128" s="671"/>
      <c r="T128" s="671"/>
      <c r="U128" s="671"/>
      <c r="V128" s="671"/>
      <c r="W128" s="672"/>
      <c r="Y128" s="20"/>
    </row>
    <row r="129" spans="2:25" x14ac:dyDescent="0.25">
      <c r="B129" s="19"/>
      <c r="C129" s="670"/>
      <c r="D129" s="671"/>
      <c r="E129" s="671"/>
      <c r="F129" s="671"/>
      <c r="G129" s="671"/>
      <c r="H129" s="671"/>
      <c r="I129" s="671"/>
      <c r="J129" s="671"/>
      <c r="K129" s="671"/>
      <c r="L129" s="671"/>
      <c r="M129" s="671"/>
      <c r="N129" s="671"/>
      <c r="O129" s="671"/>
      <c r="P129" s="671"/>
      <c r="Q129" s="671"/>
      <c r="R129" s="671"/>
      <c r="S129" s="671"/>
      <c r="T129" s="671"/>
      <c r="U129" s="671"/>
      <c r="V129" s="671"/>
      <c r="W129" s="672"/>
      <c r="Y129" s="20"/>
    </row>
    <row r="130" spans="2:25" x14ac:dyDescent="0.25">
      <c r="B130" s="19"/>
      <c r="C130" s="673"/>
      <c r="D130" s="674"/>
      <c r="E130" s="674"/>
      <c r="F130" s="674"/>
      <c r="G130" s="674"/>
      <c r="H130" s="674"/>
      <c r="I130" s="674"/>
      <c r="J130" s="674"/>
      <c r="K130" s="674"/>
      <c r="L130" s="674"/>
      <c r="M130" s="674"/>
      <c r="N130" s="674"/>
      <c r="O130" s="674"/>
      <c r="P130" s="674"/>
      <c r="Q130" s="674"/>
      <c r="R130" s="674"/>
      <c r="S130" s="674"/>
      <c r="T130" s="674"/>
      <c r="U130" s="674"/>
      <c r="V130" s="674"/>
      <c r="W130" s="675"/>
      <c r="Y130" s="20"/>
    </row>
    <row r="131" spans="2:25" x14ac:dyDescent="0.25">
      <c r="B131" s="19"/>
      <c r="Y131" s="20"/>
    </row>
    <row r="132" spans="2:25" ht="15.75" thickBot="1" x14ac:dyDescent="0.3">
      <c r="B132" s="22"/>
      <c r="C132" s="23"/>
      <c r="D132" s="23"/>
      <c r="E132" s="23"/>
      <c r="F132" s="23"/>
      <c r="G132" s="23"/>
      <c r="H132" s="23"/>
      <c r="I132" s="23"/>
      <c r="J132" s="23"/>
      <c r="K132" s="23"/>
      <c r="L132" s="23"/>
      <c r="M132" s="23"/>
      <c r="N132" s="23"/>
      <c r="O132" s="23"/>
      <c r="P132" s="23"/>
      <c r="Q132" s="23"/>
      <c r="R132" s="23"/>
      <c r="S132" s="23"/>
      <c r="T132" s="23"/>
      <c r="U132" s="23"/>
      <c r="V132" s="23"/>
      <c r="W132" s="23"/>
      <c r="X132" s="23"/>
      <c r="Y132" s="24"/>
    </row>
    <row r="135" spans="2:25" ht="15.75" thickBot="1" x14ac:dyDescent="0.3"/>
    <row r="136" spans="2:25" x14ac:dyDescent="0.25">
      <c r="B136" s="16"/>
      <c r="C136" s="17"/>
      <c r="D136" s="17"/>
      <c r="E136" s="17"/>
      <c r="F136" s="17"/>
      <c r="G136" s="17"/>
      <c r="H136" s="17"/>
      <c r="I136" s="17"/>
      <c r="J136" s="17"/>
      <c r="K136" s="17"/>
      <c r="L136" s="17"/>
      <c r="M136" s="17"/>
      <c r="N136" s="17"/>
      <c r="O136" s="17"/>
      <c r="P136" s="17"/>
      <c r="Q136" s="17"/>
      <c r="R136" s="17"/>
      <c r="S136" s="17"/>
      <c r="T136" s="17"/>
      <c r="U136" s="17"/>
      <c r="V136" s="17"/>
      <c r="W136" s="17"/>
      <c r="X136" s="17"/>
      <c r="Y136" s="18"/>
    </row>
    <row r="137" spans="2:25" x14ac:dyDescent="0.25">
      <c r="B137" s="19"/>
      <c r="Y137" s="20"/>
    </row>
    <row r="138" spans="2:25" x14ac:dyDescent="0.25">
      <c r="B138" s="19"/>
      <c r="C138" s="70" t="s">
        <v>331</v>
      </c>
      <c r="Y138" s="20"/>
    </row>
    <row r="139" spans="2:25" x14ac:dyDescent="0.25">
      <c r="B139" s="19"/>
      <c r="D139" s="42" t="s">
        <v>332</v>
      </c>
      <c r="K139" s="652" t="s">
        <v>2574</v>
      </c>
      <c r="L139" s="652"/>
      <c r="M139" s="652"/>
      <c r="N139" s="652"/>
      <c r="Y139" s="20"/>
    </row>
    <row r="140" spans="2:25" x14ac:dyDescent="0.25">
      <c r="B140" s="19"/>
      <c r="E140" s="47" t="s">
        <v>597</v>
      </c>
      <c r="F140" s="47"/>
      <c r="G140" s="47"/>
      <c r="H140" s="47"/>
      <c r="I140" s="47"/>
      <c r="J140" s="47"/>
      <c r="K140" s="43"/>
      <c r="L140" s="851"/>
      <c r="M140" s="851"/>
      <c r="O140" s="143" t="str">
        <f>IF(L140&gt;$N$161,"Attention : surface saisie &gt; surfaces cultures principales grandes cultures","")</f>
        <v/>
      </c>
      <c r="Y140" s="20"/>
    </row>
    <row r="141" spans="2:25" x14ac:dyDescent="0.25">
      <c r="B141" s="19"/>
      <c r="E141" s="48" t="s">
        <v>598</v>
      </c>
      <c r="F141" s="48"/>
      <c r="G141" s="48"/>
      <c r="H141" s="48"/>
      <c r="I141" s="48"/>
      <c r="J141" s="48"/>
      <c r="K141" s="44"/>
      <c r="L141" s="851"/>
      <c r="M141" s="851"/>
      <c r="O141" s="143" t="str">
        <f>IF(L141&gt;$N$161,"Attention : surface saisie &gt; surfaces cultures principales grandes cultures","")</f>
        <v/>
      </c>
      <c r="Y141" s="20"/>
    </row>
    <row r="142" spans="2:25" x14ac:dyDescent="0.25">
      <c r="B142" s="19"/>
      <c r="E142" s="48" t="s">
        <v>333</v>
      </c>
      <c r="F142" s="48"/>
      <c r="G142" s="48"/>
      <c r="H142" s="48"/>
      <c r="I142" s="48"/>
      <c r="J142" s="48"/>
      <c r="K142" s="44"/>
      <c r="L142" s="851"/>
      <c r="M142" s="851"/>
      <c r="O142" s="143" t="str">
        <f>IF(L142&gt;$N$161,"Attention : surface saisie &gt; surfaces cultures principales grandes cultures","")</f>
        <v/>
      </c>
      <c r="Y142" s="20"/>
    </row>
    <row r="143" spans="2:25" x14ac:dyDescent="0.25">
      <c r="B143" s="19"/>
      <c r="E143" s="48" t="s">
        <v>599</v>
      </c>
      <c r="F143" s="48"/>
      <c r="G143" s="48"/>
      <c r="H143" s="48"/>
      <c r="I143" s="48"/>
      <c r="J143" s="48"/>
      <c r="K143" s="44"/>
      <c r="L143" s="851"/>
      <c r="M143" s="851"/>
      <c r="O143" s="143" t="str">
        <f>IF(L143&gt;N160,"Attention : surface saisie &gt; surface en blé","")</f>
        <v/>
      </c>
      <c r="Y143" s="20"/>
    </row>
    <row r="144" spans="2:25" x14ac:dyDescent="0.25">
      <c r="B144" s="19"/>
      <c r="Y144" s="20"/>
    </row>
    <row r="145" spans="2:25" x14ac:dyDescent="0.25">
      <c r="B145" s="19"/>
      <c r="D145" s="42" t="s">
        <v>335</v>
      </c>
      <c r="Y145" s="20"/>
    </row>
    <row r="146" spans="2:25" x14ac:dyDescent="0.25">
      <c r="B146" s="19"/>
      <c r="E146" s="47" t="s">
        <v>597</v>
      </c>
      <c r="F146" s="47"/>
      <c r="G146" s="47"/>
      <c r="H146" s="47"/>
      <c r="I146" s="47"/>
      <c r="J146" s="47"/>
      <c r="K146" s="43"/>
      <c r="L146" s="851"/>
      <c r="M146" s="851"/>
      <c r="O146" s="143" t="str">
        <f>IF(L146&gt;$N$162,"Attention : surface saisie &gt; surface cultures principales vigne, arboriculture, maraîchage","")</f>
        <v/>
      </c>
      <c r="Y146" s="20"/>
    </row>
    <row r="147" spans="2:25" x14ac:dyDescent="0.25">
      <c r="B147" s="19"/>
      <c r="E147" s="48" t="s">
        <v>598</v>
      </c>
      <c r="F147" s="48"/>
      <c r="G147" s="48"/>
      <c r="H147" s="48"/>
      <c r="I147" s="48"/>
      <c r="J147" s="48"/>
      <c r="K147" s="44"/>
      <c r="L147" s="851"/>
      <c r="M147" s="851"/>
      <c r="O147" s="143" t="str">
        <f>IF(L147&gt;$N$162,"Attention : surface saisie &gt; surface cultures principales vigne, arboriculture, maraîchage","")</f>
        <v/>
      </c>
      <c r="Y147" s="20"/>
    </row>
    <row r="148" spans="2:25" x14ac:dyDescent="0.25">
      <c r="B148" s="19"/>
      <c r="E148" s="48" t="s">
        <v>333</v>
      </c>
      <c r="F148" s="48"/>
      <c r="G148" s="48"/>
      <c r="H148" s="48"/>
      <c r="I148" s="48"/>
      <c r="J148" s="48"/>
      <c r="K148" s="44"/>
      <c r="L148" s="851"/>
      <c r="M148" s="851"/>
      <c r="O148" s="143" t="str">
        <f>IF(L148&gt;$N$162,"Attention : surface saisie &gt; surface cultures principales vigne, arboriculture, maraîchage","")</f>
        <v/>
      </c>
      <c r="Y148" s="20"/>
    </row>
    <row r="149" spans="2:25" x14ac:dyDescent="0.25">
      <c r="B149" s="19"/>
      <c r="Y149" s="20"/>
    </row>
    <row r="150" spans="2:25" x14ac:dyDescent="0.25">
      <c r="B150" s="19"/>
      <c r="C150" s="70" t="s">
        <v>336</v>
      </c>
      <c r="K150" s="652" t="s">
        <v>2574</v>
      </c>
      <c r="L150" s="652"/>
      <c r="M150" s="652"/>
      <c r="N150" s="652"/>
      <c r="Y150" s="20"/>
    </row>
    <row r="151" spans="2:25" x14ac:dyDescent="0.25">
      <c r="B151" s="19"/>
      <c r="D151" s="47" t="s">
        <v>734</v>
      </c>
      <c r="E151" s="47"/>
      <c r="F151" s="47"/>
      <c r="G151" s="47"/>
      <c r="H151" s="47"/>
      <c r="I151" s="47"/>
      <c r="J151" s="47"/>
      <c r="K151" s="43"/>
      <c r="L151" s="851"/>
      <c r="M151" s="851"/>
      <c r="O151" s="143" t="str">
        <f>IF(L151&gt;$N$163,"Attention : surface saisie &gt; surface en cultures mineures","")</f>
        <v/>
      </c>
      <c r="Y151" s="20"/>
    </row>
    <row r="152" spans="2:25" x14ac:dyDescent="0.25">
      <c r="B152" s="19"/>
      <c r="D152" s="48" t="s">
        <v>733</v>
      </c>
      <c r="E152" s="48"/>
      <c r="F152" s="48"/>
      <c r="G152" s="48"/>
      <c r="H152" s="48"/>
      <c r="I152" s="48"/>
      <c r="J152" s="48"/>
      <c r="K152" s="44"/>
      <c r="L152" s="851"/>
      <c r="M152" s="851"/>
      <c r="O152" s="143" t="str">
        <f>IF(L152&gt;$N$163,"Attention : surface saisie &gt; surface en cultures mineures","")</f>
        <v/>
      </c>
      <c r="Y152" s="20"/>
    </row>
    <row r="153" spans="2:25" x14ac:dyDescent="0.25">
      <c r="B153" s="19"/>
      <c r="Y153" s="20"/>
    </row>
    <row r="154" spans="2:25" x14ac:dyDescent="0.25">
      <c r="B154" s="19"/>
      <c r="Y154" s="20"/>
    </row>
    <row r="155" spans="2:25" x14ac:dyDescent="0.25">
      <c r="B155" s="19"/>
      <c r="Y155" s="20"/>
    </row>
    <row r="156" spans="2:25" x14ac:dyDescent="0.25">
      <c r="B156" s="19"/>
      <c r="C156" s="42"/>
      <c r="P156" s="651" t="s">
        <v>239</v>
      </c>
      <c r="Q156" s="651"/>
      <c r="Y156" s="20"/>
    </row>
    <row r="157" spans="2:25" x14ac:dyDescent="0.25">
      <c r="B157" s="19"/>
      <c r="C157" s="42"/>
      <c r="N157" s="96"/>
      <c r="O157" s="96"/>
      <c r="Y157" s="20"/>
    </row>
    <row r="158" spans="2:25" x14ac:dyDescent="0.25">
      <c r="B158" s="19"/>
      <c r="C158" s="70" t="s">
        <v>2379</v>
      </c>
      <c r="N158" s="96"/>
      <c r="O158" s="96"/>
      <c r="Y158" s="20"/>
    </row>
    <row r="159" spans="2:25" x14ac:dyDescent="0.25">
      <c r="B159" s="19"/>
      <c r="D159" s="77" t="s">
        <v>298</v>
      </c>
      <c r="E159" s="77"/>
      <c r="F159" s="77"/>
      <c r="G159" s="77"/>
      <c r="H159" s="77"/>
      <c r="I159" s="77"/>
      <c r="J159" s="77"/>
      <c r="K159" s="77"/>
      <c r="L159" s="40"/>
      <c r="M159" s="45"/>
      <c r="N159" s="852">
        <f>Surfaces!O24</f>
        <v>0</v>
      </c>
      <c r="O159" s="950"/>
      <c r="Y159" s="20"/>
    </row>
    <row r="160" spans="2:25" x14ac:dyDescent="0.25">
      <c r="B160" s="19"/>
      <c r="D160" s="78" t="s">
        <v>452</v>
      </c>
      <c r="E160" s="78"/>
      <c r="F160" s="78"/>
      <c r="G160" s="78"/>
      <c r="H160" s="78"/>
      <c r="I160" s="78"/>
      <c r="J160" s="78"/>
      <c r="K160" s="78"/>
      <c r="L160" s="79"/>
      <c r="M160" s="80"/>
      <c r="N160" s="852">
        <f>Surfaces!O76+Surfaces!O77</f>
        <v>0</v>
      </c>
      <c r="O160" s="950"/>
      <c r="Y160" s="20"/>
    </row>
    <row r="161" spans="2:25" x14ac:dyDescent="0.25">
      <c r="B161" s="19"/>
      <c r="D161" s="78" t="s">
        <v>2380</v>
      </c>
      <c r="E161" s="78"/>
      <c r="F161" s="78"/>
      <c r="G161" s="78"/>
      <c r="H161" s="78"/>
      <c r="I161" s="78"/>
      <c r="J161" s="78"/>
      <c r="K161" s="78"/>
      <c r="L161" s="79"/>
      <c r="M161" s="80"/>
      <c r="N161" s="851"/>
      <c r="O161" s="961"/>
      <c r="Q161" s="143" t="str">
        <f>IF(SUM(N161:O163)&gt;$N$159,"Attention : surface cultures principales + cultures mineures &gt; SAU","")</f>
        <v/>
      </c>
      <c r="Y161" s="20"/>
    </row>
    <row r="162" spans="2:25" x14ac:dyDescent="0.25">
      <c r="B162" s="19"/>
      <c r="D162" s="78" t="s">
        <v>603</v>
      </c>
      <c r="E162" s="78"/>
      <c r="F162" s="78"/>
      <c r="G162" s="78"/>
      <c r="H162" s="78"/>
      <c r="I162" s="78"/>
      <c r="J162" s="78"/>
      <c r="K162" s="78"/>
      <c r="L162" s="79"/>
      <c r="M162" s="80"/>
      <c r="N162" s="830"/>
      <c r="O162" s="831"/>
      <c r="Q162" s="143" t="str">
        <f>IF(SUM(N161:O163)&gt;$N$159,"Attention : surface cultures principales + cultures mineures &gt; SAU","")</f>
        <v/>
      </c>
      <c r="Y162" s="20"/>
    </row>
    <row r="163" spans="2:25" x14ac:dyDescent="0.25">
      <c r="B163" s="19"/>
      <c r="D163" s="78" t="s">
        <v>602</v>
      </c>
      <c r="E163" s="78"/>
      <c r="F163" s="78"/>
      <c r="G163" s="78"/>
      <c r="H163" s="78"/>
      <c r="I163" s="78"/>
      <c r="J163" s="78"/>
      <c r="K163" s="78"/>
      <c r="L163" s="79"/>
      <c r="M163" s="80"/>
      <c r="N163" s="852">
        <f>M58</f>
        <v>0</v>
      </c>
      <c r="O163" s="950"/>
      <c r="Q163" s="143" t="str">
        <f>IF(SUM(N161:O163)&gt;$N$159,"Attention : surface cultures principales + cultures mineures &gt; SAU","")</f>
        <v/>
      </c>
      <c r="Y163" s="20"/>
    </row>
    <row r="164" spans="2:25" x14ac:dyDescent="0.25">
      <c r="B164" s="19"/>
      <c r="D164" s="65"/>
      <c r="E164" s="65"/>
      <c r="F164" s="65"/>
      <c r="G164" s="65"/>
      <c r="H164" s="65"/>
      <c r="I164" s="65"/>
      <c r="J164" s="65"/>
      <c r="K164" s="65"/>
      <c r="N164" s="482" t="s">
        <v>2842</v>
      </c>
      <c r="O164" s="36"/>
      <c r="Y164" s="20"/>
    </row>
    <row r="165" spans="2:25" x14ac:dyDescent="0.25">
      <c r="B165" s="19"/>
      <c r="D165" s="65"/>
      <c r="E165" s="65"/>
      <c r="F165" s="65"/>
      <c r="G165" s="65"/>
      <c r="H165" s="65"/>
      <c r="I165" s="65"/>
      <c r="J165" s="65"/>
      <c r="K165" s="65"/>
      <c r="N165" s="153"/>
      <c r="O165" s="36"/>
      <c r="Y165" s="20"/>
    </row>
    <row r="166" spans="2:25" x14ac:dyDescent="0.25">
      <c r="B166" s="19"/>
      <c r="C166" s="70" t="s">
        <v>331</v>
      </c>
      <c r="D166" s="65"/>
      <c r="E166" s="65"/>
      <c r="F166" s="65"/>
      <c r="G166" s="65"/>
      <c r="H166" s="65"/>
      <c r="I166" s="65"/>
      <c r="J166" s="65"/>
      <c r="K166" s="65"/>
      <c r="N166" s="153"/>
      <c r="O166" s="36"/>
      <c r="Y166" s="20"/>
    </row>
    <row r="167" spans="2:25" x14ac:dyDescent="0.25">
      <c r="B167" s="19"/>
      <c r="D167" s="42" t="s">
        <v>332</v>
      </c>
      <c r="E167" s="65"/>
      <c r="F167" s="65"/>
      <c r="G167" s="65"/>
      <c r="H167" s="65"/>
      <c r="I167" s="65"/>
      <c r="J167" s="65"/>
      <c r="K167" s="65"/>
      <c r="N167" s="116"/>
      <c r="O167" s="116"/>
      <c r="Y167" s="20"/>
    </row>
    <row r="168" spans="2:25" x14ac:dyDescent="0.25">
      <c r="B168" s="19"/>
      <c r="E168" s="77" t="s">
        <v>2381</v>
      </c>
      <c r="F168" s="77"/>
      <c r="G168" s="77"/>
      <c r="H168" s="77"/>
      <c r="I168" s="77"/>
      <c r="J168" s="77"/>
      <c r="K168" s="77"/>
      <c r="L168" s="40"/>
      <c r="M168" s="45"/>
      <c r="N168" s="950" t="str">
        <f>IF(L140&gt;0,"Oui","Non")</f>
        <v>Non</v>
      </c>
      <c r="O168" s="950"/>
      <c r="P168" s="824">
        <f>IF(N168="Oui",1,0)</f>
        <v>0</v>
      </c>
      <c r="Q168" s="825"/>
      <c r="Y168" s="20"/>
    </row>
    <row r="169" spans="2:25" x14ac:dyDescent="0.25">
      <c r="B169" s="19"/>
      <c r="E169" s="78" t="s">
        <v>2559</v>
      </c>
      <c r="F169" s="78"/>
      <c r="G169" s="78"/>
      <c r="H169" s="78"/>
      <c r="I169" s="78"/>
      <c r="J169" s="78"/>
      <c r="K169" s="78"/>
      <c r="L169" s="79"/>
      <c r="M169" s="80"/>
      <c r="N169" s="940">
        <f>IFERROR(L141/(N161),0)</f>
        <v>0</v>
      </c>
      <c r="O169" s="940"/>
      <c r="P169" s="824">
        <f>IF(AND(N168="Oui",N169&gt;=0.5),1,0)</f>
        <v>0</v>
      </c>
      <c r="Q169" s="825"/>
      <c r="Y169" s="20"/>
    </row>
    <row r="170" spans="2:25" x14ac:dyDescent="0.25">
      <c r="B170" s="19"/>
      <c r="E170" s="78" t="s">
        <v>600</v>
      </c>
      <c r="F170" s="78"/>
      <c r="G170" s="78"/>
      <c r="H170" s="78"/>
      <c r="I170" s="78"/>
      <c r="J170" s="78"/>
      <c r="K170" s="78"/>
      <c r="L170" s="79"/>
      <c r="M170" s="80"/>
      <c r="N170" s="940">
        <f>IFERROR(L142/N161,0)</f>
        <v>0</v>
      </c>
      <c r="O170" s="940"/>
      <c r="P170" s="824">
        <f>IF(AND(N168="Oui",N170&gt;=0.5),1,0)</f>
        <v>0</v>
      </c>
      <c r="Q170" s="825"/>
      <c r="Y170" s="20"/>
    </row>
    <row r="171" spans="2:25" x14ac:dyDescent="0.25">
      <c r="B171" s="19"/>
      <c r="E171" s="78" t="s">
        <v>601</v>
      </c>
      <c r="F171" s="78"/>
      <c r="G171" s="78"/>
      <c r="H171" s="78"/>
      <c r="I171" s="78"/>
      <c r="J171" s="78"/>
      <c r="K171" s="78"/>
      <c r="L171" s="79"/>
      <c r="M171" s="80"/>
      <c r="N171" s="940">
        <f>IFERROR(L143/N160,0)</f>
        <v>0</v>
      </c>
      <c r="O171" s="940"/>
      <c r="P171" s="824">
        <f>IFERROR(IF(OR(L143="",L143=0),0,MIN(3*(L143/N161),3)),0)</f>
        <v>0</v>
      </c>
      <c r="Q171" s="825"/>
      <c r="Y171" s="20"/>
    </row>
    <row r="172" spans="2:25" x14ac:dyDescent="0.25">
      <c r="B172" s="19"/>
      <c r="E172" s="65"/>
      <c r="F172" s="65"/>
      <c r="G172" s="65"/>
      <c r="H172" s="65"/>
      <c r="I172" s="65"/>
      <c r="J172" s="65"/>
      <c r="K172" s="65"/>
      <c r="N172" s="155"/>
      <c r="O172" s="36"/>
      <c r="Y172" s="20"/>
    </row>
    <row r="173" spans="2:25" x14ac:dyDescent="0.25">
      <c r="B173" s="19"/>
      <c r="E173" s="77" t="s">
        <v>5137</v>
      </c>
      <c r="F173" s="77"/>
      <c r="G173" s="77"/>
      <c r="H173" s="77"/>
      <c r="I173" s="77"/>
      <c r="J173" s="77"/>
      <c r="K173" s="77"/>
      <c r="L173" s="77"/>
      <c r="M173" s="77"/>
      <c r="N173" s="306"/>
      <c r="O173" s="306"/>
      <c r="P173" s="837">
        <f>IFERROR(IF(N161=0,0,SUM(P168:Q171)),0)</f>
        <v>0</v>
      </c>
      <c r="Q173" s="838"/>
      <c r="Y173" s="20"/>
    </row>
    <row r="174" spans="2:25" x14ac:dyDescent="0.25">
      <c r="B174" s="19"/>
      <c r="E174" s="65"/>
      <c r="F174" s="65"/>
      <c r="G174" s="65"/>
      <c r="H174" s="65"/>
      <c r="I174" s="65"/>
      <c r="J174" s="65"/>
      <c r="K174" s="65"/>
      <c r="N174" s="155"/>
      <c r="O174" s="36"/>
      <c r="Y174" s="20"/>
    </row>
    <row r="175" spans="2:25" x14ac:dyDescent="0.25">
      <c r="B175" s="19"/>
      <c r="D175" s="42" t="s">
        <v>335</v>
      </c>
      <c r="E175" s="65"/>
      <c r="F175" s="65"/>
      <c r="G175" s="65"/>
      <c r="H175" s="65"/>
      <c r="I175" s="65"/>
      <c r="J175" s="65"/>
      <c r="K175" s="65"/>
      <c r="N175" s="155"/>
      <c r="O175" s="36"/>
      <c r="P175" s="104"/>
      <c r="Q175" s="104"/>
      <c r="Y175" s="20"/>
    </row>
    <row r="176" spans="2:25" x14ac:dyDescent="0.25">
      <c r="B176" s="19"/>
      <c r="E176" s="77" t="s">
        <v>2558</v>
      </c>
      <c r="F176" s="77"/>
      <c r="G176" s="77"/>
      <c r="H176" s="77"/>
      <c r="I176" s="77"/>
      <c r="J176" s="77"/>
      <c r="K176" s="77"/>
      <c r="L176" s="40"/>
      <c r="M176" s="45"/>
      <c r="N176" s="940">
        <f>IFERROR(L146/N162,0)</f>
        <v>0</v>
      </c>
      <c r="O176" s="940"/>
      <c r="P176" s="824">
        <f>IFERROR(IF(N176&gt;=0.5,(N176*1.5),0),0)</f>
        <v>0</v>
      </c>
      <c r="Q176" s="825"/>
      <c r="Y176" s="20"/>
    </row>
    <row r="177" spans="2:25" x14ac:dyDescent="0.25">
      <c r="B177" s="19"/>
      <c r="E177" s="78" t="s">
        <v>2560</v>
      </c>
      <c r="F177" s="78"/>
      <c r="G177" s="78"/>
      <c r="H177" s="78"/>
      <c r="I177" s="78"/>
      <c r="J177" s="78"/>
      <c r="K177" s="78"/>
      <c r="L177" s="79"/>
      <c r="M177" s="80"/>
      <c r="N177" s="940">
        <f>IFERROR((L147+L148)/N162,0)</f>
        <v>0</v>
      </c>
      <c r="O177" s="940"/>
      <c r="P177" s="824">
        <f>IFERROR(IF(N177&gt;=0.5,N177*1.5,0),0)</f>
        <v>0</v>
      </c>
      <c r="Q177" s="825"/>
      <c r="Y177" s="20"/>
    </row>
    <row r="178" spans="2:25" x14ac:dyDescent="0.25">
      <c r="B178" s="19"/>
      <c r="E178" s="65"/>
      <c r="F178" s="65"/>
      <c r="G178" s="65"/>
      <c r="H178" s="65"/>
      <c r="I178" s="65"/>
      <c r="J178" s="65"/>
      <c r="K178" s="65"/>
      <c r="N178" s="139"/>
      <c r="O178" s="139"/>
      <c r="P178" s="104"/>
      <c r="Q178" s="104"/>
      <c r="Y178" s="20"/>
    </row>
    <row r="179" spans="2:25" x14ac:dyDescent="0.25">
      <c r="B179" s="19"/>
      <c r="E179" s="77" t="s">
        <v>5138</v>
      </c>
      <c r="F179" s="77"/>
      <c r="G179" s="77"/>
      <c r="H179" s="77"/>
      <c r="I179" s="77"/>
      <c r="J179" s="77"/>
      <c r="K179" s="77"/>
      <c r="L179" s="77"/>
      <c r="M179" s="77"/>
      <c r="N179" s="306"/>
      <c r="O179" s="306"/>
      <c r="P179" s="837">
        <f>IFERROR(IF(N162=0,0,SUM(P176:Q177)),0)</f>
        <v>0</v>
      </c>
      <c r="Q179" s="838"/>
      <c r="Y179" s="20"/>
    </row>
    <row r="180" spans="2:25" x14ac:dyDescent="0.25">
      <c r="B180" s="19"/>
      <c r="E180" s="65"/>
      <c r="F180" s="65"/>
      <c r="G180" s="65"/>
      <c r="H180" s="65"/>
      <c r="I180" s="65"/>
      <c r="J180" s="65"/>
      <c r="K180" s="65"/>
      <c r="N180" s="139"/>
      <c r="O180" s="139"/>
      <c r="P180" s="104"/>
      <c r="Q180" s="104"/>
      <c r="Y180" s="20"/>
    </row>
    <row r="181" spans="2:25" x14ac:dyDescent="0.25">
      <c r="B181" s="19"/>
      <c r="D181" s="77" t="s">
        <v>730</v>
      </c>
      <c r="E181" s="77"/>
      <c r="F181" s="77"/>
      <c r="G181" s="77"/>
      <c r="H181" s="77"/>
      <c r="I181" s="77"/>
      <c r="J181" s="77"/>
      <c r="K181" s="77"/>
      <c r="L181" s="77"/>
      <c r="M181" s="77"/>
      <c r="N181" s="306"/>
      <c r="O181" s="306"/>
      <c r="P181" s="824">
        <f>MIN(SUM(P168:Q171,P176:Q177),3)</f>
        <v>0</v>
      </c>
      <c r="Q181" s="842"/>
      <c r="Y181" s="20"/>
    </row>
    <row r="182" spans="2:25" x14ac:dyDescent="0.25">
      <c r="B182" s="19"/>
      <c r="D182" s="65"/>
      <c r="E182" s="65"/>
      <c r="F182" s="65"/>
      <c r="G182" s="65"/>
      <c r="H182" s="65"/>
      <c r="I182" s="65"/>
      <c r="J182" s="65"/>
      <c r="K182" s="65"/>
      <c r="N182" s="155"/>
      <c r="O182" s="36"/>
      <c r="P182" s="104"/>
      <c r="Q182" s="104"/>
      <c r="Y182" s="20"/>
    </row>
    <row r="183" spans="2:25" x14ac:dyDescent="0.25">
      <c r="B183" s="19"/>
      <c r="C183" s="70" t="s">
        <v>336</v>
      </c>
      <c r="D183" s="65"/>
      <c r="E183" s="65"/>
      <c r="F183" s="65"/>
      <c r="G183" s="65"/>
      <c r="H183" s="65"/>
      <c r="I183" s="65"/>
      <c r="J183" s="65"/>
      <c r="K183" s="65"/>
      <c r="N183" s="155"/>
      <c r="O183" s="36"/>
      <c r="P183" s="104"/>
      <c r="Q183" s="104"/>
      <c r="Y183" s="20"/>
    </row>
    <row r="184" spans="2:25" x14ac:dyDescent="0.25">
      <c r="B184" s="19"/>
      <c r="D184" s="77" t="s">
        <v>2561</v>
      </c>
      <c r="E184" s="77"/>
      <c r="F184" s="77"/>
      <c r="G184" s="77"/>
      <c r="H184" s="77"/>
      <c r="I184" s="77"/>
      <c r="J184" s="77"/>
      <c r="K184" s="77"/>
      <c r="L184" s="40"/>
      <c r="M184" s="45"/>
      <c r="N184" s="940">
        <f>IFERROR(L151/N163,0)</f>
        <v>0</v>
      </c>
      <c r="O184" s="940"/>
      <c r="P184" s="837">
        <f>IFERROR(MIN(ROUNDUP(MAX(N184-30%,0)/10%,0),7),0)</f>
        <v>0</v>
      </c>
      <c r="Q184" s="838"/>
      <c r="Y184" s="20"/>
    </row>
    <row r="185" spans="2:25" x14ac:dyDescent="0.25">
      <c r="B185" s="19"/>
      <c r="D185" s="77" t="s">
        <v>731</v>
      </c>
      <c r="E185" s="77"/>
      <c r="F185" s="77"/>
      <c r="G185" s="77"/>
      <c r="H185" s="77"/>
      <c r="I185" s="77"/>
      <c r="J185" s="77"/>
      <c r="K185" s="77"/>
      <c r="L185" s="40"/>
      <c r="M185" s="45"/>
      <c r="N185" s="964">
        <f>IFERROR(L152/N163,0)</f>
        <v>0</v>
      </c>
      <c r="O185" s="964"/>
      <c r="P185" s="837">
        <f>IF(N185&gt;0.5,1,0)</f>
        <v>0</v>
      </c>
      <c r="Q185" s="838"/>
      <c r="Y185" s="20"/>
    </row>
    <row r="186" spans="2:25" x14ac:dyDescent="0.25">
      <c r="B186" s="19"/>
      <c r="D186" s="65"/>
      <c r="E186" s="65"/>
      <c r="F186" s="65"/>
      <c r="G186" s="65"/>
      <c r="H186" s="65"/>
      <c r="I186" s="65"/>
      <c r="J186" s="65"/>
      <c r="K186" s="65"/>
      <c r="N186" s="139"/>
      <c r="O186" s="139"/>
      <c r="P186" s="104"/>
      <c r="Q186" s="104"/>
      <c r="Y186" s="20"/>
    </row>
    <row r="187" spans="2:25" x14ac:dyDescent="0.25">
      <c r="B187" s="19"/>
      <c r="D187" s="77" t="s">
        <v>732</v>
      </c>
      <c r="E187" s="77"/>
      <c r="F187" s="77"/>
      <c r="G187" s="77"/>
      <c r="H187" s="77"/>
      <c r="I187" s="77"/>
      <c r="J187" s="77"/>
      <c r="K187" s="77"/>
      <c r="L187" s="77"/>
      <c r="M187" s="77"/>
      <c r="N187" s="306"/>
      <c r="O187" s="306"/>
      <c r="P187" s="837">
        <f>MIN(SUM(P184:Q185),7)</f>
        <v>0</v>
      </c>
      <c r="Q187" s="838"/>
      <c r="Y187" s="20"/>
    </row>
    <row r="188" spans="2:25" x14ac:dyDescent="0.25">
      <c r="B188" s="19"/>
      <c r="D188" s="65"/>
      <c r="E188" s="65"/>
      <c r="F188" s="65"/>
      <c r="G188" s="65"/>
      <c r="H188" s="65"/>
      <c r="I188" s="65"/>
      <c r="J188" s="65"/>
      <c r="K188" s="65"/>
      <c r="L188" s="36"/>
      <c r="M188" s="36"/>
      <c r="N188" s="155"/>
      <c r="O188" s="104"/>
      <c r="Y188" s="20"/>
    </row>
    <row r="189" spans="2:25" x14ac:dyDescent="0.25">
      <c r="B189" s="19"/>
      <c r="D189" s="65"/>
      <c r="E189" s="65"/>
      <c r="F189" s="65"/>
      <c r="G189" s="65"/>
      <c r="H189" s="65"/>
      <c r="I189" s="65"/>
      <c r="J189" s="65"/>
      <c r="K189" s="65"/>
      <c r="L189" s="36"/>
      <c r="M189" s="36"/>
      <c r="N189" s="155"/>
      <c r="O189" s="104"/>
      <c r="Y189" s="20"/>
    </row>
    <row r="190" spans="2:25" x14ac:dyDescent="0.25">
      <c r="B190" s="19"/>
      <c r="C190" s="77" t="s">
        <v>604</v>
      </c>
      <c r="D190" s="77"/>
      <c r="E190" s="77"/>
      <c r="F190" s="77"/>
      <c r="G190" s="77"/>
      <c r="H190" s="77"/>
      <c r="I190" s="77"/>
      <c r="J190" s="77"/>
      <c r="K190" s="77"/>
      <c r="L190" s="172"/>
      <c r="M190" s="175"/>
      <c r="N190" s="940">
        <f>M60</f>
        <v>0</v>
      </c>
      <c r="O190" s="940"/>
      <c r="W190" s="680" t="s">
        <v>713</v>
      </c>
      <c r="X190" s="680"/>
      <c r="Y190" s="20"/>
    </row>
    <row r="191" spans="2:25" x14ac:dyDescent="0.25">
      <c r="B191" s="19"/>
      <c r="C191" s="151" t="s">
        <v>421</v>
      </c>
      <c r="D191" s="77"/>
      <c r="E191" s="77"/>
      <c r="F191" s="77"/>
      <c r="G191" s="77"/>
      <c r="H191" s="77"/>
      <c r="I191" s="77"/>
      <c r="J191" s="77"/>
      <c r="K191" s="77"/>
      <c r="L191" s="172"/>
      <c r="M191" s="172"/>
      <c r="N191" s="173"/>
      <c r="O191" s="174"/>
      <c r="P191" s="828">
        <f>IF(N190&lt;0.05,P181,(P181*(100%-N190))+(P187*N190))</f>
        <v>0</v>
      </c>
      <c r="Q191" s="829"/>
      <c r="W191" s="681">
        <f>IF(N190&lt;0.05,3,(3*(100%-N190))+(7*N190))</f>
        <v>3</v>
      </c>
      <c r="X191" s="682"/>
      <c r="Y191" s="20"/>
    </row>
    <row r="192" spans="2:25" x14ac:dyDescent="0.25">
      <c r="B192" s="19"/>
      <c r="D192" s="65"/>
      <c r="E192" s="65"/>
      <c r="F192" s="65"/>
      <c r="G192" s="65"/>
      <c r="H192" s="65"/>
      <c r="I192" s="65"/>
      <c r="J192" s="65"/>
      <c r="K192" s="65"/>
      <c r="L192" s="36"/>
      <c r="M192" s="36"/>
      <c r="N192" s="155"/>
      <c r="O192" s="104"/>
      <c r="Y192" s="20"/>
    </row>
    <row r="193" spans="2:25" x14ac:dyDescent="0.25">
      <c r="B193" s="19"/>
      <c r="D193" s="65"/>
      <c r="E193" s="65"/>
      <c r="F193" s="65"/>
      <c r="G193" s="65"/>
      <c r="H193" s="65"/>
      <c r="I193" s="65"/>
      <c r="J193" s="65"/>
      <c r="K193" s="65"/>
      <c r="L193" s="36"/>
      <c r="M193" s="36"/>
      <c r="N193" s="155"/>
      <c r="O193" s="104"/>
      <c r="Y193" s="20"/>
    </row>
    <row r="194" spans="2:25" x14ac:dyDescent="0.25">
      <c r="B194" s="19"/>
      <c r="C194" s="70" t="s">
        <v>2506</v>
      </c>
      <c r="Y194" s="20"/>
    </row>
    <row r="195" spans="2:25" x14ac:dyDescent="0.25">
      <c r="B195" s="19"/>
      <c r="C195" s="667"/>
      <c r="D195" s="668"/>
      <c r="E195" s="668"/>
      <c r="F195" s="668"/>
      <c r="G195" s="668"/>
      <c r="H195" s="668"/>
      <c r="I195" s="668"/>
      <c r="J195" s="668"/>
      <c r="K195" s="668"/>
      <c r="L195" s="668"/>
      <c r="M195" s="668"/>
      <c r="N195" s="668"/>
      <c r="O195" s="668"/>
      <c r="P195" s="668"/>
      <c r="Q195" s="668"/>
      <c r="R195" s="668"/>
      <c r="S195" s="668"/>
      <c r="T195" s="668"/>
      <c r="U195" s="668"/>
      <c r="V195" s="668"/>
      <c r="W195" s="669"/>
      <c r="Y195" s="20"/>
    </row>
    <row r="196" spans="2:25" x14ac:dyDescent="0.25">
      <c r="B196" s="19"/>
      <c r="C196" s="670"/>
      <c r="D196" s="671"/>
      <c r="E196" s="671"/>
      <c r="F196" s="671"/>
      <c r="G196" s="671"/>
      <c r="H196" s="671"/>
      <c r="I196" s="671"/>
      <c r="J196" s="671"/>
      <c r="K196" s="671"/>
      <c r="L196" s="671"/>
      <c r="M196" s="671"/>
      <c r="N196" s="671"/>
      <c r="O196" s="671"/>
      <c r="P196" s="671"/>
      <c r="Q196" s="671"/>
      <c r="R196" s="671"/>
      <c r="S196" s="671"/>
      <c r="T196" s="671"/>
      <c r="U196" s="671"/>
      <c r="V196" s="671"/>
      <c r="W196" s="672"/>
      <c r="Y196" s="20"/>
    </row>
    <row r="197" spans="2:25" x14ac:dyDescent="0.25">
      <c r="B197" s="19"/>
      <c r="C197" s="670"/>
      <c r="D197" s="671"/>
      <c r="E197" s="671"/>
      <c r="F197" s="671"/>
      <c r="G197" s="671"/>
      <c r="H197" s="671"/>
      <c r="I197" s="671"/>
      <c r="J197" s="671"/>
      <c r="K197" s="671"/>
      <c r="L197" s="671"/>
      <c r="M197" s="671"/>
      <c r="N197" s="671"/>
      <c r="O197" s="671"/>
      <c r="P197" s="671"/>
      <c r="Q197" s="671"/>
      <c r="R197" s="671"/>
      <c r="S197" s="671"/>
      <c r="T197" s="671"/>
      <c r="U197" s="671"/>
      <c r="V197" s="671"/>
      <c r="W197" s="672"/>
      <c r="Y197" s="20"/>
    </row>
    <row r="198" spans="2:25" x14ac:dyDescent="0.25">
      <c r="B198" s="19"/>
      <c r="C198" s="670"/>
      <c r="D198" s="671"/>
      <c r="E198" s="671"/>
      <c r="F198" s="671"/>
      <c r="G198" s="671"/>
      <c r="H198" s="671"/>
      <c r="I198" s="671"/>
      <c r="J198" s="671"/>
      <c r="K198" s="671"/>
      <c r="L198" s="671"/>
      <c r="M198" s="671"/>
      <c r="N198" s="671"/>
      <c r="O198" s="671"/>
      <c r="P198" s="671"/>
      <c r="Q198" s="671"/>
      <c r="R198" s="671"/>
      <c r="S198" s="671"/>
      <c r="T198" s="671"/>
      <c r="U198" s="671"/>
      <c r="V198" s="671"/>
      <c r="W198" s="672"/>
      <c r="Y198" s="20"/>
    </row>
    <row r="199" spans="2:25" x14ac:dyDescent="0.25">
      <c r="B199" s="19"/>
      <c r="C199" s="673"/>
      <c r="D199" s="674"/>
      <c r="E199" s="674"/>
      <c r="F199" s="674"/>
      <c r="G199" s="674"/>
      <c r="H199" s="674"/>
      <c r="I199" s="674"/>
      <c r="J199" s="674"/>
      <c r="K199" s="674"/>
      <c r="L199" s="674"/>
      <c r="M199" s="674"/>
      <c r="N199" s="674"/>
      <c r="O199" s="674"/>
      <c r="P199" s="674"/>
      <c r="Q199" s="674"/>
      <c r="R199" s="674"/>
      <c r="S199" s="674"/>
      <c r="T199" s="674"/>
      <c r="U199" s="674"/>
      <c r="V199" s="674"/>
      <c r="W199" s="675"/>
      <c r="Y199" s="20"/>
    </row>
    <row r="200" spans="2:25" x14ac:dyDescent="0.25">
      <c r="B200" s="19"/>
      <c r="D200" s="65"/>
      <c r="E200" s="65"/>
      <c r="F200" s="65"/>
      <c r="G200" s="65"/>
      <c r="H200" s="65"/>
      <c r="I200" s="65"/>
      <c r="J200" s="65"/>
      <c r="K200" s="65"/>
      <c r="L200" s="36"/>
      <c r="M200" s="36"/>
      <c r="N200" s="155"/>
      <c r="O200" s="104"/>
      <c r="Y200" s="20"/>
    </row>
    <row r="201" spans="2:25" ht="15.75" thickBot="1" x14ac:dyDescent="0.3">
      <c r="B201" s="22"/>
      <c r="C201" s="23"/>
      <c r="D201" s="23"/>
      <c r="E201" s="23"/>
      <c r="F201" s="23"/>
      <c r="G201" s="23"/>
      <c r="H201" s="23"/>
      <c r="I201" s="23"/>
      <c r="J201" s="23"/>
      <c r="K201" s="23"/>
      <c r="L201" s="23"/>
      <c r="M201" s="23"/>
      <c r="N201" s="23"/>
      <c r="O201" s="23"/>
      <c r="P201" s="23"/>
      <c r="Q201" s="23"/>
      <c r="R201" s="23"/>
      <c r="S201" s="23"/>
      <c r="T201" s="23"/>
      <c r="U201" s="23"/>
      <c r="V201" s="23"/>
      <c r="W201" s="23"/>
      <c r="X201" s="23"/>
      <c r="Y201" s="24"/>
    </row>
    <row r="204" spans="2:25" ht="15.75" thickBot="1" x14ac:dyDescent="0.3"/>
    <row r="205" spans="2:25" x14ac:dyDescent="0.25">
      <c r="B205" s="16"/>
      <c r="C205" s="17"/>
      <c r="D205" s="17"/>
      <c r="E205" s="17"/>
      <c r="F205" s="17"/>
      <c r="G205" s="17"/>
      <c r="H205" s="17"/>
      <c r="I205" s="17"/>
      <c r="J205" s="17"/>
      <c r="K205" s="17"/>
      <c r="L205" s="17"/>
      <c r="M205" s="17"/>
      <c r="N205" s="17"/>
      <c r="O205" s="17"/>
      <c r="P205" s="17"/>
      <c r="Q205" s="17"/>
      <c r="R205" s="17"/>
      <c r="S205" s="17"/>
      <c r="T205" s="17"/>
      <c r="U205" s="17"/>
      <c r="V205" s="17"/>
      <c r="W205" s="17"/>
      <c r="X205" s="17"/>
      <c r="Y205" s="18"/>
    </row>
    <row r="206" spans="2:25" x14ac:dyDescent="0.25">
      <c r="B206" s="19"/>
      <c r="Y206" s="20"/>
    </row>
    <row r="207" spans="2:25" x14ac:dyDescent="0.25">
      <c r="B207" s="19"/>
      <c r="C207" s="47" t="s">
        <v>337</v>
      </c>
      <c r="D207" s="47"/>
      <c r="E207" s="47"/>
      <c r="F207" s="47"/>
      <c r="G207" s="47"/>
      <c r="H207" s="47"/>
      <c r="I207" s="43"/>
      <c r="J207" s="852">
        <f>Surfaces!O119</f>
        <v>0</v>
      </c>
      <c r="K207" s="852"/>
      <c r="Y207" s="20"/>
    </row>
    <row r="208" spans="2:25" x14ac:dyDescent="0.25">
      <c r="B208" s="19"/>
      <c r="C208" s="48" t="s">
        <v>2562</v>
      </c>
      <c r="D208" s="48"/>
      <c r="E208" s="48"/>
      <c r="F208" s="48"/>
      <c r="G208" s="48"/>
      <c r="H208" s="48"/>
      <c r="I208" s="44"/>
      <c r="J208" s="851"/>
      <c r="K208" s="851"/>
      <c r="M208" s="143" t="str">
        <f>IF(J208&gt;(Surfaces!O24-SUM(Surfaces!O119:O121)),"Attention : surface saisie &gt; SAU-PP","")</f>
        <v/>
      </c>
      <c r="Y208" s="20"/>
    </row>
    <row r="209" spans="2:25" x14ac:dyDescent="0.25">
      <c r="B209" s="19"/>
      <c r="Y209" s="20"/>
    </row>
    <row r="210" spans="2:25" x14ac:dyDescent="0.25">
      <c r="B210" s="19"/>
      <c r="Y210" s="20"/>
    </row>
    <row r="211" spans="2:25" x14ac:dyDescent="0.25">
      <c r="B211" s="19"/>
      <c r="C211" s="42"/>
      <c r="L211" s="651" t="s">
        <v>239</v>
      </c>
      <c r="M211" s="651"/>
      <c r="Y211" s="20"/>
    </row>
    <row r="212" spans="2:25" x14ac:dyDescent="0.25">
      <c r="B212" s="19"/>
      <c r="Y212" s="20"/>
    </row>
    <row r="213" spans="2:25" x14ac:dyDescent="0.25">
      <c r="B213" s="19"/>
      <c r="D213" s="77" t="s">
        <v>298</v>
      </c>
      <c r="E213" s="77"/>
      <c r="F213" s="77"/>
      <c r="G213" s="77"/>
      <c r="H213" s="77"/>
      <c r="I213" s="102"/>
      <c r="J213" s="852">
        <f>Surfaces!O24</f>
        <v>0</v>
      </c>
      <c r="K213" s="950"/>
      <c r="L213" s="952"/>
      <c r="M213" s="843"/>
      <c r="Y213" s="20"/>
    </row>
    <row r="214" spans="2:25" x14ac:dyDescent="0.25">
      <c r="B214" s="19"/>
      <c r="D214" s="78" t="s">
        <v>2563</v>
      </c>
      <c r="E214" s="78"/>
      <c r="F214" s="78"/>
      <c r="G214" s="78"/>
      <c r="H214" s="78"/>
      <c r="I214" s="103"/>
      <c r="J214" s="852">
        <f>SUM(J207:K208)</f>
        <v>0</v>
      </c>
      <c r="K214" s="852"/>
      <c r="L214" s="960"/>
      <c r="M214" s="924"/>
      <c r="W214" s="680" t="s">
        <v>713</v>
      </c>
      <c r="X214" s="680"/>
      <c r="Y214" s="20"/>
    </row>
    <row r="215" spans="2:25" x14ac:dyDescent="0.25">
      <c r="B215" s="19"/>
      <c r="D215" s="78" t="s">
        <v>338</v>
      </c>
      <c r="E215" s="78"/>
      <c r="F215" s="78"/>
      <c r="G215" s="78"/>
      <c r="H215" s="78"/>
      <c r="I215" s="103"/>
      <c r="J215" s="940">
        <f>IFERROR(J214/J213,0)</f>
        <v>0</v>
      </c>
      <c r="K215" s="940"/>
      <c r="L215" s="828">
        <f>MIN(ROUNDUP(MAX(J215-5%,0)/10%,0),10)</f>
        <v>0</v>
      </c>
      <c r="M215" s="829"/>
      <c r="W215" s="681">
        <v>10</v>
      </c>
      <c r="X215" s="682"/>
      <c r="Y215" s="20"/>
    </row>
    <row r="216" spans="2:25" x14ac:dyDescent="0.25">
      <c r="B216" s="19"/>
      <c r="Y216" s="20"/>
    </row>
    <row r="217" spans="2:25" x14ac:dyDescent="0.25">
      <c r="B217" s="19"/>
      <c r="Y217" s="20"/>
    </row>
    <row r="218" spans="2:25" x14ac:dyDescent="0.25">
      <c r="B218" s="19"/>
      <c r="D218" s="70" t="s">
        <v>2506</v>
      </c>
      <c r="Y218" s="20"/>
    </row>
    <row r="219" spans="2:25" x14ac:dyDescent="0.25">
      <c r="B219" s="19"/>
      <c r="D219" s="667"/>
      <c r="E219" s="668"/>
      <c r="F219" s="668"/>
      <c r="G219" s="668"/>
      <c r="H219" s="668"/>
      <c r="I219" s="668"/>
      <c r="J219" s="668"/>
      <c r="K219" s="668"/>
      <c r="L219" s="668"/>
      <c r="M219" s="668"/>
      <c r="N219" s="668"/>
      <c r="O219" s="668"/>
      <c r="P219" s="668"/>
      <c r="Q219" s="668"/>
      <c r="R219" s="668"/>
      <c r="S219" s="668"/>
      <c r="T219" s="668"/>
      <c r="U219" s="668"/>
      <c r="V219" s="668"/>
      <c r="W219" s="668"/>
      <c r="X219" s="669"/>
      <c r="Y219" s="20"/>
    </row>
    <row r="220" spans="2:25" x14ac:dyDescent="0.25">
      <c r="B220" s="19"/>
      <c r="D220" s="670"/>
      <c r="E220" s="671"/>
      <c r="F220" s="671"/>
      <c r="G220" s="671"/>
      <c r="H220" s="671"/>
      <c r="I220" s="671"/>
      <c r="J220" s="671"/>
      <c r="K220" s="671"/>
      <c r="L220" s="671"/>
      <c r="M220" s="671"/>
      <c r="N220" s="671"/>
      <c r="O220" s="671"/>
      <c r="P220" s="671"/>
      <c r="Q220" s="671"/>
      <c r="R220" s="671"/>
      <c r="S220" s="671"/>
      <c r="T220" s="671"/>
      <c r="U220" s="671"/>
      <c r="V220" s="671"/>
      <c r="W220" s="671"/>
      <c r="X220" s="672"/>
      <c r="Y220" s="20"/>
    </row>
    <row r="221" spans="2:25" x14ac:dyDescent="0.25">
      <c r="B221" s="19"/>
      <c r="D221" s="670"/>
      <c r="E221" s="671"/>
      <c r="F221" s="671"/>
      <c r="G221" s="671"/>
      <c r="H221" s="671"/>
      <c r="I221" s="671"/>
      <c r="J221" s="671"/>
      <c r="K221" s="671"/>
      <c r="L221" s="671"/>
      <c r="M221" s="671"/>
      <c r="N221" s="671"/>
      <c r="O221" s="671"/>
      <c r="P221" s="671"/>
      <c r="Q221" s="671"/>
      <c r="R221" s="671"/>
      <c r="S221" s="671"/>
      <c r="T221" s="671"/>
      <c r="U221" s="671"/>
      <c r="V221" s="671"/>
      <c r="W221" s="671"/>
      <c r="X221" s="672"/>
      <c r="Y221" s="20"/>
    </row>
    <row r="222" spans="2:25" x14ac:dyDescent="0.25">
      <c r="B222" s="19"/>
      <c r="D222" s="670"/>
      <c r="E222" s="671"/>
      <c r="F222" s="671"/>
      <c r="G222" s="671"/>
      <c r="H222" s="671"/>
      <c r="I222" s="671"/>
      <c r="J222" s="671"/>
      <c r="K222" s="671"/>
      <c r="L222" s="671"/>
      <c r="M222" s="671"/>
      <c r="N222" s="671"/>
      <c r="O222" s="671"/>
      <c r="P222" s="671"/>
      <c r="Q222" s="671"/>
      <c r="R222" s="671"/>
      <c r="S222" s="671"/>
      <c r="T222" s="671"/>
      <c r="U222" s="671"/>
      <c r="V222" s="671"/>
      <c r="W222" s="671"/>
      <c r="X222" s="672"/>
      <c r="Y222" s="20"/>
    </row>
    <row r="223" spans="2:25" x14ac:dyDescent="0.25">
      <c r="B223" s="19"/>
      <c r="D223" s="673"/>
      <c r="E223" s="674"/>
      <c r="F223" s="674"/>
      <c r="G223" s="674"/>
      <c r="H223" s="674"/>
      <c r="I223" s="674"/>
      <c r="J223" s="674"/>
      <c r="K223" s="674"/>
      <c r="L223" s="674"/>
      <c r="M223" s="674"/>
      <c r="N223" s="674"/>
      <c r="O223" s="674"/>
      <c r="P223" s="674"/>
      <c r="Q223" s="674"/>
      <c r="R223" s="674"/>
      <c r="S223" s="674"/>
      <c r="T223" s="674"/>
      <c r="U223" s="674"/>
      <c r="V223" s="674"/>
      <c r="W223" s="674"/>
      <c r="X223" s="675"/>
      <c r="Y223" s="20"/>
    </row>
    <row r="224" spans="2:25" x14ac:dyDescent="0.25">
      <c r="B224" s="19"/>
      <c r="Y224" s="20"/>
    </row>
    <row r="225" spans="2:25" ht="15.75" thickBot="1" x14ac:dyDescent="0.3">
      <c r="B225" s="22"/>
      <c r="C225" s="23"/>
      <c r="D225" s="23"/>
      <c r="E225" s="23"/>
      <c r="F225" s="23"/>
      <c r="G225" s="23"/>
      <c r="H225" s="23"/>
      <c r="I225" s="23"/>
      <c r="J225" s="23"/>
      <c r="K225" s="23"/>
      <c r="L225" s="23"/>
      <c r="M225" s="23"/>
      <c r="N225" s="23"/>
      <c r="O225" s="23"/>
      <c r="P225" s="23"/>
      <c r="Q225" s="23"/>
      <c r="R225" s="23"/>
      <c r="S225" s="23"/>
      <c r="T225" s="23"/>
      <c r="U225" s="23"/>
      <c r="V225" s="23"/>
      <c r="W225" s="23"/>
      <c r="X225" s="23"/>
      <c r="Y225" s="24"/>
    </row>
    <row r="228" spans="2:25" ht="15.75" thickBot="1" x14ac:dyDescent="0.3"/>
    <row r="229" spans="2:25" x14ac:dyDescent="0.25">
      <c r="B229" s="16"/>
      <c r="C229" s="17"/>
      <c r="D229" s="17"/>
      <c r="E229" s="17"/>
      <c r="F229" s="17"/>
      <c r="G229" s="17"/>
      <c r="H229" s="17"/>
      <c r="I229" s="17"/>
      <c r="J229" s="17"/>
      <c r="K229" s="17"/>
      <c r="L229" s="17"/>
      <c r="M229" s="17"/>
      <c r="N229" s="17"/>
      <c r="O229" s="17"/>
      <c r="P229" s="17"/>
      <c r="Q229" s="17"/>
      <c r="R229" s="17"/>
      <c r="S229" s="17"/>
      <c r="T229" s="17"/>
      <c r="U229" s="17"/>
      <c r="V229" s="17"/>
      <c r="W229" s="17"/>
      <c r="X229" s="17"/>
      <c r="Y229" s="18"/>
    </row>
    <row r="230" spans="2:25" x14ac:dyDescent="0.25">
      <c r="B230" s="19"/>
      <c r="Y230" s="20"/>
    </row>
    <row r="231" spans="2:25" x14ac:dyDescent="0.25">
      <c r="B231" s="19"/>
      <c r="C231" s="42"/>
      <c r="P231" s="651" t="s">
        <v>239</v>
      </c>
      <c r="Q231" s="651"/>
      <c r="Y231" s="20"/>
    </row>
    <row r="232" spans="2:25" x14ac:dyDescent="0.25">
      <c r="B232" s="19"/>
      <c r="C232" s="42"/>
      <c r="P232" s="96"/>
      <c r="Q232" s="96"/>
      <c r="Y232" s="20"/>
    </row>
    <row r="233" spans="2:25" x14ac:dyDescent="0.25">
      <c r="B233" s="19"/>
      <c r="C233" s="42"/>
      <c r="D233" s="47" t="s">
        <v>2382</v>
      </c>
      <c r="E233" s="47"/>
      <c r="F233" s="47"/>
      <c r="G233" s="47"/>
      <c r="H233" s="47"/>
      <c r="I233" s="47"/>
      <c r="J233" s="47"/>
      <c r="K233" s="47"/>
      <c r="L233" s="47"/>
      <c r="M233" s="43"/>
      <c r="N233" s="852">
        <f>Surfaces!O93+Surfaces!O94</f>
        <v>0</v>
      </c>
      <c r="O233" s="950"/>
      <c r="P233" s="96"/>
      <c r="Q233" s="96"/>
      <c r="Y233" s="20"/>
    </row>
    <row r="234" spans="2:25" x14ac:dyDescent="0.25">
      <c r="B234" s="19"/>
      <c r="C234" s="42"/>
      <c r="D234" s="48" t="s">
        <v>2383</v>
      </c>
      <c r="E234" s="48"/>
      <c r="F234" s="48"/>
      <c r="G234" s="48"/>
      <c r="H234" s="48"/>
      <c r="I234" s="48"/>
      <c r="J234" s="48"/>
      <c r="K234" s="48"/>
      <c r="L234" s="48"/>
      <c r="M234" s="44"/>
      <c r="N234" s="852">
        <f>Surfaces!O95</f>
        <v>0</v>
      </c>
      <c r="O234" s="950"/>
      <c r="P234" s="96"/>
      <c r="Q234" s="96"/>
      <c r="Y234" s="20"/>
    </row>
    <row r="235" spans="2:25" x14ac:dyDescent="0.25">
      <c r="B235" s="19"/>
      <c r="C235" s="42"/>
      <c r="D235" s="48" t="s">
        <v>2384</v>
      </c>
      <c r="E235" s="48"/>
      <c r="F235" s="48"/>
      <c r="G235" s="48"/>
      <c r="H235" s="48"/>
      <c r="I235" s="48"/>
      <c r="J235" s="48"/>
      <c r="K235" s="48"/>
      <c r="L235" s="48"/>
      <c r="M235" s="44"/>
      <c r="N235" s="852">
        <f>Surfaces!O96</f>
        <v>0</v>
      </c>
      <c r="O235" s="950"/>
      <c r="P235" s="96"/>
      <c r="Q235" s="96"/>
      <c r="Y235" s="20"/>
    </row>
    <row r="236" spans="2:25" x14ac:dyDescent="0.25">
      <c r="B236" s="19"/>
      <c r="C236" s="42"/>
      <c r="D236" s="48" t="s">
        <v>2385</v>
      </c>
      <c r="E236" s="48"/>
      <c r="F236" s="48"/>
      <c r="G236" s="48"/>
      <c r="H236" s="48"/>
      <c r="I236" s="48"/>
      <c r="J236" s="48"/>
      <c r="K236" s="48"/>
      <c r="L236" s="48"/>
      <c r="M236" s="44"/>
      <c r="N236" s="852">
        <f>Surfaces!O114+Surfaces!O115+Surfaces!O118</f>
        <v>0</v>
      </c>
      <c r="O236" s="950"/>
      <c r="P236" s="96"/>
      <c r="Q236" s="96"/>
      <c r="Y236" s="20"/>
    </row>
    <row r="237" spans="2:25" x14ac:dyDescent="0.25">
      <c r="B237" s="19"/>
      <c r="C237" s="42"/>
      <c r="D237" s="48" t="s">
        <v>108</v>
      </c>
      <c r="E237" s="48"/>
      <c r="F237" s="48"/>
      <c r="G237" s="48"/>
      <c r="H237" s="48"/>
      <c r="I237" s="48"/>
      <c r="J237" s="48"/>
      <c r="K237" s="48"/>
      <c r="L237" s="48"/>
      <c r="M237" s="44"/>
      <c r="N237" s="852">
        <f>Surfaces!O88</f>
        <v>0</v>
      </c>
      <c r="O237" s="950"/>
      <c r="P237" s="828">
        <f>SUM(Fertilisation!N233:O237)</f>
        <v>0</v>
      </c>
      <c r="Q237" s="829"/>
      <c r="Y237" s="20"/>
    </row>
    <row r="238" spans="2:25" x14ac:dyDescent="0.25">
      <c r="B238" s="19"/>
      <c r="C238" s="42"/>
      <c r="D238" s="48" t="s">
        <v>2564</v>
      </c>
      <c r="E238" s="48"/>
      <c r="F238" s="48"/>
      <c r="G238" s="48"/>
      <c r="H238" s="48"/>
      <c r="I238" s="48"/>
      <c r="J238" s="48"/>
      <c r="K238" s="48"/>
      <c r="L238" s="48"/>
      <c r="M238" s="44"/>
      <c r="N238" s="941"/>
      <c r="O238" s="942"/>
      <c r="P238" s="96"/>
      <c r="Q238" s="96"/>
      <c r="Y238" s="20"/>
    </row>
    <row r="239" spans="2:25" x14ac:dyDescent="0.25">
      <c r="B239" s="19"/>
      <c r="Y239" s="20"/>
    </row>
    <row r="240" spans="2:25" x14ac:dyDescent="0.25">
      <c r="B240" s="19"/>
      <c r="D240" s="77" t="s">
        <v>298</v>
      </c>
      <c r="E240" s="77"/>
      <c r="F240" s="77"/>
      <c r="G240" s="77"/>
      <c r="H240" s="77"/>
      <c r="I240" s="77"/>
      <c r="J240" s="40"/>
      <c r="K240" s="40"/>
      <c r="L240" s="40"/>
      <c r="M240" s="45"/>
      <c r="N240" s="852">
        <f>cSAU</f>
        <v>0</v>
      </c>
      <c r="O240" s="950"/>
      <c r="P240" s="952"/>
      <c r="Q240" s="843"/>
      <c r="Y240" s="20"/>
    </row>
    <row r="241" spans="2:25" x14ac:dyDescent="0.25">
      <c r="B241" s="19"/>
      <c r="D241" s="78" t="s">
        <v>5139</v>
      </c>
      <c r="E241" s="77"/>
      <c r="F241" s="77"/>
      <c r="G241" s="77"/>
      <c r="H241" s="77"/>
      <c r="I241" s="77"/>
      <c r="J241" s="40"/>
      <c r="K241" s="40"/>
      <c r="L241" s="40"/>
      <c r="M241" s="45"/>
      <c r="N241" s="852">
        <f>SUM(N233:O237)</f>
        <v>0</v>
      </c>
      <c r="O241" s="950"/>
      <c r="P241" s="952"/>
      <c r="Q241" s="843"/>
      <c r="Y241" s="20"/>
    </row>
    <row r="242" spans="2:25" x14ac:dyDescent="0.25">
      <c r="B242" s="19"/>
      <c r="D242" s="78" t="s">
        <v>605</v>
      </c>
      <c r="E242" s="78"/>
      <c r="F242" s="78"/>
      <c r="G242" s="78"/>
      <c r="H242" s="78"/>
      <c r="I242" s="78"/>
      <c r="J242" s="79"/>
      <c r="K242" s="79"/>
      <c r="L242" s="79"/>
      <c r="M242" s="80"/>
      <c r="N242" s="852">
        <f>SUM(N233:O238)</f>
        <v>0</v>
      </c>
      <c r="O242" s="950"/>
      <c r="P242" s="958"/>
      <c r="Q242" s="959"/>
      <c r="W242" s="680" t="s">
        <v>713</v>
      </c>
      <c r="X242" s="680"/>
      <c r="Y242" s="20"/>
    </row>
    <row r="243" spans="2:25" x14ac:dyDescent="0.25">
      <c r="B243" s="19"/>
      <c r="D243" s="78" t="s">
        <v>606</v>
      </c>
      <c r="E243" s="78"/>
      <c r="F243" s="78"/>
      <c r="G243" s="78"/>
      <c r="H243" s="78"/>
      <c r="I243" s="78"/>
      <c r="J243" s="79"/>
      <c r="K243" s="79"/>
      <c r="L243" s="79"/>
      <c r="M243" s="80"/>
      <c r="N243" s="940">
        <f>IFERROR(N242/N240,0)</f>
        <v>0</v>
      </c>
      <c r="O243" s="940"/>
      <c r="P243" s="828">
        <f>IF(N243&gt;=0.15,4,IF(N243&gt;=0.1,3,IF(N243&gt;=0.05,2,0)))</f>
        <v>0</v>
      </c>
      <c r="Q243" s="829"/>
      <c r="W243" s="681">
        <v>4</v>
      </c>
      <c r="X243" s="682"/>
      <c r="Y243" s="20"/>
    </row>
    <row r="244" spans="2:25" x14ac:dyDescent="0.25">
      <c r="B244" s="19"/>
      <c r="Y244" s="20"/>
    </row>
    <row r="245" spans="2:25" x14ac:dyDescent="0.25">
      <c r="B245" s="19"/>
      <c r="Y245" s="20"/>
    </row>
    <row r="246" spans="2:25" x14ac:dyDescent="0.25">
      <c r="B246" s="19"/>
      <c r="D246" s="70" t="s">
        <v>2506</v>
      </c>
      <c r="Y246" s="20"/>
    </row>
    <row r="247" spans="2:25" x14ac:dyDescent="0.25">
      <c r="B247" s="19"/>
      <c r="D247" s="667"/>
      <c r="E247" s="668"/>
      <c r="F247" s="668"/>
      <c r="G247" s="668"/>
      <c r="H247" s="668"/>
      <c r="I247" s="668"/>
      <c r="J247" s="668"/>
      <c r="K247" s="668"/>
      <c r="L247" s="668"/>
      <c r="M247" s="668"/>
      <c r="N247" s="668"/>
      <c r="O247" s="668"/>
      <c r="P247" s="668"/>
      <c r="Q247" s="668"/>
      <c r="R247" s="668"/>
      <c r="S247" s="668"/>
      <c r="T247" s="668"/>
      <c r="U247" s="668"/>
      <c r="V247" s="668"/>
      <c r="W247" s="668"/>
      <c r="X247" s="669"/>
      <c r="Y247" s="20"/>
    </row>
    <row r="248" spans="2:25" x14ac:dyDescent="0.25">
      <c r="B248" s="19"/>
      <c r="D248" s="670"/>
      <c r="E248" s="671"/>
      <c r="F248" s="671"/>
      <c r="G248" s="671"/>
      <c r="H248" s="671"/>
      <c r="I248" s="671"/>
      <c r="J248" s="671"/>
      <c r="K248" s="671"/>
      <c r="L248" s="671"/>
      <c r="M248" s="671"/>
      <c r="N248" s="671"/>
      <c r="O248" s="671"/>
      <c r="P248" s="671"/>
      <c r="Q248" s="671"/>
      <c r="R248" s="671"/>
      <c r="S248" s="671"/>
      <c r="T248" s="671"/>
      <c r="U248" s="671"/>
      <c r="V248" s="671"/>
      <c r="W248" s="671"/>
      <c r="X248" s="672"/>
      <c r="Y248" s="20"/>
    </row>
    <row r="249" spans="2:25" x14ac:dyDescent="0.25">
      <c r="B249" s="19"/>
      <c r="D249" s="670"/>
      <c r="E249" s="671"/>
      <c r="F249" s="671"/>
      <c r="G249" s="671"/>
      <c r="H249" s="671"/>
      <c r="I249" s="671"/>
      <c r="J249" s="671"/>
      <c r="K249" s="671"/>
      <c r="L249" s="671"/>
      <c r="M249" s="671"/>
      <c r="N249" s="671"/>
      <c r="O249" s="671"/>
      <c r="P249" s="671"/>
      <c r="Q249" s="671"/>
      <c r="R249" s="671"/>
      <c r="S249" s="671"/>
      <c r="T249" s="671"/>
      <c r="U249" s="671"/>
      <c r="V249" s="671"/>
      <c r="W249" s="671"/>
      <c r="X249" s="672"/>
      <c r="Y249" s="20"/>
    </row>
    <row r="250" spans="2:25" x14ac:dyDescent="0.25">
      <c r="B250" s="19"/>
      <c r="D250" s="670"/>
      <c r="E250" s="671"/>
      <c r="F250" s="671"/>
      <c r="G250" s="671"/>
      <c r="H250" s="671"/>
      <c r="I250" s="671"/>
      <c r="J250" s="671"/>
      <c r="K250" s="671"/>
      <c r="L250" s="671"/>
      <c r="M250" s="671"/>
      <c r="N250" s="671"/>
      <c r="O250" s="671"/>
      <c r="P250" s="671"/>
      <c r="Q250" s="671"/>
      <c r="R250" s="671"/>
      <c r="S250" s="671"/>
      <c r="T250" s="671"/>
      <c r="U250" s="671"/>
      <c r="V250" s="671"/>
      <c r="W250" s="671"/>
      <c r="X250" s="672"/>
      <c r="Y250" s="20"/>
    </row>
    <row r="251" spans="2:25" x14ac:dyDescent="0.25">
      <c r="B251" s="19"/>
      <c r="D251" s="673"/>
      <c r="E251" s="674"/>
      <c r="F251" s="674"/>
      <c r="G251" s="674"/>
      <c r="H251" s="674"/>
      <c r="I251" s="674"/>
      <c r="J251" s="674"/>
      <c r="K251" s="674"/>
      <c r="L251" s="674"/>
      <c r="M251" s="674"/>
      <c r="N251" s="674"/>
      <c r="O251" s="674"/>
      <c r="P251" s="674"/>
      <c r="Q251" s="674"/>
      <c r="R251" s="674"/>
      <c r="S251" s="674"/>
      <c r="T251" s="674"/>
      <c r="U251" s="674"/>
      <c r="V251" s="674"/>
      <c r="W251" s="674"/>
      <c r="X251" s="675"/>
      <c r="Y251" s="20"/>
    </row>
    <row r="252" spans="2:25" x14ac:dyDescent="0.25">
      <c r="B252" s="19"/>
      <c r="Y252" s="20"/>
    </row>
    <row r="253" spans="2:25" ht="15.75" thickBot="1" x14ac:dyDescent="0.3">
      <c r="B253" s="22"/>
      <c r="C253" s="23"/>
      <c r="D253" s="23"/>
      <c r="E253" s="23"/>
      <c r="F253" s="23"/>
      <c r="G253" s="23"/>
      <c r="H253" s="23"/>
      <c r="I253" s="23"/>
      <c r="J253" s="23"/>
      <c r="K253" s="23"/>
      <c r="L253" s="23"/>
      <c r="M253" s="23"/>
      <c r="N253" s="23"/>
      <c r="O253" s="23"/>
      <c r="P253" s="23"/>
      <c r="Q253" s="23"/>
      <c r="R253" s="23"/>
      <c r="S253" s="23"/>
      <c r="T253" s="23"/>
      <c r="U253" s="23"/>
      <c r="V253" s="23"/>
      <c r="W253" s="23"/>
      <c r="X253" s="23"/>
      <c r="Y253" s="24"/>
    </row>
    <row r="256" spans="2:25" ht="15.75" thickBot="1" x14ac:dyDescent="0.3"/>
    <row r="257" spans="2:25" x14ac:dyDescent="0.25">
      <c r="B257" s="16"/>
      <c r="C257" s="17"/>
      <c r="D257" s="17"/>
      <c r="E257" s="17"/>
      <c r="F257" s="17"/>
      <c r="G257" s="17"/>
      <c r="H257" s="17"/>
      <c r="I257" s="17"/>
      <c r="J257" s="17"/>
      <c r="K257" s="17"/>
      <c r="L257" s="17"/>
      <c r="M257" s="17"/>
      <c r="N257" s="17"/>
      <c r="O257" s="17"/>
      <c r="P257" s="17"/>
      <c r="Q257" s="17"/>
      <c r="R257" s="17"/>
      <c r="S257" s="17"/>
      <c r="T257" s="17"/>
      <c r="U257" s="17"/>
      <c r="V257" s="17"/>
      <c r="W257" s="17"/>
      <c r="X257" s="17"/>
      <c r="Y257" s="18"/>
    </row>
    <row r="258" spans="2:25" x14ac:dyDescent="0.25">
      <c r="B258" s="19"/>
      <c r="Y258" s="20"/>
    </row>
    <row r="259" spans="2:25" x14ac:dyDescent="0.25">
      <c r="B259" s="19"/>
      <c r="C259" s="143" t="s">
        <v>2619</v>
      </c>
      <c r="Y259" s="20"/>
    </row>
    <row r="260" spans="2:25" x14ac:dyDescent="0.25">
      <c r="B260" s="19"/>
      <c r="Y260" s="20"/>
    </row>
    <row r="261" spans="2:25" x14ac:dyDescent="0.25">
      <c r="B261" s="19"/>
      <c r="C261" s="42" t="s">
        <v>607</v>
      </c>
      <c r="Y261" s="20"/>
    </row>
    <row r="262" spans="2:25" x14ac:dyDescent="0.25">
      <c r="B262" s="19"/>
      <c r="C262" t="s">
        <v>2601</v>
      </c>
      <c r="O262" s="941"/>
      <c r="P262" s="942"/>
      <c r="Y262" s="20"/>
    </row>
    <row r="263" spans="2:25" x14ac:dyDescent="0.25">
      <c r="B263" s="19"/>
      <c r="C263" s="42" t="s">
        <v>2530</v>
      </c>
      <c r="Y263" s="20"/>
    </row>
    <row r="264" spans="2:25" x14ac:dyDescent="0.25">
      <c r="B264" s="19"/>
      <c r="C264" s="70" t="s">
        <v>2602</v>
      </c>
      <c r="Y264" s="20"/>
    </row>
    <row r="265" spans="2:25" x14ac:dyDescent="0.25">
      <c r="B265" s="19"/>
      <c r="D265" s="400" t="s">
        <v>2511</v>
      </c>
      <c r="E265" s="401"/>
      <c r="F265" s="401"/>
      <c r="G265" s="401"/>
      <c r="H265" s="401"/>
      <c r="I265" s="401"/>
      <c r="J265" s="401"/>
      <c r="K265" s="401"/>
      <c r="L265" s="401"/>
      <c r="M265" s="401"/>
      <c r="N265" s="401"/>
      <c r="O265" s="836" t="s">
        <v>2604</v>
      </c>
      <c r="P265" s="943"/>
      <c r="Q265" s="943"/>
      <c r="R265" s="943"/>
      <c r="S265" s="943"/>
      <c r="T265" s="835"/>
      <c r="Y265" s="20"/>
    </row>
    <row r="266" spans="2:25" x14ac:dyDescent="0.25">
      <c r="B266" s="19"/>
      <c r="D266" s="400" t="s">
        <v>2512</v>
      </c>
      <c r="E266" s="401"/>
      <c r="F266" s="401"/>
      <c r="G266" s="401"/>
      <c r="H266" s="401"/>
      <c r="I266" s="401"/>
      <c r="J266" s="401"/>
      <c r="K266" s="401"/>
      <c r="L266" s="401"/>
      <c r="M266" s="401"/>
      <c r="N266" s="401"/>
      <c r="O266" s="944"/>
      <c r="P266" s="945"/>
      <c r="R266" s="143"/>
      <c r="Y266" s="20"/>
    </row>
    <row r="267" spans="2:25" x14ac:dyDescent="0.25">
      <c r="B267" s="19"/>
      <c r="C267" s="70" t="s">
        <v>2603</v>
      </c>
      <c r="Y267" s="20"/>
    </row>
    <row r="268" spans="2:25" x14ac:dyDescent="0.25">
      <c r="B268" s="19"/>
      <c r="D268" s="400" t="s">
        <v>2511</v>
      </c>
      <c r="E268" s="401"/>
      <c r="F268" s="401"/>
      <c r="G268" s="401"/>
      <c r="H268" s="401"/>
      <c r="I268" s="401"/>
      <c r="J268" s="401"/>
      <c r="K268" s="401"/>
      <c r="L268" s="401"/>
      <c r="M268" s="401"/>
      <c r="N268" s="401"/>
      <c r="O268" s="836" t="s">
        <v>2605</v>
      </c>
      <c r="P268" s="943"/>
      <c r="Q268" s="943"/>
      <c r="R268" s="943"/>
      <c r="S268" s="943"/>
      <c r="T268" s="835"/>
      <c r="Y268" s="20"/>
    </row>
    <row r="269" spans="2:25" x14ac:dyDescent="0.25">
      <c r="B269" s="19"/>
      <c r="D269" s="400" t="s">
        <v>2512</v>
      </c>
      <c r="E269" s="401"/>
      <c r="F269" s="401"/>
      <c r="G269" s="401"/>
      <c r="H269" s="401"/>
      <c r="I269" s="401"/>
      <c r="J269" s="401"/>
      <c r="K269" s="401"/>
      <c r="L269" s="401"/>
      <c r="M269" s="401"/>
      <c r="N269" s="401"/>
      <c r="O269" s="944"/>
      <c r="P269" s="945"/>
      <c r="R269" s="143"/>
      <c r="Y269" s="20"/>
    </row>
    <row r="270" spans="2:25" x14ac:dyDescent="0.25">
      <c r="B270" s="19"/>
      <c r="C270" s="42" t="s">
        <v>2565</v>
      </c>
      <c r="D270" s="402"/>
      <c r="E270" s="402"/>
      <c r="F270" s="402"/>
      <c r="G270" s="402"/>
      <c r="H270" s="402"/>
      <c r="I270" s="402"/>
      <c r="J270" s="402"/>
      <c r="K270" s="402"/>
      <c r="L270" s="402"/>
      <c r="M270" s="402"/>
      <c r="N270" s="402"/>
      <c r="O270" s="421"/>
      <c r="P270" s="421"/>
      <c r="R270" s="143"/>
      <c r="Y270" s="20"/>
    </row>
    <row r="271" spans="2:25" x14ac:dyDescent="0.25">
      <c r="B271" s="19"/>
      <c r="C271" s="70" t="s">
        <v>2602</v>
      </c>
      <c r="O271" s="422"/>
      <c r="P271" s="422"/>
      <c r="Y271" s="20"/>
    </row>
    <row r="272" spans="2:25" x14ac:dyDescent="0.25">
      <c r="B272" s="19"/>
      <c r="C272" s="946" t="s">
        <v>2606</v>
      </c>
      <c r="D272" s="946"/>
      <c r="E272" s="946"/>
      <c r="F272" s="946"/>
      <c r="G272" s="946"/>
      <c r="H272" s="946"/>
      <c r="I272" s="946"/>
      <c r="J272" s="946"/>
      <c r="K272" s="946"/>
      <c r="L272" s="946"/>
      <c r="M272" s="946"/>
      <c r="N272" s="947"/>
      <c r="O272" s="948">
        <f>IF(ISBLANK(O262),0,ROUND($O$262/100*$O$288,2))</f>
        <v>0</v>
      </c>
      <c r="P272" s="949"/>
      <c r="Y272" s="20"/>
    </row>
    <row r="273" spans="2:38" ht="15" customHeight="1" x14ac:dyDescent="0.25">
      <c r="B273" s="19"/>
      <c r="C273" s="946" t="s">
        <v>2527</v>
      </c>
      <c r="D273" s="946"/>
      <c r="E273" s="946"/>
      <c r="F273" s="946"/>
      <c r="G273" s="946"/>
      <c r="H273" s="946"/>
      <c r="I273" s="946"/>
      <c r="J273" s="946"/>
      <c r="K273" s="946"/>
      <c r="L273" s="946"/>
      <c r="M273" s="946"/>
      <c r="N273" s="947"/>
      <c r="O273" s="830"/>
      <c r="P273" s="831"/>
      <c r="Q273" s="65" t="s">
        <v>384</v>
      </c>
      <c r="R273" s="143" t="str">
        <f>IF(O273&gt;O272,"Attention : surface saisie &gt; SAU hors cultures pérennes en zone vulnérable","")</f>
        <v/>
      </c>
      <c r="Y273" s="20"/>
    </row>
    <row r="274" spans="2:38" ht="15" customHeight="1" x14ac:dyDescent="0.25">
      <c r="B274" s="19"/>
      <c r="C274" s="176" t="s">
        <v>2566</v>
      </c>
      <c r="D274" s="176"/>
      <c r="E274" s="176"/>
      <c r="F274" s="176"/>
      <c r="G274" s="176"/>
      <c r="H274" s="176"/>
      <c r="I274" s="176"/>
      <c r="J274" s="176"/>
      <c r="K274" s="176"/>
      <c r="L274" s="176"/>
      <c r="M274" s="176"/>
      <c r="N274" s="176"/>
      <c r="O274" s="830"/>
      <c r="P274" s="831"/>
      <c r="Y274" s="20"/>
    </row>
    <row r="275" spans="2:38" x14ac:dyDescent="0.25">
      <c r="B275" s="19"/>
      <c r="C275" s="70" t="s">
        <v>2603</v>
      </c>
      <c r="Y275" s="20"/>
    </row>
    <row r="276" spans="2:38" x14ac:dyDescent="0.25">
      <c r="B276" s="19"/>
      <c r="C276" s="946" t="s">
        <v>2606</v>
      </c>
      <c r="D276" s="946"/>
      <c r="E276" s="946"/>
      <c r="F276" s="946"/>
      <c r="G276" s="946"/>
      <c r="H276" s="946"/>
      <c r="I276" s="946"/>
      <c r="J276" s="946"/>
      <c r="K276" s="946"/>
      <c r="L276" s="946"/>
      <c r="M276" s="946"/>
      <c r="N276" s="947"/>
      <c r="O276" s="948">
        <f>IF(ISBLANK(O262),0,ROUND((1-$O$262/100)*$O$288,2))</f>
        <v>0</v>
      </c>
      <c r="P276" s="949"/>
      <c r="Y276" s="20"/>
    </row>
    <row r="277" spans="2:38" ht="15" customHeight="1" x14ac:dyDescent="0.25">
      <c r="B277" s="19"/>
      <c r="C277" s="946" t="s">
        <v>2527</v>
      </c>
      <c r="D277" s="946"/>
      <c r="E277" s="946"/>
      <c r="F277" s="946"/>
      <c r="G277" s="946"/>
      <c r="H277" s="946"/>
      <c r="I277" s="946"/>
      <c r="J277" s="946"/>
      <c r="K277" s="946"/>
      <c r="L277" s="946"/>
      <c r="M277" s="946"/>
      <c r="N277" s="947"/>
      <c r="O277" s="830"/>
      <c r="P277" s="831"/>
      <c r="Q277" s="65" t="s">
        <v>384</v>
      </c>
      <c r="R277" s="143" t="str">
        <f>IF(O277&gt;O276,"Attention : surface saisie &gt; SAU hors cultures pérennes hors zone vulnérable","")</f>
        <v/>
      </c>
      <c r="Y277" s="20"/>
    </row>
    <row r="278" spans="2:38" ht="15" customHeight="1" x14ac:dyDescent="0.25">
      <c r="B278" s="19"/>
      <c r="C278" s="176" t="s">
        <v>2566</v>
      </c>
      <c r="D278" s="176"/>
      <c r="E278" s="176"/>
      <c r="F278" s="176"/>
      <c r="G278" s="176"/>
      <c r="H278" s="176"/>
      <c r="I278" s="176"/>
      <c r="J278" s="176"/>
      <c r="K278" s="176"/>
      <c r="L278" s="176"/>
      <c r="M278" s="176"/>
      <c r="N278" s="176"/>
      <c r="O278" s="830"/>
      <c r="P278" s="831"/>
      <c r="Y278" s="20"/>
    </row>
    <row r="279" spans="2:38" x14ac:dyDescent="0.25">
      <c r="B279" s="19"/>
      <c r="C279" s="170"/>
      <c r="D279" s="170"/>
      <c r="E279" s="170"/>
      <c r="F279" s="170"/>
      <c r="G279" s="170"/>
      <c r="H279" s="170"/>
      <c r="I279" s="170"/>
      <c r="J279" s="170"/>
      <c r="K279" s="170"/>
      <c r="L279" s="170"/>
      <c r="M279" s="170"/>
      <c r="N279" s="170"/>
      <c r="O279" s="36"/>
      <c r="P279" s="36"/>
      <c r="Y279" s="20"/>
    </row>
    <row r="280" spans="2:38" x14ac:dyDescent="0.25">
      <c r="B280" s="19"/>
      <c r="C280" s="42" t="s">
        <v>2567</v>
      </c>
      <c r="Y280" s="20"/>
    </row>
    <row r="281" spans="2:38" x14ac:dyDescent="0.25">
      <c r="B281" s="19"/>
      <c r="C281" s="47" t="s">
        <v>2346</v>
      </c>
      <c r="D281" s="47"/>
      <c r="E281" s="47"/>
      <c r="F281" s="47"/>
      <c r="G281" s="47"/>
      <c r="H281" s="47"/>
      <c r="I281" s="47"/>
      <c r="J281" s="47"/>
      <c r="K281" s="47"/>
      <c r="L281" s="47"/>
      <c r="M281" s="47"/>
      <c r="N281" s="43"/>
      <c r="O281" s="826">
        <f>Phyto!J315</f>
        <v>0</v>
      </c>
      <c r="P281" s="827"/>
      <c r="Q281" s="652"/>
      <c r="R281" s="652"/>
      <c r="Y281" s="20"/>
    </row>
    <row r="282" spans="2:38" x14ac:dyDescent="0.25">
      <c r="B282" s="19"/>
      <c r="C282" s="48" t="s">
        <v>2347</v>
      </c>
      <c r="D282" s="48"/>
      <c r="E282" s="48"/>
      <c r="F282" s="48"/>
      <c r="G282" s="48"/>
      <c r="H282" s="48"/>
      <c r="I282" s="48"/>
      <c r="J282" s="48"/>
      <c r="K282" s="48"/>
      <c r="L282" s="48"/>
      <c r="M282" s="48"/>
      <c r="N282" s="44"/>
      <c r="O282" s="826">
        <f>Phyto!J316</f>
        <v>0</v>
      </c>
      <c r="P282" s="827"/>
      <c r="Q282" s="171"/>
      <c r="R282" s="171"/>
      <c r="Y282" s="20"/>
    </row>
    <row r="283" spans="2:38" x14ac:dyDescent="0.25">
      <c r="B283" s="19"/>
      <c r="C283" s="48" t="s">
        <v>2411</v>
      </c>
      <c r="D283" s="48"/>
      <c r="E283" s="48"/>
      <c r="F283" s="48"/>
      <c r="G283" s="48"/>
      <c r="H283" s="48"/>
      <c r="I283" s="48"/>
      <c r="J283" s="48"/>
      <c r="K283" s="48"/>
      <c r="L283" s="48"/>
      <c r="M283" s="48"/>
      <c r="N283" s="44"/>
      <c r="O283" s="830"/>
      <c r="P283" s="831"/>
      <c r="Q283" s="171"/>
      <c r="R283" s="171"/>
      <c r="Y283" s="20"/>
    </row>
    <row r="284" spans="2:38" x14ac:dyDescent="0.25">
      <c r="B284" s="19"/>
      <c r="Y284" s="20"/>
    </row>
    <row r="285" spans="2:38" x14ac:dyDescent="0.25">
      <c r="B285" s="19"/>
      <c r="Y285" s="20"/>
    </row>
    <row r="286" spans="2:38" x14ac:dyDescent="0.25">
      <c r="B286" s="19"/>
      <c r="C286" s="42"/>
      <c r="Q286" s="651" t="s">
        <v>239</v>
      </c>
      <c r="R286" s="651"/>
      <c r="Y286" s="20"/>
    </row>
    <row r="287" spans="2:38" x14ac:dyDescent="0.25">
      <c r="B287" s="19"/>
      <c r="Q287" s="96"/>
      <c r="R287" s="96"/>
      <c r="Y287" s="20"/>
      <c r="AH287" t="s">
        <v>248</v>
      </c>
      <c r="AI287" t="s">
        <v>2515</v>
      </c>
      <c r="AJ287">
        <v>100</v>
      </c>
    </row>
    <row r="288" spans="2:38" x14ac:dyDescent="0.25">
      <c r="B288" s="19"/>
      <c r="D288" s="77" t="s">
        <v>2386</v>
      </c>
      <c r="E288" s="77"/>
      <c r="F288" s="77"/>
      <c r="G288" s="77"/>
      <c r="H288" s="77"/>
      <c r="I288" s="77"/>
      <c r="J288" s="77"/>
      <c r="K288" s="77"/>
      <c r="L288" s="77"/>
      <c r="M288" s="77"/>
      <c r="N288" s="102"/>
      <c r="O288" s="852">
        <f>Surfaces!O24-Surfaces!O136-(SUM(Surfaces!O141:O158,Surfaces!O161))-(Surfaces!O197-Surfaces!O196)</f>
        <v>0</v>
      </c>
      <c r="P288" s="950"/>
      <c r="Y288" s="20"/>
      <c r="AH288" t="s">
        <v>2514</v>
      </c>
      <c r="AI288">
        <f>IF(O274=9,0.5,IF(O274=10,1,IF(O274=11,1.5,IF(O274&gt;=12,2,0))))</f>
        <v>0</v>
      </c>
      <c r="AJ288">
        <f>IF(O274=9,1,IF(O274=10,2,IF(O274=11,3,IF(O274&gt;=12,4,0))))</f>
        <v>0</v>
      </c>
      <c r="AL288" s="129"/>
    </row>
    <row r="289" spans="2:36" x14ac:dyDescent="0.25">
      <c r="B289" s="19"/>
      <c r="D289" s="78" t="s">
        <v>2607</v>
      </c>
      <c r="E289" s="78"/>
      <c r="F289" s="78"/>
      <c r="G289" s="78"/>
      <c r="H289" s="78"/>
      <c r="I289" s="78"/>
      <c r="J289" s="78"/>
      <c r="K289" s="78"/>
      <c r="L289" s="78"/>
      <c r="M289" s="78"/>
      <c r="N289" s="103"/>
      <c r="O289" s="940">
        <f>IFERROR(ROUND(O273/O272,2),0)</f>
        <v>0</v>
      </c>
      <c r="P289" s="940"/>
      <c r="Q289" s="837">
        <f>IF(O266="Oui",IF(O289=1,AJ288,IF(AND(O289&gt;=0.75,O289&lt;1),AI288,0)),0)</f>
        <v>0</v>
      </c>
      <c r="R289" s="838"/>
      <c r="Y289" s="20"/>
      <c r="AB289" s="152"/>
      <c r="AH289" t="s">
        <v>2513</v>
      </c>
      <c r="AI289">
        <f>IF(O278=7,0.5,IF(O278=8,1,IF(O278=9,1.5,IF(O278&gt;=10,2,0))))</f>
        <v>0</v>
      </c>
      <c r="AJ289">
        <f>IF(O278=7,1,IF(O278=8,2,IF(O278=9,3,IF(O278&gt;=10,4,0))))</f>
        <v>0</v>
      </c>
    </row>
    <row r="290" spans="2:36" x14ac:dyDescent="0.25">
      <c r="B290" s="19"/>
      <c r="D290" s="78" t="s">
        <v>2608</v>
      </c>
      <c r="E290" s="78"/>
      <c r="F290" s="78"/>
      <c r="G290" s="78"/>
      <c r="H290" s="78"/>
      <c r="I290" s="78"/>
      <c r="J290" s="78"/>
      <c r="K290" s="78"/>
      <c r="L290" s="78"/>
      <c r="M290" s="78"/>
      <c r="N290" s="103"/>
      <c r="O290" s="940">
        <f>IFERROR(ROUND(O277/O276,2),0)</f>
        <v>0</v>
      </c>
      <c r="P290" s="940"/>
      <c r="Q290" s="837">
        <f>IF(O269="Oui",IF(O290=1,AJ289,IF(AND(O290&gt;=0.75,O290&lt;1),AI289,0)),0)</f>
        <v>0</v>
      </c>
      <c r="R290" s="838"/>
      <c r="Y290" s="20"/>
      <c r="AB290" s="152"/>
    </row>
    <row r="291" spans="2:36" x14ac:dyDescent="0.25">
      <c r="B291" s="19"/>
      <c r="D291" s="78" t="s">
        <v>2349</v>
      </c>
      <c r="E291" s="78"/>
      <c r="F291" s="78"/>
      <c r="G291" s="78"/>
      <c r="H291" s="78"/>
      <c r="I291" s="78"/>
      <c r="J291" s="78"/>
      <c r="K291" s="78"/>
      <c r="L291" s="78"/>
      <c r="M291" s="78"/>
      <c r="N291" s="103"/>
      <c r="O291" s="822">
        <f>Phyto!J325</f>
        <v>0</v>
      </c>
      <c r="P291" s="823"/>
      <c r="Q291" s="837">
        <f>Phyto!L325</f>
        <v>0</v>
      </c>
      <c r="R291" s="838"/>
      <c r="Y291" s="20"/>
    </row>
    <row r="292" spans="2:36" x14ac:dyDescent="0.25">
      <c r="B292" s="19"/>
      <c r="D292" s="78" t="s">
        <v>2350</v>
      </c>
      <c r="E292" s="78"/>
      <c r="F292" s="78"/>
      <c r="G292" s="78"/>
      <c r="H292" s="78"/>
      <c r="I292" s="78"/>
      <c r="J292" s="78"/>
      <c r="K292" s="78"/>
      <c r="L292" s="78"/>
      <c r="M292" s="78"/>
      <c r="N292" s="103"/>
      <c r="O292" s="940">
        <f>Phyto!J326</f>
        <v>0</v>
      </c>
      <c r="P292" s="940"/>
      <c r="Q292" s="837">
        <f>Phyto!L326</f>
        <v>0</v>
      </c>
      <c r="R292" s="838"/>
      <c r="Y292" s="20"/>
    </row>
    <row r="293" spans="2:36" x14ac:dyDescent="0.25">
      <c r="B293" s="19"/>
      <c r="D293" s="78" t="s">
        <v>2351</v>
      </c>
      <c r="E293" s="78"/>
      <c r="F293" s="78"/>
      <c r="G293" s="78"/>
      <c r="H293" s="78"/>
      <c r="I293" s="78"/>
      <c r="J293" s="78"/>
      <c r="K293" s="78"/>
      <c r="L293" s="78"/>
      <c r="M293" s="78"/>
      <c r="N293" s="103"/>
      <c r="O293" s="940">
        <f>Phyto!J327</f>
        <v>0</v>
      </c>
      <c r="P293" s="940"/>
      <c r="Q293" s="837">
        <f>Phyto!L327</f>
        <v>0</v>
      </c>
      <c r="R293" s="838"/>
      <c r="Y293" s="20"/>
    </row>
    <row r="294" spans="2:36" x14ac:dyDescent="0.25">
      <c r="B294" s="19"/>
      <c r="Q294" s="143"/>
      <c r="Y294" s="20"/>
    </row>
    <row r="295" spans="2:36" x14ac:dyDescent="0.25">
      <c r="B295" s="19"/>
      <c r="D295" s="77" t="s">
        <v>2609</v>
      </c>
      <c r="E295" s="77"/>
      <c r="F295" s="77"/>
      <c r="G295" s="77"/>
      <c r="H295" s="77"/>
      <c r="I295" s="77"/>
      <c r="J295" s="77"/>
      <c r="K295" s="77"/>
      <c r="L295" s="77"/>
      <c r="M295" s="77"/>
      <c r="N295" s="102"/>
      <c r="O295" s="940">
        <f>IFERROR(O272/Surfaces!O24,0)</f>
        <v>0</v>
      </c>
      <c r="P295" s="940"/>
      <c r="Q295" s="828">
        <f>IFERROR(Q289*O295,0)</f>
        <v>0</v>
      </c>
      <c r="R295" s="829"/>
      <c r="W295" s="305"/>
      <c r="X295" s="305"/>
      <c r="Y295" s="20"/>
    </row>
    <row r="296" spans="2:36" x14ac:dyDescent="0.25">
      <c r="B296" s="19"/>
      <c r="D296" s="77" t="s">
        <v>2610</v>
      </c>
      <c r="E296" s="77"/>
      <c r="F296" s="77"/>
      <c r="G296" s="77"/>
      <c r="H296" s="77"/>
      <c r="I296" s="77"/>
      <c r="J296" s="77"/>
      <c r="K296" s="77"/>
      <c r="L296" s="77"/>
      <c r="M296" s="77"/>
      <c r="N296" s="102"/>
      <c r="O296" s="940">
        <f>IFERROR(O276/Surfaces!O24,0)</f>
        <v>0</v>
      </c>
      <c r="P296" s="940"/>
      <c r="Q296" s="828">
        <f>IFERROR(Q290*O296,0)</f>
        <v>0</v>
      </c>
      <c r="R296" s="829"/>
      <c r="W296" s="305"/>
      <c r="X296" s="305"/>
      <c r="Y296" s="20"/>
    </row>
    <row r="297" spans="2:36" x14ac:dyDescent="0.25">
      <c r="B297" s="19"/>
      <c r="D297" s="78" t="s">
        <v>2568</v>
      </c>
      <c r="E297" s="78"/>
      <c r="F297" s="78"/>
      <c r="G297" s="78"/>
      <c r="H297" s="78"/>
      <c r="I297" s="78"/>
      <c r="J297" s="78"/>
      <c r="K297" s="78"/>
      <c r="L297" s="78"/>
      <c r="M297" s="78"/>
      <c r="N297" s="103"/>
      <c r="O297" s="940">
        <f>IFERROR(Phyto!J322/cSAU,0)</f>
        <v>0</v>
      </c>
      <c r="P297" s="940"/>
      <c r="Q297" s="828">
        <f>IFERROR(Q291*O297,0)</f>
        <v>0</v>
      </c>
      <c r="R297" s="829"/>
      <c r="Y297" s="20"/>
    </row>
    <row r="298" spans="2:36" x14ac:dyDescent="0.25">
      <c r="B298" s="19"/>
      <c r="D298" s="77" t="s">
        <v>2528</v>
      </c>
      <c r="E298" s="77"/>
      <c r="F298" s="77"/>
      <c r="G298" s="77"/>
      <c r="H298" s="77"/>
      <c r="I298" s="77"/>
      <c r="J298" s="77"/>
      <c r="K298" s="77"/>
      <c r="L298" s="77"/>
      <c r="M298" s="77"/>
      <c r="N298" s="77"/>
      <c r="O298" s="940">
        <f>IFERROR(Phyto!J323/cSAU,0)</f>
        <v>0</v>
      </c>
      <c r="P298" s="940"/>
      <c r="Q298" s="828">
        <f>IFERROR(Q292*O298,0)</f>
        <v>0</v>
      </c>
      <c r="R298" s="829"/>
      <c r="W298" s="305"/>
      <c r="X298" s="305"/>
      <c r="Y298" s="20"/>
    </row>
    <row r="299" spans="2:36" x14ac:dyDescent="0.25">
      <c r="B299" s="19"/>
      <c r="D299" s="77" t="s">
        <v>2529</v>
      </c>
      <c r="E299" s="77"/>
      <c r="F299" s="77"/>
      <c r="G299" s="77"/>
      <c r="H299" s="77"/>
      <c r="I299" s="77"/>
      <c r="J299" s="77"/>
      <c r="K299" s="77"/>
      <c r="L299" s="77"/>
      <c r="M299" s="77"/>
      <c r="N299" s="77"/>
      <c r="O299" s="940">
        <f>IFERROR(Phyto!J324/cSAU,0)</f>
        <v>0</v>
      </c>
      <c r="P299" s="940"/>
      <c r="Q299" s="828">
        <f>IFERROR(Q293*O299,0)</f>
        <v>0</v>
      </c>
      <c r="R299" s="829"/>
      <c r="W299" s="951" t="s">
        <v>713</v>
      </c>
      <c r="X299" s="951"/>
      <c r="Y299" s="20"/>
    </row>
    <row r="300" spans="2:36" x14ac:dyDescent="0.25">
      <c r="B300" s="19"/>
      <c r="D300" s="151" t="s">
        <v>421</v>
      </c>
      <c r="E300" s="40"/>
      <c r="F300" s="40"/>
      <c r="G300" s="40"/>
      <c r="H300" s="40"/>
      <c r="I300" s="40"/>
      <c r="J300" s="40"/>
      <c r="K300" s="40"/>
      <c r="L300" s="40"/>
      <c r="M300" s="40"/>
      <c r="N300" s="40"/>
      <c r="O300" s="178"/>
      <c r="P300" s="45"/>
      <c r="Q300" s="828">
        <f>SUM(Q295:R299)</f>
        <v>0</v>
      </c>
      <c r="R300" s="829"/>
      <c r="W300" s="681">
        <f>IF(cSAU=0,7,(4*(O295+O296)+3*(O297+O298+O299)))</f>
        <v>7</v>
      </c>
      <c r="X300" s="682"/>
      <c r="Y300" s="20"/>
    </row>
    <row r="301" spans="2:36" x14ac:dyDescent="0.25">
      <c r="B301" s="19"/>
      <c r="O301" s="143"/>
      <c r="Q301" s="143"/>
      <c r="Y301" s="20"/>
    </row>
    <row r="302" spans="2:36" x14ac:dyDescent="0.25">
      <c r="B302" s="19"/>
      <c r="O302" s="143"/>
      <c r="Q302" s="143"/>
      <c r="Y302" s="20"/>
    </row>
    <row r="303" spans="2:36" x14ac:dyDescent="0.25">
      <c r="B303" s="19"/>
      <c r="D303" s="70" t="s">
        <v>2506</v>
      </c>
      <c r="Y303" s="20"/>
    </row>
    <row r="304" spans="2:36" x14ac:dyDescent="0.25">
      <c r="B304" s="19"/>
      <c r="D304" s="667"/>
      <c r="E304" s="668"/>
      <c r="F304" s="668"/>
      <c r="G304" s="668"/>
      <c r="H304" s="668"/>
      <c r="I304" s="668"/>
      <c r="J304" s="668"/>
      <c r="K304" s="668"/>
      <c r="L304" s="668"/>
      <c r="M304" s="668"/>
      <c r="N304" s="668"/>
      <c r="O304" s="668"/>
      <c r="P304" s="668"/>
      <c r="Q304" s="668"/>
      <c r="R304" s="668"/>
      <c r="S304" s="668"/>
      <c r="T304" s="668"/>
      <c r="U304" s="668"/>
      <c r="V304" s="668"/>
      <c r="W304" s="668"/>
      <c r="X304" s="669"/>
      <c r="Y304" s="20"/>
    </row>
    <row r="305" spans="2:25" x14ac:dyDescent="0.25">
      <c r="B305" s="19"/>
      <c r="D305" s="670"/>
      <c r="E305" s="671"/>
      <c r="F305" s="671"/>
      <c r="G305" s="671"/>
      <c r="H305" s="671"/>
      <c r="I305" s="671"/>
      <c r="J305" s="671"/>
      <c r="K305" s="671"/>
      <c r="L305" s="671"/>
      <c r="M305" s="671"/>
      <c r="N305" s="671"/>
      <c r="O305" s="671"/>
      <c r="P305" s="671"/>
      <c r="Q305" s="671"/>
      <c r="R305" s="671"/>
      <c r="S305" s="671"/>
      <c r="T305" s="671"/>
      <c r="U305" s="671"/>
      <c r="V305" s="671"/>
      <c r="W305" s="671"/>
      <c r="X305" s="672"/>
      <c r="Y305" s="20"/>
    </row>
    <row r="306" spans="2:25" x14ac:dyDescent="0.25">
      <c r="B306" s="19"/>
      <c r="D306" s="670"/>
      <c r="E306" s="671"/>
      <c r="F306" s="671"/>
      <c r="G306" s="671"/>
      <c r="H306" s="671"/>
      <c r="I306" s="671"/>
      <c r="J306" s="671"/>
      <c r="K306" s="671"/>
      <c r="L306" s="671"/>
      <c r="M306" s="671"/>
      <c r="N306" s="671"/>
      <c r="O306" s="671"/>
      <c r="P306" s="671"/>
      <c r="Q306" s="671"/>
      <c r="R306" s="671"/>
      <c r="S306" s="671"/>
      <c r="T306" s="671"/>
      <c r="U306" s="671"/>
      <c r="V306" s="671"/>
      <c r="W306" s="671"/>
      <c r="X306" s="672"/>
      <c r="Y306" s="20"/>
    </row>
    <row r="307" spans="2:25" x14ac:dyDescent="0.25">
      <c r="B307" s="19"/>
      <c r="D307" s="670"/>
      <c r="E307" s="671"/>
      <c r="F307" s="671"/>
      <c r="G307" s="671"/>
      <c r="H307" s="671"/>
      <c r="I307" s="671"/>
      <c r="J307" s="671"/>
      <c r="K307" s="671"/>
      <c r="L307" s="671"/>
      <c r="M307" s="671"/>
      <c r="N307" s="671"/>
      <c r="O307" s="671"/>
      <c r="P307" s="671"/>
      <c r="Q307" s="671"/>
      <c r="R307" s="671"/>
      <c r="S307" s="671"/>
      <c r="T307" s="671"/>
      <c r="U307" s="671"/>
      <c r="V307" s="671"/>
      <c r="W307" s="671"/>
      <c r="X307" s="672"/>
      <c r="Y307" s="20"/>
    </row>
    <row r="308" spans="2:25" x14ac:dyDescent="0.25">
      <c r="B308" s="19"/>
      <c r="D308" s="673"/>
      <c r="E308" s="674"/>
      <c r="F308" s="674"/>
      <c r="G308" s="674"/>
      <c r="H308" s="674"/>
      <c r="I308" s="674"/>
      <c r="J308" s="674"/>
      <c r="K308" s="674"/>
      <c r="L308" s="674"/>
      <c r="M308" s="674"/>
      <c r="N308" s="674"/>
      <c r="O308" s="674"/>
      <c r="P308" s="674"/>
      <c r="Q308" s="674"/>
      <c r="R308" s="674"/>
      <c r="S308" s="674"/>
      <c r="T308" s="674"/>
      <c r="U308" s="674"/>
      <c r="V308" s="674"/>
      <c r="W308" s="674"/>
      <c r="X308" s="675"/>
      <c r="Y308" s="20"/>
    </row>
    <row r="309" spans="2:25" x14ac:dyDescent="0.25">
      <c r="B309" s="19"/>
      <c r="O309" s="143"/>
      <c r="Q309" s="143"/>
      <c r="Y309" s="20"/>
    </row>
    <row r="310" spans="2:25" ht="15.75" thickBot="1" x14ac:dyDescent="0.3">
      <c r="B310" s="22"/>
      <c r="C310" s="23"/>
      <c r="D310" s="23"/>
      <c r="E310" s="23"/>
      <c r="F310" s="23"/>
      <c r="G310" s="23"/>
      <c r="H310" s="23"/>
      <c r="I310" s="23"/>
      <c r="J310" s="23"/>
      <c r="K310" s="23"/>
      <c r="L310" s="23"/>
      <c r="M310" s="23"/>
      <c r="N310" s="23"/>
      <c r="O310" s="23"/>
      <c r="P310" s="23"/>
      <c r="Q310" s="23"/>
      <c r="R310" s="23"/>
      <c r="S310" s="23"/>
      <c r="T310" s="23"/>
      <c r="U310" s="23"/>
      <c r="V310" s="23"/>
      <c r="W310" s="23"/>
      <c r="X310" s="23"/>
      <c r="Y310" s="24"/>
    </row>
    <row r="313" spans="2:25" ht="15.75" thickBot="1" x14ac:dyDescent="0.3"/>
    <row r="314" spans="2:25" x14ac:dyDescent="0.25">
      <c r="B314" s="16"/>
      <c r="C314" s="17"/>
      <c r="D314" s="17"/>
      <c r="E314" s="17"/>
      <c r="F314" s="17"/>
      <c r="G314" s="17"/>
      <c r="H314" s="17"/>
      <c r="I314" s="17"/>
      <c r="J314" s="17"/>
      <c r="K314" s="17"/>
      <c r="L314" s="17"/>
      <c r="M314" s="17"/>
      <c r="N314" s="17"/>
      <c r="O314" s="17"/>
      <c r="P314" s="17"/>
      <c r="Q314" s="17"/>
      <c r="R314" s="17"/>
      <c r="S314" s="17"/>
      <c r="T314" s="17"/>
      <c r="U314" s="17"/>
      <c r="V314" s="17"/>
      <c r="W314" s="17"/>
      <c r="X314" s="17"/>
      <c r="Y314" s="18"/>
    </row>
    <row r="315" spans="2:25" x14ac:dyDescent="0.25">
      <c r="B315" s="19"/>
      <c r="O315" s="65"/>
      <c r="P315" s="65"/>
      <c r="Y315" s="20"/>
    </row>
    <row r="316" spans="2:25" x14ac:dyDescent="0.25">
      <c r="B316" s="19"/>
      <c r="C316" s="143" t="s">
        <v>2585</v>
      </c>
      <c r="O316" s="65"/>
      <c r="P316" s="65"/>
      <c r="Y316" s="20"/>
    </row>
    <row r="317" spans="2:25" x14ac:dyDescent="0.25">
      <c r="B317" s="19"/>
      <c r="O317" s="652" t="s">
        <v>339</v>
      </c>
      <c r="P317" s="652"/>
      <c r="Y317" s="20"/>
    </row>
    <row r="318" spans="2:25" x14ac:dyDescent="0.25">
      <c r="B318" s="19"/>
      <c r="C318" s="47" t="s">
        <v>2387</v>
      </c>
      <c r="D318" s="47"/>
      <c r="E318" s="47"/>
      <c r="F318" s="47"/>
      <c r="G318" s="47"/>
      <c r="H318" s="47"/>
      <c r="I318" s="47"/>
      <c r="J318" s="47"/>
      <c r="K318" s="47"/>
      <c r="L318" s="47"/>
      <c r="M318" s="47"/>
      <c r="N318" s="43"/>
      <c r="O318" s="830"/>
      <c r="P318" s="831"/>
      <c r="R318" s="143" t="str">
        <f>IF(O318&gt;O322,"Attention : surface saisie &gt; surface en horticulture","")</f>
        <v/>
      </c>
      <c r="Y318" s="20"/>
    </row>
    <row r="319" spans="2:25" x14ac:dyDescent="0.25">
      <c r="B319" s="19"/>
      <c r="Y319" s="20"/>
    </row>
    <row r="320" spans="2:25" x14ac:dyDescent="0.25">
      <c r="B320" s="19"/>
      <c r="C320" s="42"/>
      <c r="Q320" s="651" t="s">
        <v>239</v>
      </c>
      <c r="R320" s="651"/>
      <c r="Y320" s="20"/>
    </row>
    <row r="321" spans="2:25" x14ac:dyDescent="0.25">
      <c r="B321" s="19"/>
      <c r="Q321" s="96"/>
      <c r="R321" s="96"/>
      <c r="Y321" s="20"/>
    </row>
    <row r="322" spans="2:25" x14ac:dyDescent="0.25">
      <c r="B322" s="19"/>
      <c r="D322" s="77" t="s">
        <v>2388</v>
      </c>
      <c r="E322" s="77"/>
      <c r="F322" s="77"/>
      <c r="G322" s="77"/>
      <c r="H322" s="77"/>
      <c r="I322" s="77"/>
      <c r="J322" s="77"/>
      <c r="K322" s="77"/>
      <c r="L322" s="77"/>
      <c r="M322" s="77"/>
      <c r="N322" s="102"/>
      <c r="O322" s="826">
        <f>Surfaces!O197</f>
        <v>0</v>
      </c>
      <c r="P322" s="827"/>
      <c r="Q322" s="143"/>
      <c r="Y322" s="20"/>
    </row>
    <row r="323" spans="2:25" x14ac:dyDescent="0.25">
      <c r="B323" s="19"/>
      <c r="D323" s="78" t="s">
        <v>340</v>
      </c>
      <c r="E323" s="78"/>
      <c r="F323" s="78"/>
      <c r="G323" s="78"/>
      <c r="H323" s="78"/>
      <c r="I323" s="78"/>
      <c r="J323" s="78"/>
      <c r="K323" s="78"/>
      <c r="L323" s="78"/>
      <c r="M323" s="78"/>
      <c r="N323" s="103"/>
      <c r="O323" s="940">
        <f>IFERROR(O318/O322,0)</f>
        <v>0</v>
      </c>
      <c r="P323" s="940"/>
      <c r="Y323" s="20"/>
    </row>
    <row r="324" spans="2:25" x14ac:dyDescent="0.25">
      <c r="B324" s="19"/>
      <c r="D324" s="77" t="s">
        <v>735</v>
      </c>
      <c r="E324" s="77"/>
      <c r="F324" s="77"/>
      <c r="G324" s="77"/>
      <c r="H324" s="77"/>
      <c r="I324" s="77"/>
      <c r="J324" s="77"/>
      <c r="K324" s="77"/>
      <c r="L324" s="77"/>
      <c r="M324" s="77"/>
      <c r="N324" s="77"/>
      <c r="O324" s="140"/>
      <c r="P324" s="140"/>
      <c r="Q324" s="824">
        <f>IF(AND(O323&gt;=0.25,O323&lt;0.5),2,IF(AND(O323&gt;=0.5,O323&lt;0.75),4,IF(O323&gt;=0.75,6,0)))</f>
        <v>0</v>
      </c>
      <c r="R324" s="825"/>
      <c r="W324" s="951" t="s">
        <v>713</v>
      </c>
      <c r="X324" s="951"/>
      <c r="Y324" s="20"/>
    </row>
    <row r="325" spans="2:25" x14ac:dyDescent="0.25">
      <c r="B325" s="19"/>
      <c r="D325" s="78" t="s">
        <v>722</v>
      </c>
      <c r="E325" s="78"/>
      <c r="F325" s="78"/>
      <c r="G325" s="78"/>
      <c r="H325" s="78"/>
      <c r="I325" s="78"/>
      <c r="J325" s="78"/>
      <c r="K325" s="78"/>
      <c r="L325" s="78"/>
      <c r="M325" s="78"/>
      <c r="N325" s="78"/>
      <c r="O325" s="324"/>
      <c r="P325" s="324"/>
      <c r="Q325" s="828">
        <f>IF(cSAU=0,0,Q324* (O322/Surfaces!O24))</f>
        <v>0</v>
      </c>
      <c r="R325" s="829"/>
      <c r="W325" s="681">
        <f>IF(cSAU=0,6,6*(O322/Surfaces!O24))</f>
        <v>6</v>
      </c>
      <c r="X325" s="682"/>
      <c r="Y325" s="20"/>
    </row>
    <row r="326" spans="2:25" x14ac:dyDescent="0.25">
      <c r="B326" s="19"/>
      <c r="Y326" s="20"/>
    </row>
    <row r="327" spans="2:25" x14ac:dyDescent="0.25">
      <c r="B327" s="19"/>
      <c r="Y327" s="20"/>
    </row>
    <row r="328" spans="2:25" x14ac:dyDescent="0.25">
      <c r="B328" s="19"/>
      <c r="D328" s="70" t="s">
        <v>2506</v>
      </c>
      <c r="Y328" s="20"/>
    </row>
    <row r="329" spans="2:25" x14ac:dyDescent="0.25">
      <c r="B329" s="19"/>
      <c r="D329" s="667"/>
      <c r="E329" s="668"/>
      <c r="F329" s="668"/>
      <c r="G329" s="668"/>
      <c r="H329" s="668"/>
      <c r="I329" s="668"/>
      <c r="J329" s="668"/>
      <c r="K329" s="668"/>
      <c r="L329" s="668"/>
      <c r="M329" s="668"/>
      <c r="N329" s="668"/>
      <c r="O329" s="668"/>
      <c r="P329" s="668"/>
      <c r="Q329" s="668"/>
      <c r="R329" s="668"/>
      <c r="S329" s="668"/>
      <c r="T329" s="668"/>
      <c r="U329" s="668"/>
      <c r="V329" s="668"/>
      <c r="W329" s="668"/>
      <c r="X329" s="669"/>
      <c r="Y329" s="20"/>
    </row>
    <row r="330" spans="2:25" x14ac:dyDescent="0.25">
      <c r="B330" s="19"/>
      <c r="D330" s="670"/>
      <c r="E330" s="671"/>
      <c r="F330" s="671"/>
      <c r="G330" s="671"/>
      <c r="H330" s="671"/>
      <c r="I330" s="671"/>
      <c r="J330" s="671"/>
      <c r="K330" s="671"/>
      <c r="L330" s="671"/>
      <c r="M330" s="671"/>
      <c r="N330" s="671"/>
      <c r="O330" s="671"/>
      <c r="P330" s="671"/>
      <c r="Q330" s="671"/>
      <c r="R330" s="671"/>
      <c r="S330" s="671"/>
      <c r="T330" s="671"/>
      <c r="U330" s="671"/>
      <c r="V330" s="671"/>
      <c r="W330" s="671"/>
      <c r="X330" s="672"/>
      <c r="Y330" s="20"/>
    </row>
    <row r="331" spans="2:25" x14ac:dyDescent="0.25">
      <c r="B331" s="19"/>
      <c r="D331" s="670"/>
      <c r="E331" s="671"/>
      <c r="F331" s="671"/>
      <c r="G331" s="671"/>
      <c r="H331" s="671"/>
      <c r="I331" s="671"/>
      <c r="J331" s="671"/>
      <c r="K331" s="671"/>
      <c r="L331" s="671"/>
      <c r="M331" s="671"/>
      <c r="N331" s="671"/>
      <c r="O331" s="671"/>
      <c r="P331" s="671"/>
      <c r="Q331" s="671"/>
      <c r="R331" s="671"/>
      <c r="S331" s="671"/>
      <c r="T331" s="671"/>
      <c r="U331" s="671"/>
      <c r="V331" s="671"/>
      <c r="W331" s="671"/>
      <c r="X331" s="672"/>
      <c r="Y331" s="20"/>
    </row>
    <row r="332" spans="2:25" x14ac:dyDescent="0.25">
      <c r="B332" s="19"/>
      <c r="D332" s="670"/>
      <c r="E332" s="671"/>
      <c r="F332" s="671"/>
      <c r="G332" s="671"/>
      <c r="H332" s="671"/>
      <c r="I332" s="671"/>
      <c r="J332" s="671"/>
      <c r="K332" s="671"/>
      <c r="L332" s="671"/>
      <c r="M332" s="671"/>
      <c r="N332" s="671"/>
      <c r="O332" s="671"/>
      <c r="P332" s="671"/>
      <c r="Q332" s="671"/>
      <c r="R332" s="671"/>
      <c r="S332" s="671"/>
      <c r="T332" s="671"/>
      <c r="U332" s="671"/>
      <c r="V332" s="671"/>
      <c r="W332" s="671"/>
      <c r="X332" s="672"/>
      <c r="Y332" s="20"/>
    </row>
    <row r="333" spans="2:25" x14ac:dyDescent="0.25">
      <c r="B333" s="19"/>
      <c r="D333" s="673"/>
      <c r="E333" s="674"/>
      <c r="F333" s="674"/>
      <c r="G333" s="674"/>
      <c r="H333" s="674"/>
      <c r="I333" s="674"/>
      <c r="J333" s="674"/>
      <c r="K333" s="674"/>
      <c r="L333" s="674"/>
      <c r="M333" s="674"/>
      <c r="N333" s="674"/>
      <c r="O333" s="674"/>
      <c r="P333" s="674"/>
      <c r="Q333" s="674"/>
      <c r="R333" s="674"/>
      <c r="S333" s="674"/>
      <c r="T333" s="674"/>
      <c r="U333" s="674"/>
      <c r="V333" s="674"/>
      <c r="W333" s="674"/>
      <c r="X333" s="675"/>
      <c r="Y333" s="20"/>
    </row>
    <row r="334" spans="2:25" x14ac:dyDescent="0.25">
      <c r="B334" s="19"/>
      <c r="Y334" s="20"/>
    </row>
    <row r="335" spans="2:25" ht="15.75" thickBot="1" x14ac:dyDescent="0.3">
      <c r="B335" s="22"/>
      <c r="C335" s="23"/>
      <c r="D335" s="23"/>
      <c r="E335" s="23"/>
      <c r="F335" s="23"/>
      <c r="G335" s="23"/>
      <c r="H335" s="23"/>
      <c r="I335" s="23"/>
      <c r="J335" s="23"/>
      <c r="K335" s="23"/>
      <c r="L335" s="23"/>
      <c r="M335" s="23"/>
      <c r="N335" s="23"/>
      <c r="O335" s="23"/>
      <c r="P335" s="23"/>
      <c r="Q335" s="23"/>
      <c r="R335" s="23"/>
      <c r="S335" s="23"/>
      <c r="T335" s="23"/>
      <c r="U335" s="23"/>
      <c r="V335" s="23"/>
      <c r="W335" s="23"/>
      <c r="X335" s="23"/>
      <c r="Y335" s="24"/>
    </row>
    <row r="338" spans="2:25" ht="15.75" thickBot="1" x14ac:dyDescent="0.3"/>
    <row r="339" spans="2:25" x14ac:dyDescent="0.25">
      <c r="B339" s="16"/>
      <c r="C339" s="17"/>
      <c r="D339" s="17"/>
      <c r="E339" s="17"/>
      <c r="F339" s="17"/>
      <c r="G339" s="17"/>
      <c r="H339" s="17"/>
      <c r="I339" s="17"/>
      <c r="J339" s="17"/>
      <c r="K339" s="17"/>
      <c r="L339" s="17"/>
      <c r="M339" s="17"/>
      <c r="N339" s="17"/>
      <c r="O339" s="17"/>
      <c r="P339" s="17"/>
      <c r="Q339" s="17"/>
      <c r="R339" s="17"/>
      <c r="S339" s="17"/>
      <c r="T339" s="17"/>
      <c r="U339" s="17"/>
      <c r="V339" s="17"/>
      <c r="W339" s="17"/>
      <c r="X339" s="17"/>
      <c r="Y339" s="18"/>
    </row>
    <row r="340" spans="2:25" x14ac:dyDescent="0.25">
      <c r="B340" s="19"/>
      <c r="Y340" s="20"/>
    </row>
    <row r="341" spans="2:25" x14ac:dyDescent="0.25">
      <c r="B341" s="19"/>
      <c r="C341" s="143" t="s">
        <v>4880</v>
      </c>
      <c r="Y341" s="20"/>
    </row>
    <row r="342" spans="2:25" x14ac:dyDescent="0.25">
      <c r="B342" s="19"/>
      <c r="C342" s="143"/>
      <c r="Y342" s="20"/>
    </row>
    <row r="343" spans="2:25" x14ac:dyDescent="0.25">
      <c r="B343" s="19"/>
      <c r="C343" s="42" t="s">
        <v>124</v>
      </c>
      <c r="F343" s="120"/>
      <c r="L343" s="832" t="s">
        <v>422</v>
      </c>
      <c r="M343" s="832"/>
      <c r="Y343" s="20"/>
    </row>
    <row r="344" spans="2:25" x14ac:dyDescent="0.25">
      <c r="B344" s="19"/>
      <c r="D344" t="s">
        <v>594</v>
      </c>
      <c r="J344" s="120"/>
      <c r="L344" s="830"/>
      <c r="M344" s="831"/>
      <c r="O344" s="143" t="str">
        <f>IF(AND(L344&lt;&gt;"",OR(SUM(L344:M345)&gt;L349,L344&gt;L349)),"Attention : surfaces saisies &gt; SAU hors sol","")</f>
        <v/>
      </c>
      <c r="Y344" s="20"/>
    </row>
    <row r="345" spans="2:25" x14ac:dyDescent="0.25">
      <c r="B345" s="19"/>
      <c r="D345" t="s">
        <v>595</v>
      </c>
      <c r="L345" s="830"/>
      <c r="M345" s="831"/>
      <c r="O345" s="143" t="str">
        <f>IF(AND(L345&lt;&gt;"",OR(SUM(L344:M345)&gt;L349,L345&gt;L349)),"Attention : surfaces saisies &gt; SAU hors sol","")</f>
        <v/>
      </c>
      <c r="Y345" s="20"/>
    </row>
    <row r="346" spans="2:25" x14ac:dyDescent="0.25">
      <c r="B346" s="19"/>
      <c r="Y346" s="20"/>
    </row>
    <row r="347" spans="2:25" x14ac:dyDescent="0.25">
      <c r="B347" s="19"/>
      <c r="C347" s="42"/>
      <c r="Y347" s="20"/>
    </row>
    <row r="348" spans="2:25" x14ac:dyDescent="0.25">
      <c r="B348" s="19"/>
      <c r="N348" s="651" t="s">
        <v>239</v>
      </c>
      <c r="O348" s="651"/>
      <c r="Y348" s="20"/>
    </row>
    <row r="349" spans="2:25" x14ac:dyDescent="0.25">
      <c r="B349" s="19"/>
      <c r="D349" s="77" t="s">
        <v>4954</v>
      </c>
      <c r="E349" s="77"/>
      <c r="F349" s="77"/>
      <c r="G349" s="77"/>
      <c r="H349" s="77"/>
      <c r="I349" s="77"/>
      <c r="J349" s="77"/>
      <c r="K349" s="102"/>
      <c r="L349" s="826">
        <f>Surfaces!O136</f>
        <v>0</v>
      </c>
      <c r="M349" s="827"/>
      <c r="N349" s="524"/>
      <c r="O349" s="96"/>
      <c r="Y349" s="20"/>
    </row>
    <row r="350" spans="2:25" x14ac:dyDescent="0.25">
      <c r="B350" s="19"/>
      <c r="D350" s="78" t="s">
        <v>4881</v>
      </c>
      <c r="E350" s="78"/>
      <c r="F350" s="78"/>
      <c r="G350" s="78"/>
      <c r="H350" s="78"/>
      <c r="I350" s="78"/>
      <c r="J350" s="78"/>
      <c r="K350" s="103"/>
      <c r="L350" s="822">
        <f>IFERROR(IF(L344="",0,L344/L349),0)</f>
        <v>0</v>
      </c>
      <c r="M350" s="823"/>
      <c r="N350" s="824">
        <f>IF(AND(L344="",L345=""),0,IF(L350&lt;0.25,0,IF(AND(L350&gt;=0.25,L350&lt;0.5),2,IF(AND(L350&gt;=0.5,L350&lt;0.75),4,IF(L350&gt;=0.75,6,0)))))</f>
        <v>0</v>
      </c>
      <c r="O350" s="825"/>
      <c r="Y350" s="20"/>
    </row>
    <row r="351" spans="2:25" x14ac:dyDescent="0.25">
      <c r="B351" s="19"/>
      <c r="D351" s="78" t="s">
        <v>4882</v>
      </c>
      <c r="E351" s="78"/>
      <c r="F351" s="78"/>
      <c r="G351" s="78"/>
      <c r="H351" s="78"/>
      <c r="I351" s="78"/>
      <c r="J351" s="78"/>
      <c r="K351" s="103"/>
      <c r="L351" s="822">
        <f>IFERROR(IF(L345="",0,L345/L349),0)</f>
        <v>0</v>
      </c>
      <c r="M351" s="823"/>
      <c r="N351" s="824">
        <f>IF(AND(L344="",L345=""),0,IF(L351&lt;0.25,0,IF(AND(L351&gt;=0.25,L351&lt;0.5),1,IF(AND(L351&gt;=0.5,L351&lt;0.75),2,IF(L351&gt;=0.75,3,0)))))</f>
        <v>0</v>
      </c>
      <c r="O351" s="825"/>
      <c r="Y351" s="20"/>
    </row>
    <row r="352" spans="2:25" x14ac:dyDescent="0.25">
      <c r="B352" s="19"/>
      <c r="W352" s="951" t="s">
        <v>713</v>
      </c>
      <c r="X352" s="951"/>
      <c r="Y352" s="20"/>
    </row>
    <row r="353" spans="2:25" x14ac:dyDescent="0.25">
      <c r="B353" s="19"/>
      <c r="D353" s="77" t="s">
        <v>421</v>
      </c>
      <c r="E353" s="40"/>
      <c r="F353" s="40"/>
      <c r="G353" s="40"/>
      <c r="H353" s="40"/>
      <c r="I353" s="40"/>
      <c r="J353" s="40"/>
      <c r="K353" s="40"/>
      <c r="L353" s="40"/>
      <c r="M353" s="45"/>
      <c r="N353" s="833">
        <f>IF(cSAU=0,0,(SUM(N350:N351)*(L349/Surfaces!O24)))</f>
        <v>0</v>
      </c>
      <c r="O353" s="834"/>
      <c r="P353" s="177"/>
      <c r="W353" s="846">
        <f>IF(cSAU=0,6,6*L349/Surfaces!O24)</f>
        <v>6</v>
      </c>
      <c r="X353" s="847"/>
      <c r="Y353" s="525"/>
    </row>
    <row r="354" spans="2:25" x14ac:dyDescent="0.25">
      <c r="B354" s="19"/>
      <c r="Y354" s="20"/>
    </row>
    <row r="355" spans="2:25" x14ac:dyDescent="0.25">
      <c r="B355" s="19"/>
      <c r="Y355" s="20"/>
    </row>
    <row r="356" spans="2:25" x14ac:dyDescent="0.25">
      <c r="B356" s="19"/>
      <c r="D356" s="70" t="s">
        <v>2506</v>
      </c>
      <c r="Y356" s="20"/>
    </row>
    <row r="357" spans="2:25" x14ac:dyDescent="0.25">
      <c r="B357" s="19"/>
      <c r="D357" s="667"/>
      <c r="E357" s="668"/>
      <c r="F357" s="668"/>
      <c r="G357" s="668"/>
      <c r="H357" s="668"/>
      <c r="I357" s="668"/>
      <c r="J357" s="668"/>
      <c r="K357" s="668"/>
      <c r="L357" s="668"/>
      <c r="M357" s="668"/>
      <c r="N357" s="668"/>
      <c r="O357" s="668"/>
      <c r="P357" s="668"/>
      <c r="Q357" s="668"/>
      <c r="R357" s="668"/>
      <c r="S357" s="668"/>
      <c r="T357" s="668"/>
      <c r="U357" s="668"/>
      <c r="V357" s="668"/>
      <c r="W357" s="668"/>
      <c r="X357" s="669"/>
      <c r="Y357" s="20"/>
    </row>
    <row r="358" spans="2:25" x14ac:dyDescent="0.25">
      <c r="B358" s="19"/>
      <c r="D358" s="670"/>
      <c r="E358" s="671"/>
      <c r="F358" s="671"/>
      <c r="G358" s="671"/>
      <c r="H358" s="671"/>
      <c r="I358" s="671"/>
      <c r="J358" s="671"/>
      <c r="K358" s="671"/>
      <c r="L358" s="671"/>
      <c r="M358" s="671"/>
      <c r="N358" s="671"/>
      <c r="O358" s="671"/>
      <c r="P358" s="671"/>
      <c r="Q358" s="671"/>
      <c r="R358" s="671"/>
      <c r="S358" s="671"/>
      <c r="T358" s="671"/>
      <c r="U358" s="671"/>
      <c r="V358" s="671"/>
      <c r="W358" s="671"/>
      <c r="X358" s="672"/>
      <c r="Y358" s="20"/>
    </row>
    <row r="359" spans="2:25" x14ac:dyDescent="0.25">
      <c r="B359" s="19"/>
      <c r="D359" s="670"/>
      <c r="E359" s="671"/>
      <c r="F359" s="671"/>
      <c r="G359" s="671"/>
      <c r="H359" s="671"/>
      <c r="I359" s="671"/>
      <c r="J359" s="671"/>
      <c r="K359" s="671"/>
      <c r="L359" s="671"/>
      <c r="M359" s="671"/>
      <c r="N359" s="671"/>
      <c r="O359" s="671"/>
      <c r="P359" s="671"/>
      <c r="Q359" s="671"/>
      <c r="R359" s="671"/>
      <c r="S359" s="671"/>
      <c r="T359" s="671"/>
      <c r="U359" s="671"/>
      <c r="V359" s="671"/>
      <c r="W359" s="671"/>
      <c r="X359" s="672"/>
      <c r="Y359" s="20"/>
    </row>
    <row r="360" spans="2:25" x14ac:dyDescent="0.25">
      <c r="B360" s="19"/>
      <c r="D360" s="670"/>
      <c r="E360" s="671"/>
      <c r="F360" s="671"/>
      <c r="G360" s="671"/>
      <c r="H360" s="671"/>
      <c r="I360" s="671"/>
      <c r="J360" s="671"/>
      <c r="K360" s="671"/>
      <c r="L360" s="671"/>
      <c r="M360" s="671"/>
      <c r="N360" s="671"/>
      <c r="O360" s="671"/>
      <c r="P360" s="671"/>
      <c r="Q360" s="671"/>
      <c r="R360" s="671"/>
      <c r="S360" s="671"/>
      <c r="T360" s="671"/>
      <c r="U360" s="671"/>
      <c r="V360" s="671"/>
      <c r="W360" s="671"/>
      <c r="X360" s="672"/>
      <c r="Y360" s="20"/>
    </row>
    <row r="361" spans="2:25" x14ac:dyDescent="0.25">
      <c r="B361" s="19"/>
      <c r="D361" s="673"/>
      <c r="E361" s="674"/>
      <c r="F361" s="674"/>
      <c r="G361" s="674"/>
      <c r="H361" s="674"/>
      <c r="I361" s="674"/>
      <c r="J361" s="674"/>
      <c r="K361" s="674"/>
      <c r="L361" s="674"/>
      <c r="M361" s="674"/>
      <c r="N361" s="674"/>
      <c r="O361" s="674"/>
      <c r="P361" s="674"/>
      <c r="Q361" s="674"/>
      <c r="R361" s="674"/>
      <c r="S361" s="674"/>
      <c r="T361" s="674"/>
      <c r="U361" s="674"/>
      <c r="V361" s="674"/>
      <c r="W361" s="674"/>
      <c r="X361" s="675"/>
      <c r="Y361" s="20"/>
    </row>
    <row r="362" spans="2:25" x14ac:dyDescent="0.25">
      <c r="B362" s="19"/>
      <c r="Y362" s="20"/>
    </row>
    <row r="363" spans="2:25" ht="15.75" thickBot="1" x14ac:dyDescent="0.3">
      <c r="B363" s="22"/>
      <c r="C363" s="23"/>
      <c r="D363" s="23"/>
      <c r="E363" s="23"/>
      <c r="F363" s="23"/>
      <c r="G363" s="23"/>
      <c r="H363" s="23"/>
      <c r="I363" s="23"/>
      <c r="J363" s="23"/>
      <c r="K363" s="23"/>
      <c r="L363" s="23"/>
      <c r="M363" s="23"/>
      <c r="N363" s="23"/>
      <c r="O363" s="23"/>
      <c r="P363" s="23"/>
      <c r="Q363" s="23"/>
      <c r="R363" s="23"/>
      <c r="S363" s="23"/>
      <c r="T363" s="23"/>
      <c r="U363" s="23"/>
      <c r="V363" s="23"/>
      <c r="W363" s="23"/>
      <c r="X363" s="23"/>
      <c r="Y363" s="24"/>
    </row>
    <row r="366" spans="2:25" ht="15.75" thickBot="1" x14ac:dyDescent="0.3"/>
    <row r="367" spans="2:25" x14ac:dyDescent="0.25">
      <c r="B367" s="8"/>
      <c r="C367" s="9"/>
      <c r="D367" s="9"/>
      <c r="E367" s="9"/>
      <c r="F367" s="9"/>
      <c r="G367" s="9"/>
      <c r="H367" s="9"/>
      <c r="I367" s="9"/>
      <c r="J367" s="9"/>
      <c r="K367" s="9"/>
      <c r="L367" s="9"/>
      <c r="M367" s="9"/>
      <c r="N367" s="9"/>
      <c r="O367" s="9"/>
      <c r="P367" s="9"/>
      <c r="Q367" s="9"/>
      <c r="R367" s="9"/>
      <c r="S367" s="9"/>
      <c r="T367" s="9"/>
      <c r="U367" s="9"/>
      <c r="V367" s="9"/>
      <c r="W367" s="9"/>
      <c r="X367" s="9"/>
      <c r="Y367" s="10"/>
    </row>
    <row r="368" spans="2:25" x14ac:dyDescent="0.25">
      <c r="B368" s="11"/>
      <c r="Y368" s="12"/>
    </row>
    <row r="369" spans="2:25" x14ac:dyDescent="0.25">
      <c r="B369" s="11"/>
      <c r="W369" s="951" t="s">
        <v>713</v>
      </c>
      <c r="X369" s="951"/>
      <c r="Y369" s="12"/>
    </row>
    <row r="370" spans="2:25" x14ac:dyDescent="0.25">
      <c r="B370" s="11"/>
      <c r="C370" s="77" t="s">
        <v>2337</v>
      </c>
      <c r="D370" s="40"/>
      <c r="E370" s="40"/>
      <c r="F370" s="40"/>
      <c r="G370" s="40"/>
      <c r="H370" s="40"/>
      <c r="I370" s="40"/>
      <c r="J370" s="40"/>
      <c r="K370" s="40"/>
      <c r="L370" s="40"/>
      <c r="M370" s="40"/>
      <c r="N370" s="40"/>
      <c r="O370" s="40"/>
      <c r="P370" s="40"/>
      <c r="Q370" s="45"/>
      <c r="R370" s="691">
        <f>P64+S100+P122+P191+L215+P243+Q300+Q325+N353</f>
        <v>0</v>
      </c>
      <c r="S370" s="692"/>
      <c r="W370" s="681">
        <f>W64+W100+W122+W191+W215+W243+W300+W325+W353</f>
        <v>53</v>
      </c>
      <c r="X370" s="682"/>
      <c r="Y370" s="12"/>
    </row>
    <row r="371" spans="2:25" x14ac:dyDescent="0.25">
      <c r="B371" s="11"/>
      <c r="Y371" s="12"/>
    </row>
    <row r="372" spans="2:25" x14ac:dyDescent="0.25">
      <c r="B372" s="11"/>
      <c r="Y372" s="12"/>
    </row>
    <row r="373" spans="2:25" x14ac:dyDescent="0.25">
      <c r="B373" s="11"/>
      <c r="C373" s="70" t="s">
        <v>2506</v>
      </c>
      <c r="Y373" s="12"/>
    </row>
    <row r="374" spans="2:25" x14ac:dyDescent="0.25">
      <c r="B374" s="11"/>
      <c r="C374" s="667"/>
      <c r="D374" s="668"/>
      <c r="E374" s="668"/>
      <c r="F374" s="668"/>
      <c r="G374" s="668"/>
      <c r="H374" s="668"/>
      <c r="I374" s="668"/>
      <c r="J374" s="668"/>
      <c r="K374" s="668"/>
      <c r="L374" s="668"/>
      <c r="M374" s="668"/>
      <c r="N374" s="668"/>
      <c r="O374" s="668"/>
      <c r="P374" s="668"/>
      <c r="Q374" s="668"/>
      <c r="R374" s="668"/>
      <c r="S374" s="668"/>
      <c r="T374" s="668"/>
      <c r="U374" s="668"/>
      <c r="V374" s="668"/>
      <c r="W374" s="669"/>
      <c r="Y374" s="12"/>
    </row>
    <row r="375" spans="2:25" x14ac:dyDescent="0.25">
      <c r="B375" s="11"/>
      <c r="C375" s="670"/>
      <c r="D375" s="671"/>
      <c r="E375" s="671"/>
      <c r="F375" s="671"/>
      <c r="G375" s="671"/>
      <c r="H375" s="671"/>
      <c r="I375" s="671"/>
      <c r="J375" s="671"/>
      <c r="K375" s="671"/>
      <c r="L375" s="671"/>
      <c r="M375" s="671"/>
      <c r="N375" s="671"/>
      <c r="O375" s="671"/>
      <c r="P375" s="671"/>
      <c r="Q375" s="671"/>
      <c r="R375" s="671"/>
      <c r="S375" s="671"/>
      <c r="T375" s="671"/>
      <c r="U375" s="671"/>
      <c r="V375" s="671"/>
      <c r="W375" s="672"/>
      <c r="Y375" s="12"/>
    </row>
    <row r="376" spans="2:25" x14ac:dyDescent="0.25">
      <c r="B376" s="11"/>
      <c r="C376" s="670"/>
      <c r="D376" s="671"/>
      <c r="E376" s="671"/>
      <c r="F376" s="671"/>
      <c r="G376" s="671"/>
      <c r="H376" s="671"/>
      <c r="I376" s="671"/>
      <c r="J376" s="671"/>
      <c r="K376" s="671"/>
      <c r="L376" s="671"/>
      <c r="M376" s="671"/>
      <c r="N376" s="671"/>
      <c r="O376" s="671"/>
      <c r="P376" s="671"/>
      <c r="Q376" s="671"/>
      <c r="R376" s="671"/>
      <c r="S376" s="671"/>
      <c r="T376" s="671"/>
      <c r="U376" s="671"/>
      <c r="V376" s="671"/>
      <c r="W376" s="672"/>
      <c r="Y376" s="12"/>
    </row>
    <row r="377" spans="2:25" x14ac:dyDescent="0.25">
      <c r="B377" s="11"/>
      <c r="C377" s="670"/>
      <c r="D377" s="671"/>
      <c r="E377" s="671"/>
      <c r="F377" s="671"/>
      <c r="G377" s="671"/>
      <c r="H377" s="671"/>
      <c r="I377" s="671"/>
      <c r="J377" s="671"/>
      <c r="K377" s="671"/>
      <c r="L377" s="671"/>
      <c r="M377" s="671"/>
      <c r="N377" s="671"/>
      <c r="O377" s="671"/>
      <c r="P377" s="671"/>
      <c r="Q377" s="671"/>
      <c r="R377" s="671"/>
      <c r="S377" s="671"/>
      <c r="T377" s="671"/>
      <c r="U377" s="671"/>
      <c r="V377" s="671"/>
      <c r="W377" s="672"/>
      <c r="Y377" s="12"/>
    </row>
    <row r="378" spans="2:25" x14ac:dyDescent="0.25">
      <c r="B378" s="11"/>
      <c r="C378" s="670"/>
      <c r="D378" s="671"/>
      <c r="E378" s="671"/>
      <c r="F378" s="671"/>
      <c r="G378" s="671"/>
      <c r="H378" s="671"/>
      <c r="I378" s="671"/>
      <c r="J378" s="671"/>
      <c r="K378" s="671"/>
      <c r="L378" s="671"/>
      <c r="M378" s="671"/>
      <c r="N378" s="671"/>
      <c r="O378" s="671"/>
      <c r="P378" s="671"/>
      <c r="Q378" s="671"/>
      <c r="R378" s="671"/>
      <c r="S378" s="671"/>
      <c r="T378" s="671"/>
      <c r="U378" s="671"/>
      <c r="V378" s="671"/>
      <c r="W378" s="672"/>
      <c r="Y378" s="12"/>
    </row>
    <row r="379" spans="2:25" x14ac:dyDescent="0.25">
      <c r="B379" s="11"/>
      <c r="C379" s="670"/>
      <c r="D379" s="671"/>
      <c r="E379" s="671"/>
      <c r="F379" s="671"/>
      <c r="G379" s="671"/>
      <c r="H379" s="671"/>
      <c r="I379" s="671"/>
      <c r="J379" s="671"/>
      <c r="K379" s="671"/>
      <c r="L379" s="671"/>
      <c r="M379" s="671"/>
      <c r="N379" s="671"/>
      <c r="O379" s="671"/>
      <c r="P379" s="671"/>
      <c r="Q379" s="671"/>
      <c r="R379" s="671"/>
      <c r="S379" s="671"/>
      <c r="T379" s="671"/>
      <c r="U379" s="671"/>
      <c r="V379" s="671"/>
      <c r="W379" s="672"/>
      <c r="Y379" s="12"/>
    </row>
    <row r="380" spans="2:25" x14ac:dyDescent="0.25">
      <c r="B380" s="11"/>
      <c r="C380" s="670"/>
      <c r="D380" s="671"/>
      <c r="E380" s="671"/>
      <c r="F380" s="671"/>
      <c r="G380" s="671"/>
      <c r="H380" s="671"/>
      <c r="I380" s="671"/>
      <c r="J380" s="671"/>
      <c r="K380" s="671"/>
      <c r="L380" s="671"/>
      <c r="M380" s="671"/>
      <c r="N380" s="671"/>
      <c r="O380" s="671"/>
      <c r="P380" s="671"/>
      <c r="Q380" s="671"/>
      <c r="R380" s="671"/>
      <c r="S380" s="671"/>
      <c r="T380" s="671"/>
      <c r="U380" s="671"/>
      <c r="V380" s="671"/>
      <c r="W380" s="672"/>
      <c r="Y380" s="12"/>
    </row>
    <row r="381" spans="2:25" x14ac:dyDescent="0.25">
      <c r="B381" s="11"/>
      <c r="C381" s="670"/>
      <c r="D381" s="671"/>
      <c r="E381" s="671"/>
      <c r="F381" s="671"/>
      <c r="G381" s="671"/>
      <c r="H381" s="671"/>
      <c r="I381" s="671"/>
      <c r="J381" s="671"/>
      <c r="K381" s="671"/>
      <c r="L381" s="671"/>
      <c r="M381" s="671"/>
      <c r="N381" s="671"/>
      <c r="O381" s="671"/>
      <c r="P381" s="671"/>
      <c r="Q381" s="671"/>
      <c r="R381" s="671"/>
      <c r="S381" s="671"/>
      <c r="T381" s="671"/>
      <c r="U381" s="671"/>
      <c r="V381" s="671"/>
      <c r="W381" s="672"/>
      <c r="Y381" s="12"/>
    </row>
    <row r="382" spans="2:25" x14ac:dyDescent="0.25">
      <c r="B382" s="11"/>
      <c r="C382" s="670"/>
      <c r="D382" s="671"/>
      <c r="E382" s="671"/>
      <c r="F382" s="671"/>
      <c r="G382" s="671"/>
      <c r="H382" s="671"/>
      <c r="I382" s="671"/>
      <c r="J382" s="671"/>
      <c r="K382" s="671"/>
      <c r="L382" s="671"/>
      <c r="M382" s="671"/>
      <c r="N382" s="671"/>
      <c r="O382" s="671"/>
      <c r="P382" s="671"/>
      <c r="Q382" s="671"/>
      <c r="R382" s="671"/>
      <c r="S382" s="671"/>
      <c r="T382" s="671"/>
      <c r="U382" s="671"/>
      <c r="V382" s="671"/>
      <c r="W382" s="672"/>
      <c r="Y382" s="12"/>
    </row>
    <row r="383" spans="2:25" x14ac:dyDescent="0.25">
      <c r="B383" s="11"/>
      <c r="C383" s="673"/>
      <c r="D383" s="674"/>
      <c r="E383" s="674"/>
      <c r="F383" s="674"/>
      <c r="G383" s="674"/>
      <c r="H383" s="674"/>
      <c r="I383" s="674"/>
      <c r="J383" s="674"/>
      <c r="K383" s="674"/>
      <c r="L383" s="674"/>
      <c r="M383" s="674"/>
      <c r="N383" s="674"/>
      <c r="O383" s="674"/>
      <c r="P383" s="674"/>
      <c r="Q383" s="674"/>
      <c r="R383" s="674"/>
      <c r="S383" s="674"/>
      <c r="T383" s="674"/>
      <c r="U383" s="674"/>
      <c r="V383" s="674"/>
      <c r="W383" s="675"/>
      <c r="Y383" s="12"/>
    </row>
    <row r="384" spans="2:25" x14ac:dyDescent="0.25">
      <c r="B384" s="11"/>
      <c r="Y384" s="12"/>
    </row>
    <row r="385" spans="2:25" ht="15.75" thickBot="1" x14ac:dyDescent="0.3">
      <c r="B385" s="13"/>
      <c r="C385" s="14"/>
      <c r="D385" s="14"/>
      <c r="E385" s="14"/>
      <c r="F385" s="14"/>
      <c r="G385" s="14"/>
      <c r="H385" s="14"/>
      <c r="I385" s="14"/>
      <c r="J385" s="14"/>
      <c r="K385" s="14"/>
      <c r="L385" s="14"/>
      <c r="M385" s="14"/>
      <c r="N385" s="14"/>
      <c r="O385" s="14"/>
      <c r="P385" s="14"/>
      <c r="Q385" s="14"/>
      <c r="R385" s="14"/>
      <c r="S385" s="14"/>
      <c r="T385" s="14"/>
      <c r="U385" s="14"/>
      <c r="V385" s="14"/>
      <c r="W385" s="14"/>
      <c r="X385" s="14"/>
      <c r="Y385" s="15"/>
    </row>
  </sheetData>
  <sheetProtection algorithmName="SHA-512" hashValue="w3RkWb6a/I6B7hQ5GEdoQYUp+/V0MLy4FHbYHOQ98JPP8knzQWtdm9vikgheAWJGsbB4zOoITGNSDJD90QiUwQ==" saltValue="aVm04Dshx1URmgOnz8uTsw==" spinCount="100000" sheet="1" scenarios="1"/>
  <mergeCells count="272">
    <mergeCell ref="O274:P274"/>
    <mergeCell ref="P185:Q185"/>
    <mergeCell ref="P187:Q187"/>
    <mergeCell ref="N184:O184"/>
    <mergeCell ref="P184:Q184"/>
    <mergeCell ref="L147:M147"/>
    <mergeCell ref="L146:M146"/>
    <mergeCell ref="P156:Q156"/>
    <mergeCell ref="L143:M143"/>
    <mergeCell ref="P168:Q168"/>
    <mergeCell ref="P169:Q169"/>
    <mergeCell ref="N170:O170"/>
    <mergeCell ref="N171:O171"/>
    <mergeCell ref="P181:Q181"/>
    <mergeCell ref="N168:O168"/>
    <mergeCell ref="N169:O169"/>
    <mergeCell ref="P176:Q176"/>
    <mergeCell ref="N177:O177"/>
    <mergeCell ref="P177:Q177"/>
    <mergeCell ref="P173:Q173"/>
    <mergeCell ref="P179:Q179"/>
    <mergeCell ref="N116:O116"/>
    <mergeCell ref="L140:M140"/>
    <mergeCell ref="L141:M141"/>
    <mergeCell ref="N159:O159"/>
    <mergeCell ref="N160:O160"/>
    <mergeCell ref="K139:N139"/>
    <mergeCell ref="K150:N150"/>
    <mergeCell ref="N117:O117"/>
    <mergeCell ref="N235:O235"/>
    <mergeCell ref="N234:O234"/>
    <mergeCell ref="N233:O233"/>
    <mergeCell ref="N185:O185"/>
    <mergeCell ref="N176:O176"/>
    <mergeCell ref="C126:W130"/>
    <mergeCell ref="N161:O161"/>
    <mergeCell ref="N163:O163"/>
    <mergeCell ref="N162:O162"/>
    <mergeCell ref="L148:M148"/>
    <mergeCell ref="L151:M151"/>
    <mergeCell ref="L152:M152"/>
    <mergeCell ref="P170:Q170"/>
    <mergeCell ref="P171:Q171"/>
    <mergeCell ref="L142:M142"/>
    <mergeCell ref="W190:X190"/>
    <mergeCell ref="S88:T88"/>
    <mergeCell ref="Q99:R99"/>
    <mergeCell ref="Q98:R98"/>
    <mergeCell ref="Q89:R89"/>
    <mergeCell ref="Q93:R93"/>
    <mergeCell ref="Q94:R94"/>
    <mergeCell ref="Q95:R95"/>
    <mergeCell ref="Q96:R96"/>
    <mergeCell ref="S89:T89"/>
    <mergeCell ref="Q86:R86"/>
    <mergeCell ref="S86:T86"/>
    <mergeCell ref="M54:N54"/>
    <mergeCell ref="M58:N58"/>
    <mergeCell ref="M59:N59"/>
    <mergeCell ref="M60:N60"/>
    <mergeCell ref="M62:N62"/>
    <mergeCell ref="M55:N55"/>
    <mergeCell ref="M57:N57"/>
    <mergeCell ref="S20:T20"/>
    <mergeCell ref="V20:W20"/>
    <mergeCell ref="P21:Q21"/>
    <mergeCell ref="S21:T21"/>
    <mergeCell ref="V21:W21"/>
    <mergeCell ref="P29:W29"/>
    <mergeCell ref="P30:Q30"/>
    <mergeCell ref="S30:T30"/>
    <mergeCell ref="P122:Q122"/>
    <mergeCell ref="P34:Q34"/>
    <mergeCell ref="S33:T33"/>
    <mergeCell ref="V33:W33"/>
    <mergeCell ref="P64:Q64"/>
    <mergeCell ref="V34:W34"/>
    <mergeCell ref="W63:X63"/>
    <mergeCell ref="W64:X64"/>
    <mergeCell ref="W99:X99"/>
    <mergeCell ref="W100:X100"/>
    <mergeCell ref="W121:X121"/>
    <mergeCell ref="W122:X122"/>
    <mergeCell ref="W87:X87"/>
    <mergeCell ref="C104:W108"/>
    <mergeCell ref="U89:V89"/>
    <mergeCell ref="Q88:R88"/>
    <mergeCell ref="V12:W12"/>
    <mergeCell ref="V14:W14"/>
    <mergeCell ref="V19:W19"/>
    <mergeCell ref="P119:Q119"/>
    <mergeCell ref="P11:Q11"/>
    <mergeCell ref="P10:W10"/>
    <mergeCell ref="V32:W32"/>
    <mergeCell ref="S32:T32"/>
    <mergeCell ref="S14:T14"/>
    <mergeCell ref="V15:W15"/>
    <mergeCell ref="S92:T92"/>
    <mergeCell ref="S97:T97"/>
    <mergeCell ref="S100:T100"/>
    <mergeCell ref="D68:X77"/>
    <mergeCell ref="U88:V88"/>
    <mergeCell ref="P46:Q46"/>
    <mergeCell ref="S46:T46"/>
    <mergeCell ref="V46:W46"/>
    <mergeCell ref="W88:X88"/>
    <mergeCell ref="S44:T44"/>
    <mergeCell ref="V44:W44"/>
    <mergeCell ref="S13:T13"/>
    <mergeCell ref="V13:W13"/>
    <mergeCell ref="P33:Q33"/>
    <mergeCell ref="Y4:Z4"/>
    <mergeCell ref="N242:O242"/>
    <mergeCell ref="P242:Q242"/>
    <mergeCell ref="N240:O240"/>
    <mergeCell ref="P240:Q240"/>
    <mergeCell ref="J207:K207"/>
    <mergeCell ref="J208:K208"/>
    <mergeCell ref="J213:K213"/>
    <mergeCell ref="J214:K214"/>
    <mergeCell ref="J215:K215"/>
    <mergeCell ref="L211:M211"/>
    <mergeCell ref="L213:M213"/>
    <mergeCell ref="L214:M214"/>
    <mergeCell ref="L215:M215"/>
    <mergeCell ref="P231:Q231"/>
    <mergeCell ref="V11:W11"/>
    <mergeCell ref="S11:T11"/>
    <mergeCell ref="S25:T25"/>
    <mergeCell ref="P15:Q15"/>
    <mergeCell ref="P23:Q23"/>
    <mergeCell ref="P13:Q13"/>
    <mergeCell ref="U87:V87"/>
    <mergeCell ref="U86:V86"/>
    <mergeCell ref="Q87:R87"/>
    <mergeCell ref="P18:Q18"/>
    <mergeCell ref="S18:T18"/>
    <mergeCell ref="V18:W18"/>
    <mergeCell ref="N121:O121"/>
    <mergeCell ref="N122:O122"/>
    <mergeCell ref="P44:Q44"/>
    <mergeCell ref="S87:T87"/>
    <mergeCell ref="S23:T23"/>
    <mergeCell ref="V23:W23"/>
    <mergeCell ref="S19:T19"/>
    <mergeCell ref="W89:X89"/>
    <mergeCell ref="P42:Q42"/>
    <mergeCell ref="S42:T42"/>
    <mergeCell ref="V42:W42"/>
    <mergeCell ref="P36:Q36"/>
    <mergeCell ref="S36:T36"/>
    <mergeCell ref="V36:W36"/>
    <mergeCell ref="W86:X86"/>
    <mergeCell ref="P54:Q54"/>
    <mergeCell ref="P55:Q55"/>
    <mergeCell ref="P20:Q20"/>
    <mergeCell ref="M51:N51"/>
    <mergeCell ref="M52:Q52"/>
    <mergeCell ref="S40:T40"/>
    <mergeCell ref="S15:T15"/>
    <mergeCell ref="S12:T12"/>
    <mergeCell ref="V31:W31"/>
    <mergeCell ref="P41:Q41"/>
    <mergeCell ref="P40:Q40"/>
    <mergeCell ref="P32:Q32"/>
    <mergeCell ref="V25:W25"/>
    <mergeCell ref="P12:Q12"/>
    <mergeCell ref="P14:Q14"/>
    <mergeCell ref="P25:Q25"/>
    <mergeCell ref="V30:W30"/>
    <mergeCell ref="P31:Q31"/>
    <mergeCell ref="S31:T31"/>
    <mergeCell ref="P39:Q39"/>
    <mergeCell ref="S39:T39"/>
    <mergeCell ref="V39:W39"/>
    <mergeCell ref="P19:Q19"/>
    <mergeCell ref="P35:Q35"/>
    <mergeCell ref="S35:T35"/>
    <mergeCell ref="V35:W35"/>
    <mergeCell ref="V41:W41"/>
    <mergeCell ref="S34:T34"/>
    <mergeCell ref="V40:W40"/>
    <mergeCell ref="S41:T41"/>
    <mergeCell ref="C374:W383"/>
    <mergeCell ref="W369:X369"/>
    <mergeCell ref="O295:P295"/>
    <mergeCell ref="O297:P297"/>
    <mergeCell ref="Q295:R295"/>
    <mergeCell ref="Q297:R297"/>
    <mergeCell ref="D304:X308"/>
    <mergeCell ref="D329:X333"/>
    <mergeCell ref="R370:S370"/>
    <mergeCell ref="W370:X370"/>
    <mergeCell ref="L350:M350"/>
    <mergeCell ref="L349:M349"/>
    <mergeCell ref="L344:M344"/>
    <mergeCell ref="L345:M345"/>
    <mergeCell ref="W299:X299"/>
    <mergeCell ref="W300:X300"/>
    <mergeCell ref="W324:X324"/>
    <mergeCell ref="L343:M343"/>
    <mergeCell ref="N348:O348"/>
    <mergeCell ref="L351:M351"/>
    <mergeCell ref="N351:O351"/>
    <mergeCell ref="N353:O353"/>
    <mergeCell ref="W353:X353"/>
    <mergeCell ref="D357:X361"/>
    <mergeCell ref="W191:X191"/>
    <mergeCell ref="W214:X214"/>
    <mergeCell ref="C195:W199"/>
    <mergeCell ref="C273:N273"/>
    <mergeCell ref="N238:O238"/>
    <mergeCell ref="N243:O243"/>
    <mergeCell ref="P243:Q243"/>
    <mergeCell ref="D247:X251"/>
    <mergeCell ref="W215:X215"/>
    <mergeCell ref="W242:X242"/>
    <mergeCell ref="N236:O236"/>
    <mergeCell ref="W243:X243"/>
    <mergeCell ref="D219:X223"/>
    <mergeCell ref="P191:Q191"/>
    <mergeCell ref="P237:Q237"/>
    <mergeCell ref="N241:O241"/>
    <mergeCell ref="P241:Q241"/>
    <mergeCell ref="W352:X352"/>
    <mergeCell ref="Q325:R325"/>
    <mergeCell ref="O266:P266"/>
    <mergeCell ref="O291:P291"/>
    <mergeCell ref="Q291:R291"/>
    <mergeCell ref="Q324:R324"/>
    <mergeCell ref="W325:X325"/>
    <mergeCell ref="O282:P282"/>
    <mergeCell ref="O283:P283"/>
    <mergeCell ref="O298:P298"/>
    <mergeCell ref="O299:P299"/>
    <mergeCell ref="Q299:R299"/>
    <mergeCell ref="Q298:R298"/>
    <mergeCell ref="Q289:R289"/>
    <mergeCell ref="N350:O350"/>
    <mergeCell ref="O273:P273"/>
    <mergeCell ref="Q300:R300"/>
    <mergeCell ref="O289:P289"/>
    <mergeCell ref="O281:P281"/>
    <mergeCell ref="O288:P288"/>
    <mergeCell ref="O290:P290"/>
    <mergeCell ref="Q290:R290"/>
    <mergeCell ref="O296:P296"/>
    <mergeCell ref="Q296:R296"/>
    <mergeCell ref="O317:P317"/>
    <mergeCell ref="O278:P278"/>
    <mergeCell ref="O318:P318"/>
    <mergeCell ref="O322:P322"/>
    <mergeCell ref="O323:P323"/>
    <mergeCell ref="Q320:R320"/>
    <mergeCell ref="Q286:R286"/>
    <mergeCell ref="N190:O190"/>
    <mergeCell ref="O262:P262"/>
    <mergeCell ref="O268:T268"/>
    <mergeCell ref="O269:P269"/>
    <mergeCell ref="C272:N272"/>
    <mergeCell ref="O272:P272"/>
    <mergeCell ref="O265:T265"/>
    <mergeCell ref="N237:O237"/>
    <mergeCell ref="C276:N276"/>
    <mergeCell ref="O276:P276"/>
    <mergeCell ref="C277:N277"/>
    <mergeCell ref="O277:P277"/>
    <mergeCell ref="Q281:R281"/>
    <mergeCell ref="O293:P293"/>
    <mergeCell ref="Q293:R293"/>
    <mergeCell ref="O292:P292"/>
    <mergeCell ref="Q292:R292"/>
  </mergeCells>
  <conditionalFormatting sqref="M208:P208">
    <cfRule type="expression" dxfId="36" priority="11">
      <formula>$M$208&lt;&gt;""</formula>
    </cfRule>
  </conditionalFormatting>
  <conditionalFormatting sqref="O143:R143">
    <cfRule type="expression" dxfId="35" priority="17">
      <formula>$O$143&lt;&gt;""</formula>
    </cfRule>
  </conditionalFormatting>
  <conditionalFormatting sqref="O344:S344">
    <cfRule type="expression" dxfId="34" priority="2">
      <formula>$O$347&lt;&gt;""</formula>
    </cfRule>
  </conditionalFormatting>
  <conditionalFormatting sqref="O345:S345">
    <cfRule type="expression" dxfId="33" priority="1">
      <formula>$O$348&lt;&gt;""</formula>
    </cfRule>
  </conditionalFormatting>
  <conditionalFormatting sqref="O151:T151">
    <cfRule type="expression" dxfId="32" priority="13">
      <formula>$O$151&lt;&gt;""</formula>
    </cfRule>
  </conditionalFormatting>
  <conditionalFormatting sqref="O152:T152">
    <cfRule type="expression" dxfId="31" priority="12">
      <formula>$O$152&lt;&gt;""</formula>
    </cfRule>
  </conditionalFormatting>
  <conditionalFormatting sqref="O140:U140">
    <cfRule type="expression" dxfId="30" priority="20">
      <formula>$O$140&lt;&gt;""</formula>
    </cfRule>
  </conditionalFormatting>
  <conditionalFormatting sqref="O141:U141">
    <cfRule type="expression" dxfId="29" priority="19">
      <formula>$O$141&lt;&gt;""</formula>
    </cfRule>
  </conditionalFormatting>
  <conditionalFormatting sqref="O142:U142">
    <cfRule type="expression" dxfId="28" priority="18">
      <formula>$O$142&lt;&gt;""</formula>
    </cfRule>
  </conditionalFormatting>
  <conditionalFormatting sqref="O146:V146">
    <cfRule type="expression" dxfId="27" priority="16">
      <formula>$O$146&lt;&gt;""</formula>
    </cfRule>
  </conditionalFormatting>
  <conditionalFormatting sqref="O147:V147">
    <cfRule type="expression" dxfId="26" priority="15">
      <formula>$O$147&lt;&gt;""</formula>
    </cfRule>
  </conditionalFormatting>
  <conditionalFormatting sqref="O148:V148">
    <cfRule type="expression" dxfId="25" priority="14">
      <formula>$O$148&lt;&gt;""</formula>
    </cfRule>
  </conditionalFormatting>
  <conditionalFormatting sqref="P58:U58">
    <cfRule type="expression" dxfId="24" priority="4">
      <formula>$P$58&lt;&gt;""</formula>
    </cfRule>
  </conditionalFormatting>
  <conditionalFormatting sqref="Q161:W161">
    <cfRule type="expression" dxfId="23" priority="7">
      <formula>$Q$161&lt;&gt;""</formula>
    </cfRule>
  </conditionalFormatting>
  <conditionalFormatting sqref="Q162:W162">
    <cfRule type="expression" dxfId="22" priority="6">
      <formula>$Q$162&lt;&gt;""</formula>
    </cfRule>
  </conditionalFormatting>
  <conditionalFormatting sqref="Q163:W163">
    <cfRule type="expression" dxfId="21" priority="5">
      <formula>$Q$163&lt;&gt;""</formula>
    </cfRule>
  </conditionalFormatting>
  <conditionalFormatting sqref="R273:V273">
    <cfRule type="expression" dxfId="20" priority="10">
      <formula>$R$273&lt;&gt;""</formula>
    </cfRule>
  </conditionalFormatting>
  <conditionalFormatting sqref="R277:V277">
    <cfRule type="expression" dxfId="19" priority="3">
      <formula>$R$277&lt;&gt;""</formula>
    </cfRule>
  </conditionalFormatting>
  <conditionalFormatting sqref="R318:V318">
    <cfRule type="expression" dxfId="18" priority="9">
      <formula>$R$318&lt;&gt;""</formula>
    </cfRule>
  </conditionalFormatting>
  <dataValidations count="4">
    <dataValidation type="list" allowBlank="1" showInputMessage="1" showErrorMessage="1" sqref="M52:Q52">
      <formula1>lstCalculBilan</formula1>
    </dataValidation>
    <dataValidation type="list" allowBlank="1" showInputMessage="1" showErrorMessage="1" sqref="M54:N54">
      <formula1>"1,2,3"</formula1>
    </dataValidation>
    <dataValidation type="list" allowBlank="1" showInputMessage="1" showErrorMessage="1" sqref="M57:N57 O266:P266 O269:P269">
      <formula1>"Oui,Non"</formula1>
    </dataValidation>
    <dataValidation type="custom" allowBlank="1" showInputMessage="1" showErrorMessage="1" sqref="L344:M344">
      <formula1>ISNUMBER(L344)</formula1>
    </dataValidation>
  </dataValidations>
  <pageMargins left="0.7" right="0.7" top="0.75" bottom="0.75" header="0.3" footer="0.3"/>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AC274"/>
  <sheetViews>
    <sheetView showGridLines="0" zoomScaleNormal="100" workbookViewId="0">
      <pane ySplit="5" topLeftCell="A6" activePane="bottomLeft" state="frozen"/>
      <selection activeCell="AA19" sqref="AA19"/>
      <selection pane="bottomLeft" activeCell="M51" sqref="M51:N51"/>
    </sheetView>
  </sheetViews>
  <sheetFormatPr baseColWidth="10" defaultColWidth="9.140625" defaultRowHeight="15" x14ac:dyDescent="0.25"/>
  <cols>
    <col min="29" max="29" width="9.140625" hidden="1" customWidth="1"/>
  </cols>
  <sheetData>
    <row r="1" spans="1:26" x14ac:dyDescent="0.25">
      <c r="A1" s="26"/>
      <c r="B1" s="26"/>
      <c r="C1" s="26"/>
      <c r="D1" s="26"/>
      <c r="E1" s="26"/>
      <c r="F1" s="26"/>
      <c r="G1" s="26"/>
      <c r="H1" s="26"/>
      <c r="I1" s="26"/>
      <c r="J1" s="26"/>
      <c r="K1" s="74"/>
      <c r="L1" s="74"/>
      <c r="M1" s="74"/>
      <c r="N1" s="74"/>
      <c r="O1" s="26"/>
      <c r="P1" s="26"/>
      <c r="Q1" s="26"/>
      <c r="R1" s="26"/>
      <c r="S1" s="76" t="s">
        <v>706</v>
      </c>
      <c r="T1" s="26"/>
      <c r="U1" s="26"/>
      <c r="V1" s="26"/>
      <c r="W1" s="26"/>
      <c r="X1" s="26"/>
      <c r="Y1" s="26"/>
      <c r="Z1" s="26"/>
    </row>
    <row r="2" spans="1:26" x14ac:dyDescent="0.25">
      <c r="A2" s="26"/>
      <c r="B2" s="26"/>
      <c r="C2" s="26"/>
      <c r="D2" s="26"/>
      <c r="E2" s="26"/>
      <c r="F2" s="26"/>
      <c r="G2" s="26"/>
      <c r="H2" s="26"/>
      <c r="I2" s="26"/>
      <c r="J2" s="26"/>
      <c r="K2" s="74"/>
      <c r="L2" s="74"/>
      <c r="M2" s="74"/>
      <c r="N2" s="74"/>
      <c r="O2" s="26"/>
      <c r="P2" s="26"/>
      <c r="Q2" s="26"/>
      <c r="R2" s="26"/>
      <c r="S2" s="76" t="s">
        <v>707</v>
      </c>
      <c r="T2" s="26"/>
      <c r="U2" s="26"/>
      <c r="V2" s="26"/>
      <c r="W2" s="26"/>
      <c r="X2" s="26"/>
      <c r="Y2" s="26"/>
      <c r="Z2" s="26"/>
    </row>
    <row r="3" spans="1:26" x14ac:dyDescent="0.25">
      <c r="A3" s="26"/>
      <c r="B3" s="26"/>
      <c r="C3" s="26"/>
      <c r="D3" s="26"/>
      <c r="E3" s="26"/>
      <c r="F3" s="26"/>
      <c r="G3" s="26"/>
      <c r="H3" s="26"/>
      <c r="I3" s="26"/>
      <c r="J3" s="26"/>
      <c r="K3" s="74"/>
      <c r="L3" s="74"/>
      <c r="M3" s="74"/>
      <c r="N3" s="74"/>
      <c r="O3" s="26"/>
      <c r="P3" s="26"/>
      <c r="Q3" s="26"/>
      <c r="R3" s="26"/>
      <c r="S3" s="75" t="s">
        <v>608</v>
      </c>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676" t="str">
        <f>Accueil!I6</f>
        <v>Version 1.11</v>
      </c>
      <c r="Z4" s="676"/>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75" thickBot="1" x14ac:dyDescent="0.3"/>
    <row r="8" spans="1:26" x14ac:dyDescent="0.25">
      <c r="B8" s="16"/>
      <c r="C8" s="17"/>
      <c r="D8" s="17"/>
      <c r="E8" s="17"/>
      <c r="F8" s="17"/>
      <c r="G8" s="17"/>
      <c r="H8" s="17"/>
      <c r="I8" s="17"/>
      <c r="J8" s="17"/>
      <c r="K8" s="17"/>
      <c r="L8" s="17"/>
      <c r="M8" s="17"/>
      <c r="N8" s="17"/>
      <c r="O8" s="17"/>
      <c r="P8" s="17"/>
      <c r="Q8" s="17"/>
      <c r="R8" s="17"/>
      <c r="S8" s="17"/>
      <c r="T8" s="17"/>
      <c r="U8" s="17"/>
      <c r="V8" s="17"/>
      <c r="W8" s="17"/>
      <c r="X8" s="17"/>
      <c r="Y8" s="18"/>
    </row>
    <row r="9" spans="1:26" x14ac:dyDescent="0.25">
      <c r="B9" s="19"/>
      <c r="Y9" s="20"/>
    </row>
    <row r="10" spans="1:26" x14ac:dyDescent="0.25">
      <c r="B10" s="19"/>
      <c r="C10" s="42" t="s">
        <v>4956</v>
      </c>
      <c r="K10" s="703"/>
      <c r="L10" s="704"/>
      <c r="O10" s="853" t="str">
        <f>IF(K10="Non","Exploitation non concernée par cet indicateur","")</f>
        <v/>
      </c>
      <c r="P10" s="853"/>
      <c r="Q10" s="853"/>
      <c r="R10" s="853"/>
      <c r="S10" s="853"/>
      <c r="Y10" s="20"/>
    </row>
    <row r="11" spans="1:26" x14ac:dyDescent="0.25">
      <c r="B11" s="19"/>
      <c r="Y11" s="20"/>
    </row>
    <row r="12" spans="1:26" x14ac:dyDescent="0.25">
      <c r="B12" s="19"/>
      <c r="C12" s="110" t="s">
        <v>2600</v>
      </c>
      <c r="D12" s="47"/>
      <c r="E12" s="47"/>
      <c r="F12" s="47"/>
      <c r="G12" s="47"/>
      <c r="H12" s="47"/>
      <c r="I12" s="47"/>
      <c r="J12" s="43"/>
      <c r="K12" s="830"/>
      <c r="L12" s="831"/>
      <c r="M12" s="65" t="s">
        <v>252</v>
      </c>
      <c r="O12" t="str">
        <f>IF(K12&gt;cSAU,"Attention : surface irrigable saisie &gt; SAU","")</f>
        <v/>
      </c>
      <c r="Y12" s="20"/>
    </row>
    <row r="13" spans="1:26" x14ac:dyDescent="0.25">
      <c r="B13" s="19"/>
      <c r="C13" s="112" t="s">
        <v>2540</v>
      </c>
      <c r="D13" s="48"/>
      <c r="E13" s="48"/>
      <c r="F13" s="48"/>
      <c r="G13" s="48"/>
      <c r="H13" s="48"/>
      <c r="I13" s="48"/>
      <c r="J13" s="44"/>
      <c r="K13" s="830"/>
      <c r="L13" s="831"/>
      <c r="M13" s="65" t="s">
        <v>252</v>
      </c>
      <c r="O13" s="143" t="str">
        <f>IF(K13&gt;K12,"Attention : surface irriguée &gt; surface irrigable","")</f>
        <v/>
      </c>
      <c r="Y13" s="20"/>
    </row>
    <row r="14" spans="1:26" x14ac:dyDescent="0.25">
      <c r="B14" s="19"/>
      <c r="C14" s="112" t="s">
        <v>2753</v>
      </c>
      <c r="D14" s="48"/>
      <c r="E14" s="48"/>
      <c r="F14" s="48"/>
      <c r="G14" s="48"/>
      <c r="H14" s="48"/>
      <c r="I14" s="48"/>
      <c r="J14" s="44"/>
      <c r="K14" s="822" t="str">
        <f>IFERROR(IF(cIrriguante="Oui",K13/K12,""),0)</f>
        <v/>
      </c>
      <c r="L14" s="823"/>
      <c r="M14" s="65"/>
      <c r="O14" s="143"/>
      <c r="Y14" s="20"/>
    </row>
    <row r="15" spans="1:26" x14ac:dyDescent="0.25">
      <c r="B15" s="19"/>
      <c r="C15" s="119"/>
      <c r="D15" s="101"/>
      <c r="E15" s="101"/>
      <c r="F15" s="101"/>
      <c r="G15" s="101"/>
      <c r="H15" s="101"/>
      <c r="I15" s="101"/>
      <c r="J15" s="101"/>
      <c r="K15" s="101"/>
      <c r="L15" s="101"/>
      <c r="M15" s="101"/>
      <c r="N15" s="101"/>
      <c r="O15" s="101"/>
      <c r="P15" s="118"/>
      <c r="Q15" s="101"/>
      <c r="R15" s="101"/>
      <c r="S15" s="101"/>
      <c r="T15" s="101"/>
      <c r="U15" s="101"/>
      <c r="V15" s="101"/>
      <c r="W15" s="101"/>
      <c r="X15" s="101"/>
      <c r="Y15" s="20"/>
    </row>
    <row r="16" spans="1:26" ht="15.75" thickBot="1" x14ac:dyDescent="0.3">
      <c r="B16" s="22"/>
      <c r="C16" s="23"/>
      <c r="D16" s="23"/>
      <c r="E16" s="23"/>
      <c r="F16" s="23"/>
      <c r="G16" s="23"/>
      <c r="H16" s="23"/>
      <c r="I16" s="23"/>
      <c r="J16" s="23"/>
      <c r="K16" s="23"/>
      <c r="L16" s="23"/>
      <c r="M16" s="23"/>
      <c r="N16" s="23"/>
      <c r="O16" s="23"/>
      <c r="P16" s="23"/>
      <c r="Q16" s="23"/>
      <c r="R16" s="23"/>
      <c r="S16" s="23"/>
      <c r="T16" s="23"/>
      <c r="U16" s="23"/>
      <c r="V16" s="23"/>
      <c r="W16" s="23"/>
      <c r="X16" s="23"/>
      <c r="Y16" s="24"/>
    </row>
    <row r="19" spans="2:25" ht="15.75" thickBot="1" x14ac:dyDescent="0.3"/>
    <row r="20" spans="2:25" x14ac:dyDescent="0.25">
      <c r="B20" s="16"/>
      <c r="C20" s="17"/>
      <c r="D20" s="17"/>
      <c r="E20" s="17"/>
      <c r="F20" s="17"/>
      <c r="G20" s="17"/>
      <c r="H20" s="17"/>
      <c r="I20" s="17"/>
      <c r="J20" s="17"/>
      <c r="K20" s="17"/>
      <c r="L20" s="17"/>
      <c r="M20" s="17"/>
      <c r="N20" s="17"/>
      <c r="O20" s="17"/>
      <c r="P20" s="17"/>
      <c r="Q20" s="17"/>
      <c r="R20" s="17"/>
      <c r="S20" s="17"/>
      <c r="T20" s="17"/>
      <c r="U20" s="17"/>
      <c r="V20" s="17"/>
      <c r="W20" s="17"/>
      <c r="X20" s="17"/>
      <c r="Y20" s="18"/>
    </row>
    <row r="21" spans="2:25" x14ac:dyDescent="0.25">
      <c r="B21" s="19"/>
      <c r="Y21" s="20"/>
    </row>
    <row r="22" spans="2:25" x14ac:dyDescent="0.25">
      <c r="B22" s="19"/>
      <c r="C22" s="21" t="s">
        <v>2541</v>
      </c>
      <c r="Y22" s="20"/>
    </row>
    <row r="23" spans="2:25" x14ac:dyDescent="0.25">
      <c r="B23" s="19"/>
      <c r="Y23" s="20"/>
    </row>
    <row r="24" spans="2:25" x14ac:dyDescent="0.25">
      <c r="B24" s="19"/>
      <c r="C24" s="110" t="s">
        <v>350</v>
      </c>
      <c r="D24" s="47"/>
      <c r="E24" s="47"/>
      <c r="F24" s="47"/>
      <c r="G24" s="47"/>
      <c r="H24" s="47"/>
      <c r="I24" s="47"/>
      <c r="J24" s="43"/>
      <c r="K24" s="703"/>
      <c r="L24" s="704"/>
      <c r="Y24" s="20"/>
    </row>
    <row r="25" spans="2:25" x14ac:dyDescent="0.25">
      <c r="B25" s="19"/>
      <c r="Y25" s="20"/>
    </row>
    <row r="26" spans="2:25" x14ac:dyDescent="0.25">
      <c r="B26" s="19"/>
      <c r="C26" s="110" t="s">
        <v>351</v>
      </c>
      <c r="D26" s="47"/>
      <c r="E26" s="47"/>
      <c r="F26" s="47"/>
      <c r="G26" s="47"/>
      <c r="H26" s="47"/>
      <c r="I26" s="47"/>
      <c r="J26" s="43"/>
      <c r="K26" s="703"/>
      <c r="L26" s="704"/>
      <c r="Y26" s="20"/>
    </row>
    <row r="27" spans="2:25" x14ac:dyDescent="0.25">
      <c r="B27" s="19"/>
      <c r="C27" s="112" t="s">
        <v>352</v>
      </c>
      <c r="D27" s="48"/>
      <c r="E27" s="48"/>
      <c r="F27" s="48"/>
      <c r="G27" s="48"/>
      <c r="H27" s="48"/>
      <c r="I27" s="48"/>
      <c r="J27" s="44"/>
      <c r="K27" s="703"/>
      <c r="L27" s="704"/>
      <c r="Y27" s="20"/>
    </row>
    <row r="28" spans="2:25" x14ac:dyDescent="0.25">
      <c r="B28" s="19"/>
      <c r="C28" s="112" t="s">
        <v>353</v>
      </c>
      <c r="D28" s="48"/>
      <c r="E28" s="48"/>
      <c r="F28" s="48"/>
      <c r="G28" s="48"/>
      <c r="H28" s="48"/>
      <c r="I28" s="48"/>
      <c r="J28" s="44"/>
      <c r="K28" s="836" t="str">
        <f>IF(AND(K26="",K27=""),"",K26*5+K27*7)</f>
        <v/>
      </c>
      <c r="L28" s="835"/>
      <c r="Y28" s="20"/>
    </row>
    <row r="29" spans="2:25" x14ac:dyDescent="0.25">
      <c r="B29" s="19"/>
      <c r="Y29" s="20"/>
    </row>
    <row r="30" spans="2:25" x14ac:dyDescent="0.25">
      <c r="B30" s="19"/>
      <c r="C30" s="42" t="s">
        <v>354</v>
      </c>
      <c r="J30" s="651" t="s">
        <v>369</v>
      </c>
      <c r="K30" s="651"/>
      <c r="L30" s="651"/>
      <c r="M30" s="651"/>
      <c r="Y30" s="20"/>
    </row>
    <row r="31" spans="2:25" x14ac:dyDescent="0.25">
      <c r="B31" s="19"/>
      <c r="D31" s="47" t="s">
        <v>355</v>
      </c>
      <c r="E31" s="47"/>
      <c r="F31" s="47"/>
      <c r="G31" s="47"/>
      <c r="H31" s="47"/>
      <c r="I31" s="47"/>
      <c r="J31" s="43"/>
      <c r="K31" s="703"/>
      <c r="L31" s="704"/>
      <c r="Y31" s="20"/>
    </row>
    <row r="32" spans="2:25" x14ac:dyDescent="0.25">
      <c r="B32" s="19"/>
      <c r="D32" s="48" t="s">
        <v>356</v>
      </c>
      <c r="E32" s="48"/>
      <c r="F32" s="48"/>
      <c r="G32" s="48"/>
      <c r="H32" s="48"/>
      <c r="I32" s="48"/>
      <c r="J32" s="44"/>
      <c r="K32" s="703"/>
      <c r="L32" s="704"/>
      <c r="Y32" s="20"/>
    </row>
    <row r="33" spans="2:25" x14ac:dyDescent="0.25">
      <c r="B33" s="19"/>
      <c r="D33" s="48" t="s">
        <v>357</v>
      </c>
      <c r="E33" s="48"/>
      <c r="F33" s="48"/>
      <c r="G33" s="48"/>
      <c r="H33" s="48"/>
      <c r="I33" s="48"/>
      <c r="J33" s="44"/>
      <c r="K33" s="703"/>
      <c r="L33" s="704"/>
      <c r="Y33" s="20"/>
    </row>
    <row r="34" spans="2:25" x14ac:dyDescent="0.25">
      <c r="B34" s="19"/>
      <c r="D34" s="48" t="s">
        <v>358</v>
      </c>
      <c r="E34" s="48"/>
      <c r="F34" s="48"/>
      <c r="G34" s="48"/>
      <c r="H34" s="48"/>
      <c r="I34" s="48"/>
      <c r="J34" s="44"/>
      <c r="K34" s="703"/>
      <c r="L34" s="704"/>
      <c r="Y34" s="20"/>
    </row>
    <row r="35" spans="2:25" x14ac:dyDescent="0.25">
      <c r="B35" s="19"/>
      <c r="D35" s="48" t="s">
        <v>359</v>
      </c>
      <c r="E35" s="48"/>
      <c r="F35" s="48"/>
      <c r="G35" s="48"/>
      <c r="H35" s="48"/>
      <c r="I35" s="48"/>
      <c r="J35" s="44"/>
      <c r="K35" s="703"/>
      <c r="L35" s="704"/>
      <c r="Y35" s="20"/>
    </row>
    <row r="36" spans="2:25" x14ac:dyDescent="0.25">
      <c r="B36" s="19"/>
      <c r="D36" s="48" t="s">
        <v>360</v>
      </c>
      <c r="E36" s="48"/>
      <c r="F36" s="48"/>
      <c r="G36" s="48"/>
      <c r="H36" s="48"/>
      <c r="I36" s="48"/>
      <c r="J36" s="44"/>
      <c r="K36" s="703"/>
      <c r="L36" s="704"/>
      <c r="Y36" s="20"/>
    </row>
    <row r="37" spans="2:25" x14ac:dyDescent="0.25">
      <c r="B37" s="19"/>
      <c r="D37" s="48" t="s">
        <v>361</v>
      </c>
      <c r="E37" s="48"/>
      <c r="F37" s="48"/>
      <c r="G37" s="48"/>
      <c r="H37" s="48"/>
      <c r="I37" s="48"/>
      <c r="J37" s="44"/>
      <c r="K37" s="703"/>
      <c r="L37" s="704"/>
      <c r="Y37" s="20"/>
    </row>
    <row r="38" spans="2:25" x14ac:dyDescent="0.25">
      <c r="B38" s="19"/>
      <c r="Y38" s="20"/>
    </row>
    <row r="39" spans="2:25" x14ac:dyDescent="0.25">
      <c r="B39" s="19"/>
      <c r="C39" s="42" t="s">
        <v>362</v>
      </c>
      <c r="Y39" s="20"/>
    </row>
    <row r="40" spans="2:25" x14ac:dyDescent="0.25">
      <c r="B40" s="19"/>
      <c r="D40" s="47" t="s">
        <v>363</v>
      </c>
      <c r="E40" s="47"/>
      <c r="F40" s="47"/>
      <c r="G40" s="47"/>
      <c r="H40" s="47"/>
      <c r="I40" s="47"/>
      <c r="J40" s="43"/>
      <c r="K40" s="703"/>
      <c r="L40" s="704"/>
      <c r="Y40" s="20"/>
    </row>
    <row r="41" spans="2:25" x14ac:dyDescent="0.25">
      <c r="B41" s="19"/>
      <c r="D41" s="48" t="s">
        <v>364</v>
      </c>
      <c r="E41" s="48"/>
      <c r="F41" s="48"/>
      <c r="G41" s="48"/>
      <c r="H41" s="48"/>
      <c r="I41" s="48"/>
      <c r="J41" s="44"/>
      <c r="K41" s="703"/>
      <c r="L41" s="704"/>
      <c r="Y41" s="20"/>
    </row>
    <row r="42" spans="2:25" x14ac:dyDescent="0.25">
      <c r="B42" s="19"/>
      <c r="D42" s="48" t="s">
        <v>365</v>
      </c>
      <c r="E42" s="48"/>
      <c r="F42" s="48"/>
      <c r="G42" s="48"/>
      <c r="H42" s="48"/>
      <c r="I42" s="48"/>
      <c r="J42" s="44"/>
      <c r="K42" s="703"/>
      <c r="L42" s="704"/>
      <c r="Y42" s="20"/>
    </row>
    <row r="43" spans="2:25" x14ac:dyDescent="0.25">
      <c r="B43" s="19"/>
      <c r="D43" s="48" t="s">
        <v>366</v>
      </c>
      <c r="E43" s="48"/>
      <c r="F43" s="48"/>
      <c r="G43" s="48"/>
      <c r="H43" s="48"/>
      <c r="I43" s="48"/>
      <c r="J43" s="44"/>
      <c r="K43" s="703"/>
      <c r="L43" s="704"/>
      <c r="Y43" s="20"/>
    </row>
    <row r="44" spans="2:25" x14ac:dyDescent="0.25">
      <c r="B44" s="19"/>
      <c r="D44" s="48" t="s">
        <v>367</v>
      </c>
      <c r="E44" s="48"/>
      <c r="F44" s="48"/>
      <c r="G44" s="48"/>
      <c r="H44" s="48"/>
      <c r="I44" s="48"/>
      <c r="J44" s="44"/>
      <c r="K44" s="703"/>
      <c r="L44" s="704"/>
      <c r="Y44" s="20"/>
    </row>
    <row r="45" spans="2:25" x14ac:dyDescent="0.25">
      <c r="B45" s="19"/>
      <c r="Y45" s="20"/>
    </row>
    <row r="46" spans="2:25" x14ac:dyDescent="0.25">
      <c r="B46" s="19"/>
      <c r="C46" s="110" t="s">
        <v>368</v>
      </c>
      <c r="D46" s="47"/>
      <c r="E46" s="47"/>
      <c r="F46" s="47"/>
      <c r="G46" s="47"/>
      <c r="H46" s="47"/>
      <c r="I46" s="47"/>
      <c r="J46" s="43"/>
      <c r="K46" s="836" t="str">
        <f>IF(AND(K24="OUI",K28&lt;&gt;""),SUM(K31:L37)+SUM(K40:L44),IF(K28&lt;&gt;"",K28,""))</f>
        <v/>
      </c>
      <c r="L46" s="835"/>
      <c r="N46" s="143" t="str">
        <f>IF(K46&gt;K28,"Attention : nombre de données manquantes &gt; nombre de données à enregistrer","")</f>
        <v/>
      </c>
      <c r="Y46" s="20"/>
    </row>
    <row r="47" spans="2:25" x14ac:dyDescent="0.25">
      <c r="B47" s="19"/>
      <c r="Y47" s="20"/>
    </row>
    <row r="48" spans="2:25" x14ac:dyDescent="0.25">
      <c r="B48" s="19"/>
      <c r="Y48" s="20"/>
    </row>
    <row r="49" spans="2:25" x14ac:dyDescent="0.25">
      <c r="B49" s="19"/>
      <c r="C49" s="42"/>
      <c r="M49" s="651" t="s">
        <v>239</v>
      </c>
      <c r="N49" s="651"/>
      <c r="Y49" s="20"/>
    </row>
    <row r="50" spans="2:25" x14ac:dyDescent="0.25">
      <c r="B50" s="19"/>
      <c r="W50" s="951" t="s">
        <v>713</v>
      </c>
      <c r="X50" s="951"/>
      <c r="Y50" s="20"/>
    </row>
    <row r="51" spans="2:25" x14ac:dyDescent="0.25">
      <c r="B51" s="19"/>
      <c r="D51" s="77" t="s">
        <v>426</v>
      </c>
      <c r="E51" s="77"/>
      <c r="F51" s="77"/>
      <c r="G51" s="77"/>
      <c r="H51" s="77"/>
      <c r="I51" s="77"/>
      <c r="J51" s="102"/>
      <c r="K51" s="822">
        <f>IFERROR(K46/K28,0)</f>
        <v>0</v>
      </c>
      <c r="L51" s="823"/>
      <c r="M51" s="712">
        <f>IFERROR(IF(cSAU=0,0,IF(OR(cIrriguante="Non",K46=""),0,IF(AND(K51&gt;=0.2,K51&lt;0.3),2,IF(AND(K51&gt;=0.1,K51&lt;0.2),4,IF(K51&lt;0.1,6,0))))),0)</f>
        <v>0</v>
      </c>
      <c r="N51" s="713"/>
      <c r="W51" s="681">
        <v>6</v>
      </c>
      <c r="X51" s="682"/>
      <c r="Y51" s="20"/>
    </row>
    <row r="52" spans="2:25" x14ac:dyDescent="0.25">
      <c r="B52" s="19"/>
      <c r="Y52" s="20"/>
    </row>
    <row r="53" spans="2:25" x14ac:dyDescent="0.25">
      <c r="B53" s="19"/>
      <c r="Y53" s="20"/>
    </row>
    <row r="54" spans="2:25" x14ac:dyDescent="0.25">
      <c r="B54" s="19"/>
      <c r="D54" s="70" t="s">
        <v>2506</v>
      </c>
      <c r="Y54" s="20"/>
    </row>
    <row r="55" spans="2:25" x14ac:dyDescent="0.25">
      <c r="B55" s="19"/>
      <c r="D55" s="667"/>
      <c r="E55" s="668"/>
      <c r="F55" s="668"/>
      <c r="G55" s="668"/>
      <c r="H55" s="668"/>
      <c r="I55" s="668"/>
      <c r="J55" s="668"/>
      <c r="K55" s="668"/>
      <c r="L55" s="668"/>
      <c r="M55" s="668"/>
      <c r="N55" s="668"/>
      <c r="O55" s="668"/>
      <c r="P55" s="668"/>
      <c r="Q55" s="668"/>
      <c r="R55" s="668"/>
      <c r="S55" s="668"/>
      <c r="T55" s="668"/>
      <c r="U55" s="668"/>
      <c r="V55" s="668"/>
      <c r="W55" s="668"/>
      <c r="X55" s="669"/>
      <c r="Y55" s="20"/>
    </row>
    <row r="56" spans="2:25" x14ac:dyDescent="0.25">
      <c r="B56" s="19"/>
      <c r="D56" s="670"/>
      <c r="E56" s="671"/>
      <c r="F56" s="671"/>
      <c r="G56" s="671"/>
      <c r="H56" s="671"/>
      <c r="I56" s="671"/>
      <c r="J56" s="671"/>
      <c r="K56" s="671"/>
      <c r="L56" s="671"/>
      <c r="M56" s="671"/>
      <c r="N56" s="671"/>
      <c r="O56" s="671"/>
      <c r="P56" s="671"/>
      <c r="Q56" s="671"/>
      <c r="R56" s="671"/>
      <c r="S56" s="671"/>
      <c r="T56" s="671"/>
      <c r="U56" s="671"/>
      <c r="V56" s="671"/>
      <c r="W56" s="671"/>
      <c r="X56" s="672"/>
      <c r="Y56" s="20"/>
    </row>
    <row r="57" spans="2:25" x14ac:dyDescent="0.25">
      <c r="B57" s="19"/>
      <c r="D57" s="670"/>
      <c r="E57" s="671"/>
      <c r="F57" s="671"/>
      <c r="G57" s="671"/>
      <c r="H57" s="671"/>
      <c r="I57" s="671"/>
      <c r="J57" s="671"/>
      <c r="K57" s="671"/>
      <c r="L57" s="671"/>
      <c r="M57" s="671"/>
      <c r="N57" s="671"/>
      <c r="O57" s="671"/>
      <c r="P57" s="671"/>
      <c r="Q57" s="671"/>
      <c r="R57" s="671"/>
      <c r="S57" s="671"/>
      <c r="T57" s="671"/>
      <c r="U57" s="671"/>
      <c r="V57" s="671"/>
      <c r="W57" s="671"/>
      <c r="X57" s="672"/>
      <c r="Y57" s="20"/>
    </row>
    <row r="58" spans="2:25" x14ac:dyDescent="0.25">
      <c r="B58" s="19"/>
      <c r="D58" s="670"/>
      <c r="E58" s="671"/>
      <c r="F58" s="671"/>
      <c r="G58" s="671"/>
      <c r="H58" s="671"/>
      <c r="I58" s="671"/>
      <c r="J58" s="671"/>
      <c r="K58" s="671"/>
      <c r="L58" s="671"/>
      <c r="M58" s="671"/>
      <c r="N58" s="671"/>
      <c r="O58" s="671"/>
      <c r="P58" s="671"/>
      <c r="Q58" s="671"/>
      <c r="R58" s="671"/>
      <c r="S58" s="671"/>
      <c r="T58" s="671"/>
      <c r="U58" s="671"/>
      <c r="V58" s="671"/>
      <c r="W58" s="671"/>
      <c r="X58" s="672"/>
      <c r="Y58" s="20"/>
    </row>
    <row r="59" spans="2:25" x14ac:dyDescent="0.25">
      <c r="B59" s="19"/>
      <c r="D59" s="670"/>
      <c r="E59" s="671"/>
      <c r="F59" s="671"/>
      <c r="G59" s="671"/>
      <c r="H59" s="671"/>
      <c r="I59" s="671"/>
      <c r="J59" s="671"/>
      <c r="K59" s="671"/>
      <c r="L59" s="671"/>
      <c r="M59" s="671"/>
      <c r="N59" s="671"/>
      <c r="O59" s="671"/>
      <c r="P59" s="671"/>
      <c r="Q59" s="671"/>
      <c r="R59" s="671"/>
      <c r="S59" s="671"/>
      <c r="T59" s="671"/>
      <c r="U59" s="671"/>
      <c r="V59" s="671"/>
      <c r="W59" s="671"/>
      <c r="X59" s="672"/>
      <c r="Y59" s="20"/>
    </row>
    <row r="60" spans="2:25" x14ac:dyDescent="0.25">
      <c r="B60" s="19"/>
      <c r="D60" s="670"/>
      <c r="E60" s="671"/>
      <c r="F60" s="671"/>
      <c r="G60" s="671"/>
      <c r="H60" s="671"/>
      <c r="I60" s="671"/>
      <c r="J60" s="671"/>
      <c r="K60" s="671"/>
      <c r="L60" s="671"/>
      <c r="M60" s="671"/>
      <c r="N60" s="671"/>
      <c r="O60" s="671"/>
      <c r="P60" s="671"/>
      <c r="Q60" s="671"/>
      <c r="R60" s="671"/>
      <c r="S60" s="671"/>
      <c r="T60" s="671"/>
      <c r="U60" s="671"/>
      <c r="V60" s="671"/>
      <c r="W60" s="671"/>
      <c r="X60" s="672"/>
      <c r="Y60" s="20"/>
    </row>
    <row r="61" spans="2:25" x14ac:dyDescent="0.25">
      <c r="B61" s="19"/>
      <c r="D61" s="670"/>
      <c r="E61" s="671"/>
      <c r="F61" s="671"/>
      <c r="G61" s="671"/>
      <c r="H61" s="671"/>
      <c r="I61" s="671"/>
      <c r="J61" s="671"/>
      <c r="K61" s="671"/>
      <c r="L61" s="671"/>
      <c r="M61" s="671"/>
      <c r="N61" s="671"/>
      <c r="O61" s="671"/>
      <c r="P61" s="671"/>
      <c r="Q61" s="671"/>
      <c r="R61" s="671"/>
      <c r="S61" s="671"/>
      <c r="T61" s="671"/>
      <c r="U61" s="671"/>
      <c r="V61" s="671"/>
      <c r="W61" s="671"/>
      <c r="X61" s="672"/>
      <c r="Y61" s="20"/>
    </row>
    <row r="62" spans="2:25" x14ac:dyDescent="0.25">
      <c r="B62" s="19"/>
      <c r="D62" s="670"/>
      <c r="E62" s="671"/>
      <c r="F62" s="671"/>
      <c r="G62" s="671"/>
      <c r="H62" s="671"/>
      <c r="I62" s="671"/>
      <c r="J62" s="671"/>
      <c r="K62" s="671"/>
      <c r="L62" s="671"/>
      <c r="M62" s="671"/>
      <c r="N62" s="671"/>
      <c r="O62" s="671"/>
      <c r="P62" s="671"/>
      <c r="Q62" s="671"/>
      <c r="R62" s="671"/>
      <c r="S62" s="671"/>
      <c r="T62" s="671"/>
      <c r="U62" s="671"/>
      <c r="V62" s="671"/>
      <c r="W62" s="671"/>
      <c r="X62" s="672"/>
      <c r="Y62" s="20"/>
    </row>
    <row r="63" spans="2:25" x14ac:dyDescent="0.25">
      <c r="B63" s="19"/>
      <c r="D63" s="670"/>
      <c r="E63" s="671"/>
      <c r="F63" s="671"/>
      <c r="G63" s="671"/>
      <c r="H63" s="671"/>
      <c r="I63" s="671"/>
      <c r="J63" s="671"/>
      <c r="K63" s="671"/>
      <c r="L63" s="671"/>
      <c r="M63" s="671"/>
      <c r="N63" s="671"/>
      <c r="O63" s="671"/>
      <c r="P63" s="671"/>
      <c r="Q63" s="671"/>
      <c r="R63" s="671"/>
      <c r="S63" s="671"/>
      <c r="T63" s="671"/>
      <c r="U63" s="671"/>
      <c r="V63" s="671"/>
      <c r="W63" s="671"/>
      <c r="X63" s="672"/>
      <c r="Y63" s="20"/>
    </row>
    <row r="64" spans="2:25" x14ac:dyDescent="0.25">
      <c r="B64" s="19"/>
      <c r="D64" s="673"/>
      <c r="E64" s="674"/>
      <c r="F64" s="674"/>
      <c r="G64" s="674"/>
      <c r="H64" s="674"/>
      <c r="I64" s="674"/>
      <c r="J64" s="674"/>
      <c r="K64" s="674"/>
      <c r="L64" s="674"/>
      <c r="M64" s="674"/>
      <c r="N64" s="674"/>
      <c r="O64" s="674"/>
      <c r="P64" s="674"/>
      <c r="Q64" s="674"/>
      <c r="R64" s="674"/>
      <c r="S64" s="674"/>
      <c r="T64" s="674"/>
      <c r="U64" s="674"/>
      <c r="V64" s="674"/>
      <c r="W64" s="674"/>
      <c r="X64" s="675"/>
      <c r="Y64" s="20"/>
    </row>
    <row r="65" spans="2:25" x14ac:dyDescent="0.25">
      <c r="B65" s="19"/>
      <c r="Y65" s="20"/>
    </row>
    <row r="66" spans="2:25" ht="15.75" thickBot="1" x14ac:dyDescent="0.3">
      <c r="B66" s="22"/>
      <c r="C66" s="23"/>
      <c r="D66" s="23"/>
      <c r="E66" s="23"/>
      <c r="F66" s="23"/>
      <c r="G66" s="23"/>
      <c r="H66" s="23"/>
      <c r="I66" s="23"/>
      <c r="J66" s="23"/>
      <c r="K66" s="23"/>
      <c r="L66" s="23"/>
      <c r="M66" s="23"/>
      <c r="N66" s="23"/>
      <c r="O66" s="23"/>
      <c r="P66" s="23"/>
      <c r="Q66" s="23"/>
      <c r="R66" s="23"/>
      <c r="S66" s="23"/>
      <c r="T66" s="23"/>
      <c r="U66" s="23"/>
      <c r="V66" s="23"/>
      <c r="W66" s="23"/>
      <c r="X66" s="23"/>
      <c r="Y66" s="24"/>
    </row>
    <row r="69" spans="2:25" ht="15.75" thickBot="1" x14ac:dyDescent="0.3"/>
    <row r="70" spans="2:25" x14ac:dyDescent="0.25">
      <c r="B70" s="16"/>
      <c r="C70" s="17"/>
      <c r="D70" s="17"/>
      <c r="E70" s="17"/>
      <c r="F70" s="17"/>
      <c r="G70" s="17"/>
      <c r="H70" s="17"/>
      <c r="I70" s="17"/>
      <c r="J70" s="17"/>
      <c r="K70" s="17"/>
      <c r="L70" s="17"/>
      <c r="M70" s="17"/>
      <c r="N70" s="17"/>
      <c r="O70" s="17"/>
      <c r="P70" s="17"/>
      <c r="Q70" s="17"/>
      <c r="R70" s="17"/>
      <c r="S70" s="17"/>
      <c r="T70" s="17"/>
      <c r="U70" s="17"/>
      <c r="V70" s="17"/>
      <c r="W70" s="17"/>
      <c r="X70" s="17"/>
      <c r="Y70" s="18"/>
    </row>
    <row r="71" spans="2:25" x14ac:dyDescent="0.25">
      <c r="B71" s="19"/>
      <c r="Y71" s="20"/>
    </row>
    <row r="72" spans="2:25" ht="15" customHeight="1" x14ac:dyDescent="0.25">
      <c r="B72" s="19"/>
      <c r="C72" s="130" t="s">
        <v>2542</v>
      </c>
      <c r="D72" s="130"/>
      <c r="E72" s="130"/>
      <c r="F72" s="130"/>
      <c r="G72" s="130"/>
      <c r="H72" s="130"/>
      <c r="I72" s="130"/>
      <c r="J72" s="130"/>
      <c r="K72" s="130"/>
      <c r="L72" s="130"/>
      <c r="M72" s="130"/>
      <c r="N72" s="130"/>
      <c r="O72" s="130"/>
      <c r="P72" s="130"/>
      <c r="Q72" s="130"/>
      <c r="R72" s="130"/>
      <c r="S72" s="130"/>
      <c r="T72" s="130"/>
      <c r="U72" s="130"/>
      <c r="V72" s="130"/>
      <c r="W72" s="130"/>
      <c r="Y72" s="20"/>
    </row>
    <row r="73" spans="2:25" x14ac:dyDescent="0.25">
      <c r="B73" s="19"/>
      <c r="C73" s="130"/>
      <c r="D73" s="130"/>
      <c r="E73" s="130"/>
      <c r="F73" s="130"/>
      <c r="G73" s="130"/>
      <c r="H73" s="130"/>
      <c r="I73" s="130"/>
      <c r="J73" s="130"/>
      <c r="K73" s="130"/>
      <c r="L73" s="130"/>
      <c r="M73" s="130"/>
      <c r="N73" s="130"/>
      <c r="O73" s="130"/>
      <c r="P73" s="130"/>
      <c r="Q73" s="130"/>
      <c r="R73" s="130"/>
      <c r="S73" s="130"/>
      <c r="T73" s="130"/>
      <c r="U73" s="130"/>
      <c r="V73" s="130"/>
      <c r="W73" s="130"/>
      <c r="Y73" s="20"/>
    </row>
    <row r="74" spans="2:25" x14ac:dyDescent="0.25">
      <c r="B74" s="19"/>
      <c r="C74" s="130"/>
      <c r="D74" s="130"/>
      <c r="E74" s="130"/>
      <c r="F74" s="130"/>
      <c r="G74" s="130"/>
      <c r="H74" s="130"/>
      <c r="I74" s="130"/>
      <c r="J74" s="130"/>
      <c r="K74" s="130"/>
      <c r="L74" s="130"/>
      <c r="O74" s="651" t="s">
        <v>239</v>
      </c>
      <c r="P74" s="651"/>
      <c r="Q74" s="130"/>
      <c r="R74" s="130"/>
      <c r="S74" s="130"/>
      <c r="T74" s="130"/>
      <c r="U74" s="130"/>
      <c r="V74" s="130"/>
      <c r="W74" s="130"/>
      <c r="Y74" s="20"/>
    </row>
    <row r="75" spans="2:25" x14ac:dyDescent="0.25">
      <c r="B75" s="19"/>
      <c r="C75" s="358" t="s">
        <v>2391</v>
      </c>
      <c r="Y75" s="20"/>
    </row>
    <row r="76" spans="2:25" x14ac:dyDescent="0.25">
      <c r="B76" s="19"/>
      <c r="D76" s="47" t="s">
        <v>370</v>
      </c>
      <c r="E76" s="47"/>
      <c r="F76" s="47"/>
      <c r="G76" s="47"/>
      <c r="H76" s="47"/>
      <c r="I76" s="47"/>
      <c r="J76" s="47"/>
      <c r="K76" s="47"/>
      <c r="L76" s="43"/>
      <c r="M76" s="703"/>
      <c r="N76" s="704"/>
      <c r="Y76" s="20"/>
    </row>
    <row r="77" spans="2:25" x14ac:dyDescent="0.25">
      <c r="B77" s="19"/>
      <c r="D77" s="48" t="s">
        <v>371</v>
      </c>
      <c r="E77" s="48"/>
      <c r="F77" s="48"/>
      <c r="G77" s="48"/>
      <c r="H77" s="48"/>
      <c r="I77" s="48"/>
      <c r="J77" s="48"/>
      <c r="K77" s="48"/>
      <c r="L77" s="44"/>
      <c r="M77" s="703"/>
      <c r="N77" s="704"/>
      <c r="Y77" s="20"/>
    </row>
    <row r="78" spans="2:25" x14ac:dyDescent="0.25">
      <c r="B78" s="19"/>
      <c r="D78" s="48" t="s">
        <v>372</v>
      </c>
      <c r="E78" s="48"/>
      <c r="F78" s="48"/>
      <c r="G78" s="48"/>
      <c r="H78" s="48"/>
      <c r="I78" s="48"/>
      <c r="J78" s="48"/>
      <c r="K78" s="48"/>
      <c r="L78" s="44"/>
      <c r="M78" s="703"/>
      <c r="N78" s="704"/>
      <c r="Y78" s="20"/>
    </row>
    <row r="79" spans="2:25" x14ac:dyDescent="0.25">
      <c r="B79" s="19"/>
      <c r="M79" s="160"/>
      <c r="N79" s="160"/>
      <c r="Y79" s="20"/>
    </row>
    <row r="80" spans="2:25" x14ac:dyDescent="0.25">
      <c r="B80" s="19"/>
      <c r="D80" s="77" t="s">
        <v>2418</v>
      </c>
      <c r="E80" s="77"/>
      <c r="F80" s="77"/>
      <c r="G80" s="77"/>
      <c r="H80" s="77"/>
      <c r="I80" s="77"/>
      <c r="J80" s="77"/>
      <c r="K80" s="77"/>
      <c r="L80" s="77"/>
      <c r="M80" s="326"/>
      <c r="N80" s="327"/>
      <c r="O80" s="920">
        <f>MIN(IF(M76&gt;=1,1,0)+IF(M77&gt;=1,1,0)+IF(M78&gt;=1,2,0),2)</f>
        <v>0</v>
      </c>
      <c r="P80" s="921"/>
      <c r="Y80" s="20"/>
    </row>
    <row r="81" spans="2:25" x14ac:dyDescent="0.25">
      <c r="B81" s="19"/>
      <c r="Y81" s="20"/>
    </row>
    <row r="82" spans="2:25" ht="15" customHeight="1" x14ac:dyDescent="0.25">
      <c r="B82" s="19"/>
      <c r="Y82" s="20"/>
    </row>
    <row r="83" spans="2:25" ht="15" customHeight="1" x14ac:dyDescent="0.25">
      <c r="B83" s="19"/>
      <c r="C83" s="70" t="s">
        <v>2392</v>
      </c>
      <c r="M83" s="832" t="s">
        <v>339</v>
      </c>
      <c r="N83" s="832"/>
      <c r="Y83" s="20"/>
    </row>
    <row r="84" spans="2:25" x14ac:dyDescent="0.25">
      <c r="B84" s="19"/>
      <c r="D84" s="47" t="s">
        <v>2393</v>
      </c>
      <c r="E84" s="47"/>
      <c r="F84" s="92"/>
      <c r="G84" s="92"/>
      <c r="H84" s="92"/>
      <c r="I84" s="92"/>
      <c r="J84" s="92"/>
      <c r="K84" s="92"/>
      <c r="L84" s="359"/>
      <c r="M84" s="703"/>
      <c r="N84" s="704"/>
      <c r="P84" s="143" t="str">
        <f>IF(M84&gt;Surfaces!O197,"Attention : surface saisie &gt; surface en horticulture","")</f>
        <v/>
      </c>
      <c r="Y84" s="20"/>
    </row>
    <row r="85" spans="2:25" x14ac:dyDescent="0.25">
      <c r="B85" s="19"/>
      <c r="D85" s="108" t="s">
        <v>2516</v>
      </c>
      <c r="E85" s="48"/>
      <c r="F85" s="108"/>
      <c r="G85" s="108"/>
      <c r="H85" s="108"/>
      <c r="I85" s="108"/>
      <c r="J85" s="108"/>
      <c r="K85" s="108"/>
      <c r="L85" s="109"/>
      <c r="M85" s="822">
        <f>IFERROR(M84/Surfaces!O197,0)</f>
        <v>0</v>
      </c>
      <c r="N85" s="823"/>
      <c r="O85" s="96"/>
      <c r="P85" s="96"/>
      <c r="Y85" s="20"/>
    </row>
    <row r="86" spans="2:25" x14ac:dyDescent="0.25">
      <c r="B86" s="19"/>
      <c r="D86" s="179"/>
      <c r="F86" s="179"/>
      <c r="G86" s="179"/>
      <c r="H86" s="179"/>
      <c r="I86" s="179"/>
      <c r="J86" s="179"/>
      <c r="K86" s="179"/>
      <c r="L86" s="179"/>
      <c r="Y86" s="20"/>
    </row>
    <row r="87" spans="2:25" x14ac:dyDescent="0.25">
      <c r="B87" s="19"/>
      <c r="D87" s="77" t="s">
        <v>2419</v>
      </c>
      <c r="E87" s="40"/>
      <c r="F87" s="77"/>
      <c r="G87" s="77"/>
      <c r="H87" s="77"/>
      <c r="I87" s="77"/>
      <c r="J87" s="77"/>
      <c r="K87" s="77"/>
      <c r="L87" s="77"/>
      <c r="M87" s="40"/>
      <c r="N87" s="45"/>
      <c r="O87" s="920">
        <f>IF(M85&gt;=0.75,2,IF(AND(M85&gt;=0.5,M85&lt;0.75),1,0))</f>
        <v>0</v>
      </c>
      <c r="P87" s="921"/>
      <c r="Y87" s="20"/>
    </row>
    <row r="88" spans="2:25" x14ac:dyDescent="0.25">
      <c r="B88" s="19"/>
      <c r="Y88" s="20"/>
    </row>
    <row r="89" spans="2:25" x14ac:dyDescent="0.25">
      <c r="B89" s="19"/>
      <c r="Y89" s="20"/>
    </row>
    <row r="90" spans="2:25" x14ac:dyDescent="0.25">
      <c r="B90" s="19"/>
      <c r="D90" s="77" t="s">
        <v>2517</v>
      </c>
      <c r="E90" s="77"/>
      <c r="F90" s="77"/>
      <c r="G90" s="77"/>
      <c r="H90" s="77"/>
      <c r="I90" s="77"/>
      <c r="J90" s="77"/>
      <c r="K90" s="77"/>
      <c r="L90" s="102"/>
      <c r="M90" s="822">
        <f>IF(cSAU=0,0,((Surfaces!O24-Surfaces!O197) /Surfaces!O24))</f>
        <v>0</v>
      </c>
      <c r="N90" s="823"/>
      <c r="W90" s="305"/>
      <c r="X90" s="305"/>
      <c r="Y90" s="20"/>
    </row>
    <row r="91" spans="2:25" x14ac:dyDescent="0.25">
      <c r="B91" s="19"/>
      <c r="D91" s="77" t="s">
        <v>2518</v>
      </c>
      <c r="E91" s="77"/>
      <c r="F91" s="77"/>
      <c r="G91" s="77"/>
      <c r="H91" s="77"/>
      <c r="I91" s="77"/>
      <c r="J91" s="77"/>
      <c r="K91" s="77"/>
      <c r="L91" s="102"/>
      <c r="M91" s="822">
        <f xml:space="preserve"> IF(cSAU=0,0,(Surfaces!O197/Surfaces!O24))</f>
        <v>0</v>
      </c>
      <c r="N91" s="823"/>
      <c r="W91" s="951" t="s">
        <v>713</v>
      </c>
      <c r="X91" s="951"/>
      <c r="Y91" s="20"/>
    </row>
    <row r="92" spans="2:25" x14ac:dyDescent="0.25">
      <c r="B92" s="19"/>
      <c r="D92" s="77" t="s">
        <v>421</v>
      </c>
      <c r="E92" s="40"/>
      <c r="F92" s="77"/>
      <c r="G92" s="77"/>
      <c r="H92" s="77"/>
      <c r="I92" s="77"/>
      <c r="J92" s="77"/>
      <c r="K92" s="77"/>
      <c r="L92" s="77"/>
      <c r="M92" s="40"/>
      <c r="N92" s="45"/>
      <c r="O92" s="833">
        <f>IF(cIrriguante="Non",0,IFERROR(MIN(O80*M90+ O87 *M91,2),0))</f>
        <v>0</v>
      </c>
      <c r="P92" s="834"/>
      <c r="W92" s="681">
        <v>2</v>
      </c>
      <c r="X92" s="682"/>
      <c r="Y92" s="20"/>
    </row>
    <row r="93" spans="2:25" x14ac:dyDescent="0.25">
      <c r="B93" s="19"/>
      <c r="Y93" s="20"/>
    </row>
    <row r="94" spans="2:25" x14ac:dyDescent="0.25">
      <c r="B94" s="19"/>
      <c r="Y94" s="20"/>
    </row>
    <row r="95" spans="2:25" x14ac:dyDescent="0.25">
      <c r="B95" s="19"/>
      <c r="D95" s="70" t="s">
        <v>2506</v>
      </c>
      <c r="Y95" s="20"/>
    </row>
    <row r="96" spans="2:25" x14ac:dyDescent="0.25">
      <c r="B96" s="19"/>
      <c r="D96" s="667"/>
      <c r="E96" s="668"/>
      <c r="F96" s="668"/>
      <c r="G96" s="668"/>
      <c r="H96" s="668"/>
      <c r="I96" s="668"/>
      <c r="J96" s="668"/>
      <c r="K96" s="668"/>
      <c r="L96" s="668"/>
      <c r="M96" s="668"/>
      <c r="N96" s="668"/>
      <c r="O96" s="668"/>
      <c r="P96" s="668"/>
      <c r="Q96" s="668"/>
      <c r="R96" s="668"/>
      <c r="S96" s="668"/>
      <c r="T96" s="668"/>
      <c r="U96" s="668"/>
      <c r="V96" s="668"/>
      <c r="W96" s="668"/>
      <c r="X96" s="669"/>
      <c r="Y96" s="20"/>
    </row>
    <row r="97" spans="2:25" x14ac:dyDescent="0.25">
      <c r="B97" s="19"/>
      <c r="D97" s="670"/>
      <c r="E97" s="671"/>
      <c r="F97" s="671"/>
      <c r="G97" s="671"/>
      <c r="H97" s="671"/>
      <c r="I97" s="671"/>
      <c r="J97" s="671"/>
      <c r="K97" s="671"/>
      <c r="L97" s="671"/>
      <c r="M97" s="671"/>
      <c r="N97" s="671"/>
      <c r="O97" s="671"/>
      <c r="P97" s="671"/>
      <c r="Q97" s="671"/>
      <c r="R97" s="671"/>
      <c r="S97" s="671"/>
      <c r="T97" s="671"/>
      <c r="U97" s="671"/>
      <c r="V97" s="671"/>
      <c r="W97" s="671"/>
      <c r="X97" s="672"/>
      <c r="Y97" s="20"/>
    </row>
    <row r="98" spans="2:25" x14ac:dyDescent="0.25">
      <c r="B98" s="19"/>
      <c r="D98" s="670"/>
      <c r="E98" s="671"/>
      <c r="F98" s="671"/>
      <c r="G98" s="671"/>
      <c r="H98" s="671"/>
      <c r="I98" s="671"/>
      <c r="J98" s="671"/>
      <c r="K98" s="671"/>
      <c r="L98" s="671"/>
      <c r="M98" s="671"/>
      <c r="N98" s="671"/>
      <c r="O98" s="671"/>
      <c r="P98" s="671"/>
      <c r="Q98" s="671"/>
      <c r="R98" s="671"/>
      <c r="S98" s="671"/>
      <c r="T98" s="671"/>
      <c r="U98" s="671"/>
      <c r="V98" s="671"/>
      <c r="W98" s="671"/>
      <c r="X98" s="672"/>
      <c r="Y98" s="20"/>
    </row>
    <row r="99" spans="2:25" x14ac:dyDescent="0.25">
      <c r="B99" s="19"/>
      <c r="D99" s="670"/>
      <c r="E99" s="671"/>
      <c r="F99" s="671"/>
      <c r="G99" s="671"/>
      <c r="H99" s="671"/>
      <c r="I99" s="671"/>
      <c r="J99" s="671"/>
      <c r="K99" s="671"/>
      <c r="L99" s="671"/>
      <c r="M99" s="671"/>
      <c r="N99" s="671"/>
      <c r="O99" s="671"/>
      <c r="P99" s="671"/>
      <c r="Q99" s="671"/>
      <c r="R99" s="671"/>
      <c r="S99" s="671"/>
      <c r="T99" s="671"/>
      <c r="U99" s="671"/>
      <c r="V99" s="671"/>
      <c r="W99" s="671"/>
      <c r="X99" s="672"/>
      <c r="Y99" s="20"/>
    </row>
    <row r="100" spans="2:25" x14ac:dyDescent="0.25">
      <c r="B100" s="19"/>
      <c r="D100" s="673"/>
      <c r="E100" s="674"/>
      <c r="F100" s="674"/>
      <c r="G100" s="674"/>
      <c r="H100" s="674"/>
      <c r="I100" s="674"/>
      <c r="J100" s="674"/>
      <c r="K100" s="674"/>
      <c r="L100" s="674"/>
      <c r="M100" s="674"/>
      <c r="N100" s="674"/>
      <c r="O100" s="674"/>
      <c r="P100" s="674"/>
      <c r="Q100" s="674"/>
      <c r="R100" s="674"/>
      <c r="S100" s="674"/>
      <c r="T100" s="674"/>
      <c r="U100" s="674"/>
      <c r="V100" s="674"/>
      <c r="W100" s="674"/>
      <c r="X100" s="675"/>
      <c r="Y100" s="20"/>
    </row>
    <row r="101" spans="2:25" x14ac:dyDescent="0.25">
      <c r="B101" s="19"/>
      <c r="Y101" s="20"/>
    </row>
    <row r="102" spans="2:25" ht="15.75" thickBot="1" x14ac:dyDescent="0.3">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4"/>
    </row>
    <row r="105" spans="2:25" ht="15.75" thickBot="1" x14ac:dyDescent="0.3"/>
    <row r="106" spans="2:25" x14ac:dyDescent="0.25">
      <c r="B106" s="16"/>
      <c r="C106" s="17"/>
      <c r="D106" s="17"/>
      <c r="E106" s="17"/>
      <c r="F106" s="17"/>
      <c r="G106" s="17"/>
      <c r="H106" s="17"/>
      <c r="I106" s="17"/>
      <c r="J106" s="17"/>
      <c r="K106" s="17"/>
      <c r="L106" s="17"/>
      <c r="M106" s="17"/>
      <c r="N106" s="17"/>
      <c r="O106" s="17"/>
      <c r="P106" s="17"/>
      <c r="Q106" s="17"/>
      <c r="R106" s="17"/>
      <c r="S106" s="17"/>
      <c r="T106" s="17"/>
      <c r="U106" s="17"/>
      <c r="V106" s="17"/>
      <c r="W106" s="17"/>
      <c r="X106" s="17"/>
      <c r="Y106" s="18"/>
    </row>
    <row r="107" spans="2:25" x14ac:dyDescent="0.25">
      <c r="B107" s="19"/>
      <c r="Y107" s="20"/>
    </row>
    <row r="108" spans="2:25" x14ac:dyDescent="0.25">
      <c r="B108" s="19"/>
      <c r="C108" s="976" t="s">
        <v>2543</v>
      </c>
      <c r="D108" s="898"/>
      <c r="E108" s="898"/>
      <c r="F108" s="898"/>
      <c r="G108" s="898"/>
      <c r="H108" s="898"/>
      <c r="I108" s="898"/>
      <c r="J108" s="898"/>
      <c r="K108" s="898"/>
      <c r="L108" s="898"/>
      <c r="M108" s="898"/>
      <c r="N108" s="898"/>
      <c r="O108" s="898"/>
      <c r="P108" s="898"/>
      <c r="Q108" s="898"/>
      <c r="R108" s="898"/>
      <c r="S108" s="898"/>
      <c r="T108" s="898"/>
      <c r="U108" s="898"/>
      <c r="V108" s="898"/>
      <c r="W108" s="898"/>
      <c r="Y108" s="20"/>
    </row>
    <row r="109" spans="2:25" x14ac:dyDescent="0.25">
      <c r="B109" s="19"/>
      <c r="C109" s="898"/>
      <c r="D109" s="898"/>
      <c r="E109" s="898"/>
      <c r="F109" s="898"/>
      <c r="G109" s="898"/>
      <c r="H109" s="898"/>
      <c r="I109" s="898"/>
      <c r="J109" s="898"/>
      <c r="K109" s="898"/>
      <c r="L109" s="898"/>
      <c r="M109" s="898"/>
      <c r="N109" s="898"/>
      <c r="O109" s="898"/>
      <c r="P109" s="898"/>
      <c r="Q109" s="898"/>
      <c r="R109" s="898"/>
      <c r="S109" s="898"/>
      <c r="T109" s="898"/>
      <c r="U109" s="898"/>
      <c r="V109" s="898"/>
      <c r="W109" s="898"/>
      <c r="Y109" s="20"/>
    </row>
    <row r="110" spans="2:25" x14ac:dyDescent="0.25">
      <c r="B110" s="19"/>
      <c r="Y110" s="20"/>
    </row>
    <row r="111" spans="2:25" x14ac:dyDescent="0.25">
      <c r="B111" s="19"/>
      <c r="C111" s="42" t="s">
        <v>2394</v>
      </c>
      <c r="Y111" s="20"/>
    </row>
    <row r="112" spans="2:25" x14ac:dyDescent="0.25">
      <c r="B112" s="19"/>
      <c r="C112" s="702"/>
      <c r="D112" s="968"/>
      <c r="E112" s="968"/>
      <c r="F112" s="968"/>
      <c r="G112" s="968"/>
      <c r="H112" s="968"/>
      <c r="I112" s="968"/>
      <c r="J112" s="968"/>
      <c r="K112" s="968"/>
      <c r="L112" s="968"/>
      <c r="M112" s="968"/>
      <c r="N112" s="968"/>
      <c r="O112" s="968"/>
      <c r="P112" s="968"/>
      <c r="Q112" s="968"/>
      <c r="R112" s="968"/>
      <c r="S112" s="968"/>
      <c r="T112" s="968"/>
      <c r="U112" s="968"/>
      <c r="V112" s="968"/>
      <c r="W112" s="968"/>
      <c r="X112" s="969"/>
      <c r="Y112" s="20"/>
    </row>
    <row r="113" spans="2:25" x14ac:dyDescent="0.25">
      <c r="B113" s="19"/>
      <c r="C113" s="970"/>
      <c r="D113" s="971"/>
      <c r="E113" s="971"/>
      <c r="F113" s="971"/>
      <c r="G113" s="971"/>
      <c r="H113" s="971"/>
      <c r="I113" s="971"/>
      <c r="J113" s="971"/>
      <c r="K113" s="971"/>
      <c r="L113" s="971"/>
      <c r="M113" s="971"/>
      <c r="N113" s="971"/>
      <c r="O113" s="971"/>
      <c r="P113" s="971"/>
      <c r="Q113" s="971"/>
      <c r="R113" s="971"/>
      <c r="S113" s="971"/>
      <c r="T113" s="971"/>
      <c r="U113" s="971"/>
      <c r="V113" s="971"/>
      <c r="W113" s="971"/>
      <c r="X113" s="972"/>
      <c r="Y113" s="20"/>
    </row>
    <row r="114" spans="2:25" x14ac:dyDescent="0.25">
      <c r="B114" s="19"/>
      <c r="C114" s="970"/>
      <c r="D114" s="971"/>
      <c r="E114" s="971"/>
      <c r="F114" s="971"/>
      <c r="G114" s="971"/>
      <c r="H114" s="971"/>
      <c r="I114" s="971"/>
      <c r="J114" s="971"/>
      <c r="K114" s="971"/>
      <c r="L114" s="971"/>
      <c r="M114" s="971"/>
      <c r="N114" s="971"/>
      <c r="O114" s="971"/>
      <c r="P114" s="971"/>
      <c r="Q114" s="971"/>
      <c r="R114" s="971"/>
      <c r="S114" s="971"/>
      <c r="T114" s="971"/>
      <c r="U114" s="971"/>
      <c r="V114" s="971"/>
      <c r="W114" s="971"/>
      <c r="X114" s="972"/>
      <c r="Y114" s="20"/>
    </row>
    <row r="115" spans="2:25" x14ac:dyDescent="0.25">
      <c r="B115" s="19"/>
      <c r="C115" s="970"/>
      <c r="D115" s="971"/>
      <c r="E115" s="971"/>
      <c r="F115" s="971"/>
      <c r="G115" s="971"/>
      <c r="H115" s="971"/>
      <c r="I115" s="971"/>
      <c r="J115" s="971"/>
      <c r="K115" s="971"/>
      <c r="L115" s="971"/>
      <c r="M115" s="971"/>
      <c r="N115" s="971"/>
      <c r="O115" s="971"/>
      <c r="P115" s="971"/>
      <c r="Q115" s="971"/>
      <c r="R115" s="971"/>
      <c r="S115" s="971"/>
      <c r="T115" s="971"/>
      <c r="U115" s="971"/>
      <c r="V115" s="971"/>
      <c r="W115" s="971"/>
      <c r="X115" s="972"/>
      <c r="Y115" s="20"/>
    </row>
    <row r="116" spans="2:25" x14ac:dyDescent="0.25">
      <c r="B116" s="19"/>
      <c r="C116" s="973"/>
      <c r="D116" s="974"/>
      <c r="E116" s="974"/>
      <c r="F116" s="974"/>
      <c r="G116" s="974"/>
      <c r="H116" s="974"/>
      <c r="I116" s="974"/>
      <c r="J116" s="974"/>
      <c r="K116" s="974"/>
      <c r="L116" s="974"/>
      <c r="M116" s="974"/>
      <c r="N116" s="974"/>
      <c r="O116" s="974"/>
      <c r="P116" s="974"/>
      <c r="Q116" s="974"/>
      <c r="R116" s="974"/>
      <c r="S116" s="974"/>
      <c r="T116" s="974"/>
      <c r="U116" s="974"/>
      <c r="V116" s="974"/>
      <c r="W116" s="974"/>
      <c r="X116" s="975"/>
      <c r="Y116" s="20"/>
    </row>
    <row r="117" spans="2:25" x14ac:dyDescent="0.25">
      <c r="B117" s="19"/>
      <c r="Y117" s="20"/>
    </row>
    <row r="118" spans="2:25" x14ac:dyDescent="0.25">
      <c r="B118" s="19"/>
      <c r="C118" s="110" t="s">
        <v>2587</v>
      </c>
      <c r="D118" s="106"/>
      <c r="E118" s="106"/>
      <c r="F118" s="106"/>
      <c r="G118" s="106"/>
      <c r="H118" s="106"/>
      <c r="I118" s="107"/>
      <c r="J118" s="830"/>
      <c r="K118" s="831"/>
      <c r="L118" s="65" t="s">
        <v>252</v>
      </c>
      <c r="N118" s="143" t="str">
        <f>IF(J118&gt;J123,"Attention : surface saisie &gt; surface irriguée","")</f>
        <v/>
      </c>
      <c r="Y118" s="20"/>
    </row>
    <row r="119" spans="2:25" x14ac:dyDescent="0.25">
      <c r="B119" s="19"/>
      <c r="Y119" s="20"/>
    </row>
    <row r="120" spans="2:25" x14ac:dyDescent="0.25">
      <c r="B120" s="19"/>
      <c r="Y120" s="20"/>
    </row>
    <row r="121" spans="2:25" x14ac:dyDescent="0.25">
      <c r="B121" s="19"/>
      <c r="C121" s="42"/>
      <c r="Y121" s="20"/>
    </row>
    <row r="122" spans="2:25" x14ac:dyDescent="0.25">
      <c r="B122" s="19"/>
      <c r="L122" s="651" t="s">
        <v>239</v>
      </c>
      <c r="M122" s="651"/>
      <c r="Y122" s="20"/>
    </row>
    <row r="123" spans="2:25" x14ac:dyDescent="0.25">
      <c r="B123" s="19"/>
      <c r="D123" s="77" t="s">
        <v>890</v>
      </c>
      <c r="E123" s="77"/>
      <c r="F123" s="77"/>
      <c r="G123" s="77"/>
      <c r="H123" s="77"/>
      <c r="I123" s="102"/>
      <c r="J123" s="826">
        <f>K13</f>
        <v>0</v>
      </c>
      <c r="K123" s="835"/>
      <c r="W123" s="951" t="s">
        <v>713</v>
      </c>
      <c r="X123" s="951"/>
      <c r="Y123" s="20"/>
    </row>
    <row r="124" spans="2:25" x14ac:dyDescent="0.25">
      <c r="B124" s="19"/>
      <c r="D124" s="78" t="s">
        <v>373</v>
      </c>
      <c r="E124" s="78"/>
      <c r="F124" s="78"/>
      <c r="G124" s="78"/>
      <c r="H124" s="78"/>
      <c r="I124" s="103"/>
      <c r="J124" s="767">
        <f>IFERROR(J118/J123,0)</f>
        <v>0</v>
      </c>
      <c r="K124" s="768"/>
      <c r="L124" s="712">
        <f>IF(cIrriguante="Non",0,IF(AND(J124&gt;=0.25,J124&lt;0.5),2,IF(AND(J124&gt;=0.5,J124&lt;0.75),4,IF(J124&gt;=0.75,6,0))))</f>
        <v>0</v>
      </c>
      <c r="M124" s="713"/>
      <c r="W124" s="681">
        <v>6</v>
      </c>
      <c r="X124" s="682"/>
      <c r="Y124" s="20"/>
    </row>
    <row r="125" spans="2:25" x14ac:dyDescent="0.25">
      <c r="B125" s="19"/>
      <c r="Y125" s="20"/>
    </row>
    <row r="126" spans="2:25" ht="15.75" thickBot="1" x14ac:dyDescent="0.3">
      <c r="B126" s="22"/>
      <c r="C126" s="23"/>
      <c r="D126" s="23"/>
      <c r="E126" s="23"/>
      <c r="F126" s="23"/>
      <c r="G126" s="23"/>
      <c r="H126" s="23"/>
      <c r="I126" s="23"/>
      <c r="J126" s="23"/>
      <c r="K126" s="23"/>
      <c r="L126" s="23"/>
      <c r="M126" s="23"/>
      <c r="N126" s="23"/>
      <c r="O126" s="23"/>
      <c r="P126" s="23"/>
      <c r="Q126" s="23"/>
      <c r="R126" s="23"/>
      <c r="S126" s="23"/>
      <c r="T126" s="23"/>
      <c r="U126" s="23"/>
      <c r="V126" s="23"/>
      <c r="W126" s="23"/>
      <c r="X126" s="23"/>
      <c r="Y126" s="24"/>
    </row>
    <row r="129" spans="2:25" ht="15.75" thickBot="1" x14ac:dyDescent="0.3"/>
    <row r="130" spans="2:25" x14ac:dyDescent="0.25">
      <c r="B130" s="16"/>
      <c r="C130" s="17"/>
      <c r="D130" s="17"/>
      <c r="E130" s="17"/>
      <c r="F130" s="17"/>
      <c r="G130" s="17"/>
      <c r="H130" s="17"/>
      <c r="I130" s="17"/>
      <c r="J130" s="17"/>
      <c r="K130" s="17"/>
      <c r="L130" s="17"/>
      <c r="M130" s="17"/>
      <c r="N130" s="17"/>
      <c r="O130" s="17"/>
      <c r="P130" s="17"/>
      <c r="Q130" s="17"/>
      <c r="R130" s="17"/>
      <c r="S130" s="17"/>
      <c r="T130" s="17"/>
      <c r="U130" s="17"/>
      <c r="V130" s="17"/>
      <c r="W130" s="17"/>
      <c r="X130" s="17"/>
      <c r="Y130" s="18"/>
    </row>
    <row r="131" spans="2:25" x14ac:dyDescent="0.25">
      <c r="B131" s="19"/>
      <c r="Y131" s="20"/>
    </row>
    <row r="132" spans="2:25" x14ac:dyDescent="0.25">
      <c r="B132" s="19"/>
      <c r="Y132" s="20"/>
    </row>
    <row r="133" spans="2:25" x14ac:dyDescent="0.25">
      <c r="B133" s="19"/>
      <c r="C133" s="110" t="s">
        <v>374</v>
      </c>
      <c r="D133" s="110"/>
      <c r="E133" s="110"/>
      <c r="F133" s="110"/>
      <c r="G133" s="110"/>
      <c r="H133" s="110"/>
      <c r="I133" s="113"/>
      <c r="J133" s="977"/>
      <c r="K133" s="978"/>
      <c r="Y133" s="20"/>
    </row>
    <row r="134" spans="2:25" x14ac:dyDescent="0.25">
      <c r="B134" s="19"/>
      <c r="C134" s="110" t="s">
        <v>2395</v>
      </c>
      <c r="D134" s="110"/>
      <c r="E134" s="110"/>
      <c r="F134" s="110"/>
      <c r="G134" s="110"/>
      <c r="H134" s="110"/>
      <c r="I134" s="113"/>
      <c r="J134" s="965"/>
      <c r="K134" s="966"/>
      <c r="L134" s="966"/>
      <c r="M134" s="966"/>
      <c r="N134" s="967"/>
      <c r="Y134" s="20"/>
    </row>
    <row r="135" spans="2:25" x14ac:dyDescent="0.25">
      <c r="B135" s="19"/>
      <c r="Y135" s="20"/>
    </row>
    <row r="136" spans="2:25" x14ac:dyDescent="0.25">
      <c r="B136" s="19"/>
      <c r="C136" s="42"/>
      <c r="Y136" s="20"/>
    </row>
    <row r="137" spans="2:25" x14ac:dyDescent="0.25">
      <c r="B137" s="19"/>
      <c r="D137" s="651" t="s">
        <v>239</v>
      </c>
      <c r="E137" s="651"/>
      <c r="Y137" s="20"/>
    </row>
    <row r="138" spans="2:25" x14ac:dyDescent="0.25">
      <c r="B138" s="19"/>
      <c r="W138" s="951" t="s">
        <v>713</v>
      </c>
      <c r="X138" s="951"/>
      <c r="Y138" s="20"/>
    </row>
    <row r="139" spans="2:25" x14ac:dyDescent="0.25">
      <c r="B139" s="19"/>
      <c r="D139" s="833">
        <f>IF(cIrriguante="Non",0,IF(J133="Oui",2,0))</f>
        <v>0</v>
      </c>
      <c r="E139" s="834"/>
      <c r="W139" s="681">
        <v>2</v>
      </c>
      <c r="X139" s="682"/>
      <c r="Y139" s="20"/>
    </row>
    <row r="140" spans="2:25" x14ac:dyDescent="0.25">
      <c r="B140" s="19"/>
      <c r="Y140" s="20"/>
    </row>
    <row r="141" spans="2:25" x14ac:dyDescent="0.25">
      <c r="B141" s="19"/>
      <c r="D141" s="70" t="s">
        <v>2506</v>
      </c>
      <c r="Y141" s="20"/>
    </row>
    <row r="142" spans="2:25" x14ac:dyDescent="0.25">
      <c r="B142" s="19"/>
      <c r="D142" s="667"/>
      <c r="E142" s="668"/>
      <c r="F142" s="668"/>
      <c r="G142" s="668"/>
      <c r="H142" s="668"/>
      <c r="I142" s="668"/>
      <c r="J142" s="668"/>
      <c r="K142" s="668"/>
      <c r="L142" s="668"/>
      <c r="M142" s="668"/>
      <c r="N142" s="668"/>
      <c r="O142" s="668"/>
      <c r="P142" s="668"/>
      <c r="Q142" s="668"/>
      <c r="R142" s="668"/>
      <c r="S142" s="668"/>
      <c r="T142" s="668"/>
      <c r="U142" s="668"/>
      <c r="V142" s="668"/>
      <c r="W142" s="668"/>
      <c r="X142" s="669"/>
      <c r="Y142" s="20"/>
    </row>
    <row r="143" spans="2:25" x14ac:dyDescent="0.25">
      <c r="B143" s="19"/>
      <c r="D143" s="670"/>
      <c r="E143" s="671"/>
      <c r="F143" s="671"/>
      <c r="G143" s="671"/>
      <c r="H143" s="671"/>
      <c r="I143" s="671"/>
      <c r="J143" s="671"/>
      <c r="K143" s="671"/>
      <c r="L143" s="671"/>
      <c r="M143" s="671"/>
      <c r="N143" s="671"/>
      <c r="O143" s="671"/>
      <c r="P143" s="671"/>
      <c r="Q143" s="671"/>
      <c r="R143" s="671"/>
      <c r="S143" s="671"/>
      <c r="T143" s="671"/>
      <c r="U143" s="671"/>
      <c r="V143" s="671"/>
      <c r="W143" s="671"/>
      <c r="X143" s="672"/>
      <c r="Y143" s="20"/>
    </row>
    <row r="144" spans="2:25" x14ac:dyDescent="0.25">
      <c r="B144" s="19"/>
      <c r="D144" s="670"/>
      <c r="E144" s="671"/>
      <c r="F144" s="671"/>
      <c r="G144" s="671"/>
      <c r="H144" s="671"/>
      <c r="I144" s="671"/>
      <c r="J144" s="671"/>
      <c r="K144" s="671"/>
      <c r="L144" s="671"/>
      <c r="M144" s="671"/>
      <c r="N144" s="671"/>
      <c r="O144" s="671"/>
      <c r="P144" s="671"/>
      <c r="Q144" s="671"/>
      <c r="R144" s="671"/>
      <c r="S144" s="671"/>
      <c r="T144" s="671"/>
      <c r="U144" s="671"/>
      <c r="V144" s="671"/>
      <c r="W144" s="671"/>
      <c r="X144" s="672"/>
      <c r="Y144" s="20"/>
    </row>
    <row r="145" spans="2:25" x14ac:dyDescent="0.25">
      <c r="B145" s="19"/>
      <c r="D145" s="670"/>
      <c r="E145" s="671"/>
      <c r="F145" s="671"/>
      <c r="G145" s="671"/>
      <c r="H145" s="671"/>
      <c r="I145" s="671"/>
      <c r="J145" s="671"/>
      <c r="K145" s="671"/>
      <c r="L145" s="671"/>
      <c r="M145" s="671"/>
      <c r="N145" s="671"/>
      <c r="O145" s="671"/>
      <c r="P145" s="671"/>
      <c r="Q145" s="671"/>
      <c r="R145" s="671"/>
      <c r="S145" s="671"/>
      <c r="T145" s="671"/>
      <c r="U145" s="671"/>
      <c r="V145" s="671"/>
      <c r="W145" s="671"/>
      <c r="X145" s="672"/>
      <c r="Y145" s="20"/>
    </row>
    <row r="146" spans="2:25" x14ac:dyDescent="0.25">
      <c r="B146" s="19"/>
      <c r="D146" s="673"/>
      <c r="E146" s="674"/>
      <c r="F146" s="674"/>
      <c r="G146" s="674"/>
      <c r="H146" s="674"/>
      <c r="I146" s="674"/>
      <c r="J146" s="674"/>
      <c r="K146" s="674"/>
      <c r="L146" s="674"/>
      <c r="M146" s="674"/>
      <c r="N146" s="674"/>
      <c r="O146" s="674"/>
      <c r="P146" s="674"/>
      <c r="Q146" s="674"/>
      <c r="R146" s="674"/>
      <c r="S146" s="674"/>
      <c r="T146" s="674"/>
      <c r="U146" s="674"/>
      <c r="V146" s="674"/>
      <c r="W146" s="674"/>
      <c r="X146" s="675"/>
      <c r="Y146" s="20"/>
    </row>
    <row r="147" spans="2:25" ht="15.75" thickBot="1" x14ac:dyDescent="0.3">
      <c r="B147" s="22"/>
      <c r="C147" s="23"/>
      <c r="D147" s="23"/>
      <c r="E147" s="23"/>
      <c r="F147" s="23"/>
      <c r="G147" s="23"/>
      <c r="H147" s="23"/>
      <c r="I147" s="23"/>
      <c r="J147" s="23"/>
      <c r="K147" s="23"/>
      <c r="L147" s="23"/>
      <c r="M147" s="23"/>
      <c r="N147" s="23"/>
      <c r="O147" s="23"/>
      <c r="P147" s="23"/>
      <c r="Q147" s="23"/>
      <c r="R147" s="23"/>
      <c r="S147" s="23"/>
      <c r="T147" s="23"/>
      <c r="U147" s="23"/>
      <c r="V147" s="23"/>
      <c r="W147" s="23"/>
      <c r="X147" s="23"/>
      <c r="Y147" s="24"/>
    </row>
    <row r="150" spans="2:25" ht="15.75" thickBot="1" x14ac:dyDescent="0.3"/>
    <row r="151" spans="2:25" x14ac:dyDescent="0.25">
      <c r="B151" s="16"/>
      <c r="C151" s="17"/>
      <c r="D151" s="17"/>
      <c r="E151" s="17"/>
      <c r="F151" s="17"/>
      <c r="G151" s="17"/>
      <c r="H151" s="17"/>
      <c r="I151" s="17"/>
      <c r="J151" s="17"/>
      <c r="K151" s="17"/>
      <c r="L151" s="17"/>
      <c r="M151" s="17"/>
      <c r="N151" s="17"/>
      <c r="O151" s="17"/>
      <c r="P151" s="17"/>
      <c r="Q151" s="17"/>
      <c r="R151" s="17"/>
      <c r="S151" s="17"/>
      <c r="T151" s="17"/>
      <c r="U151" s="17"/>
      <c r="V151" s="17"/>
      <c r="W151" s="17"/>
      <c r="X151" s="17"/>
      <c r="Y151" s="18"/>
    </row>
    <row r="152" spans="2:25" x14ac:dyDescent="0.25">
      <c r="B152" s="19"/>
      <c r="Y152" s="20"/>
    </row>
    <row r="153" spans="2:25" x14ac:dyDescent="0.25">
      <c r="B153" s="19"/>
      <c r="Y153" s="20"/>
    </row>
    <row r="154" spans="2:25" x14ac:dyDescent="0.25">
      <c r="B154" s="19"/>
      <c r="C154" s="110" t="s">
        <v>375</v>
      </c>
      <c r="D154" s="47"/>
      <c r="E154" s="47"/>
      <c r="F154" s="47"/>
      <c r="G154" s="47"/>
      <c r="H154" s="47"/>
      <c r="I154" s="47"/>
      <c r="J154" s="47"/>
      <c r="K154" s="43"/>
      <c r="L154" s="830"/>
      <c r="M154" s="831"/>
      <c r="N154" s="65" t="s">
        <v>252</v>
      </c>
      <c r="P154" s="143" t="str">
        <f>IF(L154&gt;L166,"Attention : surface saisie &gt; surface irriguée","")</f>
        <v/>
      </c>
      <c r="Y154" s="20"/>
    </row>
    <row r="155" spans="2:25" x14ac:dyDescent="0.25">
      <c r="B155" s="19"/>
      <c r="Y155" s="20"/>
    </row>
    <row r="156" spans="2:25" x14ac:dyDescent="0.25">
      <c r="B156" s="19"/>
      <c r="C156" s="42" t="s">
        <v>2526</v>
      </c>
      <c r="Y156" s="20"/>
    </row>
    <row r="157" spans="2:25" x14ac:dyDescent="0.25">
      <c r="B157" s="19"/>
      <c r="C157" s="702"/>
      <c r="D157" s="968"/>
      <c r="E157" s="968"/>
      <c r="F157" s="968"/>
      <c r="G157" s="968"/>
      <c r="H157" s="968"/>
      <c r="I157" s="968"/>
      <c r="J157" s="968"/>
      <c r="K157" s="968"/>
      <c r="L157" s="968"/>
      <c r="M157" s="968"/>
      <c r="N157" s="968"/>
      <c r="O157" s="968"/>
      <c r="P157" s="968"/>
      <c r="Q157" s="968"/>
      <c r="R157" s="968"/>
      <c r="S157" s="968"/>
      <c r="T157" s="968"/>
      <c r="U157" s="968"/>
      <c r="V157" s="968"/>
      <c r="W157" s="969"/>
      <c r="Y157" s="20"/>
    </row>
    <row r="158" spans="2:25" x14ac:dyDescent="0.25">
      <c r="B158" s="19"/>
      <c r="C158" s="970"/>
      <c r="D158" s="971"/>
      <c r="E158" s="971"/>
      <c r="F158" s="971"/>
      <c r="G158" s="971"/>
      <c r="H158" s="971"/>
      <c r="I158" s="971"/>
      <c r="J158" s="971"/>
      <c r="K158" s="971"/>
      <c r="L158" s="971"/>
      <c r="M158" s="971"/>
      <c r="N158" s="971"/>
      <c r="O158" s="971"/>
      <c r="P158" s="971"/>
      <c r="Q158" s="971"/>
      <c r="R158" s="971"/>
      <c r="S158" s="971"/>
      <c r="T158" s="971"/>
      <c r="U158" s="971"/>
      <c r="V158" s="971"/>
      <c r="W158" s="972"/>
      <c r="Y158" s="20"/>
    </row>
    <row r="159" spans="2:25" x14ac:dyDescent="0.25">
      <c r="B159" s="19"/>
      <c r="C159" s="970"/>
      <c r="D159" s="971"/>
      <c r="E159" s="971"/>
      <c r="F159" s="971"/>
      <c r="G159" s="971"/>
      <c r="H159" s="971"/>
      <c r="I159" s="971"/>
      <c r="J159" s="971"/>
      <c r="K159" s="971"/>
      <c r="L159" s="971"/>
      <c r="M159" s="971"/>
      <c r="N159" s="971"/>
      <c r="O159" s="971"/>
      <c r="P159" s="971"/>
      <c r="Q159" s="971"/>
      <c r="R159" s="971"/>
      <c r="S159" s="971"/>
      <c r="T159" s="971"/>
      <c r="U159" s="971"/>
      <c r="V159" s="971"/>
      <c r="W159" s="972"/>
      <c r="Y159" s="20"/>
    </row>
    <row r="160" spans="2:25" x14ac:dyDescent="0.25">
      <c r="B160" s="19"/>
      <c r="C160" s="970"/>
      <c r="D160" s="971"/>
      <c r="E160" s="971"/>
      <c r="F160" s="971"/>
      <c r="G160" s="971"/>
      <c r="H160" s="971"/>
      <c r="I160" s="971"/>
      <c r="J160" s="971"/>
      <c r="K160" s="971"/>
      <c r="L160" s="971"/>
      <c r="M160" s="971"/>
      <c r="N160" s="971"/>
      <c r="O160" s="971"/>
      <c r="P160" s="971"/>
      <c r="Q160" s="971"/>
      <c r="R160" s="971"/>
      <c r="S160" s="971"/>
      <c r="T160" s="971"/>
      <c r="U160" s="971"/>
      <c r="V160" s="971"/>
      <c r="W160" s="972"/>
      <c r="Y160" s="20"/>
    </row>
    <row r="161" spans="2:25" x14ac:dyDescent="0.25">
      <c r="B161" s="19"/>
      <c r="C161" s="973"/>
      <c r="D161" s="974"/>
      <c r="E161" s="974"/>
      <c r="F161" s="974"/>
      <c r="G161" s="974"/>
      <c r="H161" s="974"/>
      <c r="I161" s="974"/>
      <c r="J161" s="974"/>
      <c r="K161" s="974"/>
      <c r="L161" s="974"/>
      <c r="M161" s="974"/>
      <c r="N161" s="974"/>
      <c r="O161" s="974"/>
      <c r="P161" s="974"/>
      <c r="Q161" s="974"/>
      <c r="R161" s="974"/>
      <c r="S161" s="974"/>
      <c r="T161" s="974"/>
      <c r="U161" s="974"/>
      <c r="V161" s="974"/>
      <c r="W161" s="975"/>
      <c r="Y161" s="20"/>
    </row>
    <row r="162" spans="2:25" x14ac:dyDescent="0.25">
      <c r="B162" s="19"/>
      <c r="Y162" s="20"/>
    </row>
    <row r="163" spans="2:25" x14ac:dyDescent="0.25">
      <c r="B163" s="19"/>
      <c r="Y163" s="20"/>
    </row>
    <row r="164" spans="2:25" x14ac:dyDescent="0.25">
      <c r="B164" s="19"/>
      <c r="C164" s="42"/>
      <c r="N164" s="651" t="s">
        <v>239</v>
      </c>
      <c r="O164" s="651"/>
      <c r="Y164" s="20"/>
    </row>
    <row r="165" spans="2:25" x14ac:dyDescent="0.25">
      <c r="B165" s="19"/>
      <c r="Y165" s="20"/>
    </row>
    <row r="166" spans="2:25" x14ac:dyDescent="0.25">
      <c r="B166" s="19"/>
      <c r="D166" s="77" t="s">
        <v>890</v>
      </c>
      <c r="E166" s="77"/>
      <c r="F166" s="77"/>
      <c r="G166" s="77"/>
      <c r="H166" s="77"/>
      <c r="I166" s="77"/>
      <c r="J166" s="77"/>
      <c r="K166" s="102"/>
      <c r="L166" s="826">
        <f>K13</f>
        <v>0</v>
      </c>
      <c r="M166" s="835"/>
      <c r="W166" s="951" t="s">
        <v>713</v>
      </c>
      <c r="X166" s="951"/>
      <c r="Y166" s="20"/>
    </row>
    <row r="167" spans="2:25" x14ac:dyDescent="0.25">
      <c r="B167" s="19"/>
      <c r="D167" s="78" t="s">
        <v>376</v>
      </c>
      <c r="E167" s="78"/>
      <c r="F167" s="78"/>
      <c r="G167" s="78"/>
      <c r="H167" s="78"/>
      <c r="I167" s="78"/>
      <c r="J167" s="78"/>
      <c r="K167" s="103"/>
      <c r="L167" s="822">
        <f>IFERROR(L154/L166,0)</f>
        <v>0</v>
      </c>
      <c r="M167" s="823"/>
      <c r="N167" s="833">
        <f>IF(cIrriguante="Non",0,IF(AND(L167&gt;=0.25,L167&lt;0.5),2,IF(AND(L167&gt;=0.5,L167&lt;0.75),4,IF(L167&gt;=0.75,6,0))))</f>
        <v>0</v>
      </c>
      <c r="O167" s="834"/>
      <c r="W167" s="681">
        <v>6</v>
      </c>
      <c r="X167" s="682"/>
      <c r="Y167" s="20"/>
    </row>
    <row r="168" spans="2:25" x14ac:dyDescent="0.25">
      <c r="B168" s="19"/>
      <c r="Y168" s="20"/>
    </row>
    <row r="169" spans="2:25" ht="15.75" thickBot="1" x14ac:dyDescent="0.3">
      <c r="B169" s="22"/>
      <c r="C169" s="23"/>
      <c r="D169" s="23"/>
      <c r="E169" s="23"/>
      <c r="F169" s="23"/>
      <c r="G169" s="23"/>
      <c r="H169" s="23"/>
      <c r="I169" s="23"/>
      <c r="J169" s="23"/>
      <c r="K169" s="23"/>
      <c r="L169" s="23"/>
      <c r="M169" s="23"/>
      <c r="N169" s="23"/>
      <c r="O169" s="23"/>
      <c r="P169" s="23"/>
      <c r="Q169" s="23"/>
      <c r="R169" s="23"/>
      <c r="S169" s="23"/>
      <c r="T169" s="23"/>
      <c r="U169" s="23"/>
      <c r="V169" s="23"/>
      <c r="W169" s="23"/>
      <c r="X169" s="23"/>
      <c r="Y169" s="24"/>
    </row>
    <row r="172" spans="2:25" ht="15.75" thickBot="1" x14ac:dyDescent="0.3"/>
    <row r="173" spans="2:25" x14ac:dyDescent="0.25">
      <c r="B173" s="16"/>
      <c r="C173" s="17"/>
      <c r="D173" s="17"/>
      <c r="E173" s="17"/>
      <c r="F173" s="17"/>
      <c r="G173" s="17"/>
      <c r="H173" s="17"/>
      <c r="I173" s="17"/>
      <c r="J173" s="17"/>
      <c r="K173" s="17"/>
      <c r="L173" s="17"/>
      <c r="M173" s="17"/>
      <c r="N173" s="17"/>
      <c r="O173" s="17"/>
      <c r="P173" s="17"/>
      <c r="Q173" s="17"/>
      <c r="R173" s="17"/>
      <c r="S173" s="17"/>
      <c r="T173" s="17"/>
      <c r="U173" s="17"/>
      <c r="V173" s="17"/>
      <c r="W173" s="17"/>
      <c r="X173" s="17"/>
      <c r="Y173" s="18"/>
    </row>
    <row r="174" spans="2:25" x14ac:dyDescent="0.25">
      <c r="B174" s="19"/>
      <c r="Y174" s="20"/>
    </row>
    <row r="175" spans="2:25" x14ac:dyDescent="0.25">
      <c r="B175" s="19"/>
      <c r="Y175" s="20"/>
    </row>
    <row r="176" spans="2:25" x14ac:dyDescent="0.25">
      <c r="B176" s="19"/>
      <c r="C176" s="42" t="s">
        <v>348</v>
      </c>
      <c r="M176" s="65"/>
      <c r="Y176" s="20"/>
    </row>
    <row r="177" spans="2:29" x14ac:dyDescent="0.25">
      <c r="B177" s="19"/>
      <c r="D177" s="47" t="s">
        <v>349</v>
      </c>
      <c r="E177" s="47"/>
      <c r="F177" s="47"/>
      <c r="G177" s="47"/>
      <c r="H177" s="47"/>
      <c r="I177" s="47"/>
      <c r="J177" s="43"/>
      <c r="K177" s="830"/>
      <c r="L177" s="831"/>
      <c r="M177" s="65" t="s">
        <v>342</v>
      </c>
      <c r="Y177" s="20"/>
    </row>
    <row r="178" spans="2:29" x14ac:dyDescent="0.25">
      <c r="B178" s="19"/>
      <c r="D178" s="48" t="s">
        <v>379</v>
      </c>
      <c r="E178" s="48"/>
      <c r="F178" s="48"/>
      <c r="G178" s="48"/>
      <c r="H178" s="48"/>
      <c r="I178" s="48"/>
      <c r="J178" s="44"/>
      <c r="K178" s="830"/>
      <c r="L178" s="831"/>
      <c r="M178" s="65" t="s">
        <v>342</v>
      </c>
      <c r="Y178" s="20"/>
    </row>
    <row r="179" spans="2:29" x14ac:dyDescent="0.25">
      <c r="B179" s="19"/>
      <c r="K179" s="36"/>
      <c r="L179" s="36"/>
      <c r="M179" s="65"/>
      <c r="Y179" s="20"/>
    </row>
    <row r="180" spans="2:29" x14ac:dyDescent="0.25">
      <c r="B180" s="19"/>
      <c r="K180" s="36"/>
      <c r="L180" s="36"/>
      <c r="M180" s="65"/>
      <c r="Y180" s="20"/>
    </row>
    <row r="181" spans="2:29" x14ac:dyDescent="0.25">
      <c r="B181" s="19"/>
      <c r="C181" s="976" t="s">
        <v>2420</v>
      </c>
      <c r="D181" s="976"/>
      <c r="E181" s="976"/>
      <c r="F181" s="976"/>
      <c r="G181" s="976"/>
      <c r="H181" s="976"/>
      <c r="I181" s="976"/>
      <c r="J181" s="976"/>
      <c r="K181" s="976"/>
      <c r="L181" s="976"/>
      <c r="M181" s="976"/>
      <c r="N181" s="976"/>
      <c r="O181" s="976"/>
      <c r="P181" s="976"/>
      <c r="Q181" s="976"/>
      <c r="R181" s="976"/>
      <c r="S181" s="976"/>
      <c r="T181" s="976"/>
      <c r="U181" s="976"/>
      <c r="V181" s="976"/>
      <c r="W181" s="976"/>
      <c r="X181" s="976"/>
      <c r="Y181" s="20"/>
    </row>
    <row r="182" spans="2:29" x14ac:dyDescent="0.25">
      <c r="B182" s="19"/>
      <c r="C182" s="976"/>
      <c r="D182" s="976"/>
      <c r="E182" s="976"/>
      <c r="F182" s="976"/>
      <c r="G182" s="976"/>
      <c r="H182" s="976"/>
      <c r="I182" s="976"/>
      <c r="J182" s="976"/>
      <c r="K182" s="976"/>
      <c r="L182" s="976"/>
      <c r="M182" s="976"/>
      <c r="N182" s="976"/>
      <c r="O182" s="976"/>
      <c r="P182" s="976"/>
      <c r="Q182" s="976"/>
      <c r="R182" s="976"/>
      <c r="S182" s="976"/>
      <c r="T182" s="976"/>
      <c r="U182" s="976"/>
      <c r="V182" s="976"/>
      <c r="W182" s="976"/>
      <c r="X182" s="976"/>
      <c r="Y182" s="20"/>
    </row>
    <row r="183" spans="2:29" x14ac:dyDescent="0.25">
      <c r="B183" s="19"/>
      <c r="C183" s="898" t="s">
        <v>2396</v>
      </c>
      <c r="D183" s="898"/>
      <c r="E183" s="898"/>
      <c r="F183" s="898"/>
      <c r="G183" s="898"/>
      <c r="H183" s="898"/>
      <c r="I183" s="898"/>
      <c r="J183" s="898"/>
      <c r="K183" s="898"/>
      <c r="L183" s="898"/>
      <c r="M183" s="898"/>
      <c r="N183" s="898"/>
      <c r="O183" s="898"/>
      <c r="P183" s="898"/>
      <c r="Q183" s="898"/>
      <c r="R183" s="898"/>
      <c r="S183" s="898"/>
      <c r="T183" s="898"/>
      <c r="U183" s="898"/>
      <c r="V183" s="898"/>
      <c r="W183" s="898"/>
      <c r="X183" s="898"/>
      <c r="Y183" s="20"/>
    </row>
    <row r="184" spans="2:29" x14ac:dyDescent="0.25">
      <c r="B184" s="19"/>
      <c r="C184" s="898"/>
      <c r="D184" s="898"/>
      <c r="E184" s="898"/>
      <c r="F184" s="898"/>
      <c r="G184" s="898"/>
      <c r="H184" s="898"/>
      <c r="I184" s="898"/>
      <c r="J184" s="898"/>
      <c r="K184" s="898"/>
      <c r="L184" s="898"/>
      <c r="M184" s="898"/>
      <c r="N184" s="898"/>
      <c r="O184" s="898"/>
      <c r="P184" s="898"/>
      <c r="Q184" s="898"/>
      <c r="R184" s="898"/>
      <c r="S184" s="898"/>
      <c r="T184" s="898"/>
      <c r="U184" s="898"/>
      <c r="V184" s="898"/>
      <c r="W184" s="898"/>
      <c r="X184" s="898"/>
      <c r="Y184" s="20"/>
    </row>
    <row r="185" spans="2:29" x14ac:dyDescent="0.25">
      <c r="B185" s="19"/>
      <c r="Y185" s="20"/>
    </row>
    <row r="186" spans="2:29" x14ac:dyDescent="0.25">
      <c r="B186" s="19"/>
      <c r="Y186" s="20"/>
    </row>
    <row r="187" spans="2:29" x14ac:dyDescent="0.25">
      <c r="B187" s="19"/>
      <c r="C187" s="42"/>
      <c r="M187" s="651" t="s">
        <v>239</v>
      </c>
      <c r="N187" s="651"/>
      <c r="Y187" s="20"/>
    </row>
    <row r="188" spans="2:29" x14ac:dyDescent="0.25">
      <c r="B188" s="19"/>
      <c r="Y188" s="20"/>
    </row>
    <row r="189" spans="2:29" x14ac:dyDescent="0.25">
      <c r="B189" s="19"/>
      <c r="D189" s="77" t="s">
        <v>377</v>
      </c>
      <c r="E189" s="77"/>
      <c r="F189" s="77"/>
      <c r="G189" s="77"/>
      <c r="H189" s="77"/>
      <c r="I189" s="77"/>
      <c r="J189" s="102"/>
      <c r="K189" s="826">
        <f>SUM(K177:L178)</f>
        <v>0</v>
      </c>
      <c r="L189" s="827"/>
      <c r="P189" s="152"/>
      <c r="W189" s="951" t="s">
        <v>713</v>
      </c>
      <c r="X189" s="951"/>
      <c r="Y189" s="20"/>
    </row>
    <row r="190" spans="2:29" x14ac:dyDescent="0.25">
      <c r="B190" s="19"/>
      <c r="D190" s="78" t="s">
        <v>378</v>
      </c>
      <c r="E190" s="78"/>
      <c r="F190" s="78"/>
      <c r="G190" s="78"/>
      <c r="H190" s="78"/>
      <c r="I190" s="78"/>
      <c r="J190" s="103"/>
      <c r="K190" s="822">
        <f>IFERROR(K178/K189,0)</f>
        <v>0</v>
      </c>
      <c r="L190" s="823"/>
      <c r="M190" s="833">
        <f>IF(cIrriguante="Non",0,IF(OR(K177="",K178=""),0,AC190))</f>
        <v>0</v>
      </c>
      <c r="N190" s="834"/>
      <c r="W190" s="681">
        <v>5</v>
      </c>
      <c r="X190" s="682"/>
      <c r="Y190" s="20"/>
      <c r="AC190">
        <f>IF(K190&lt;0.2,5,IF(AND(K190&gt;=0.2,K190&lt;0.4),4,IF(AND(K190&gt;=0.4,K190&lt;0.6),3,IF(AND(K190&gt;=0.6,K190&lt;0.8),2,IF(AND(K190&gt;=0.8,K190&lt;0.9),1,0)))))</f>
        <v>5</v>
      </c>
    </row>
    <row r="191" spans="2:29" x14ac:dyDescent="0.25">
      <c r="B191" s="19"/>
      <c r="Y191" s="20"/>
    </row>
    <row r="192" spans="2:29" x14ac:dyDescent="0.25">
      <c r="B192" s="19"/>
      <c r="Y192" s="20"/>
    </row>
    <row r="193" spans="2:25" x14ac:dyDescent="0.25">
      <c r="B193" s="19"/>
      <c r="D193" s="70" t="s">
        <v>2506</v>
      </c>
      <c r="Y193" s="20"/>
    </row>
    <row r="194" spans="2:25" x14ac:dyDescent="0.25">
      <c r="B194" s="19"/>
      <c r="D194" s="667"/>
      <c r="E194" s="668"/>
      <c r="F194" s="668"/>
      <c r="G194" s="668"/>
      <c r="H194" s="668"/>
      <c r="I194" s="668"/>
      <c r="J194" s="668"/>
      <c r="K194" s="668"/>
      <c r="L194" s="668"/>
      <c r="M194" s="668"/>
      <c r="N194" s="668"/>
      <c r="O194" s="668"/>
      <c r="P194" s="668"/>
      <c r="Q194" s="668"/>
      <c r="R194" s="668"/>
      <c r="S194" s="668"/>
      <c r="T194" s="668"/>
      <c r="U194" s="668"/>
      <c r="V194" s="668"/>
      <c r="W194" s="668"/>
      <c r="X194" s="669"/>
      <c r="Y194" s="20"/>
    </row>
    <row r="195" spans="2:25" x14ac:dyDescent="0.25">
      <c r="B195" s="19"/>
      <c r="D195" s="670"/>
      <c r="E195" s="671"/>
      <c r="F195" s="671"/>
      <c r="G195" s="671"/>
      <c r="H195" s="671"/>
      <c r="I195" s="671"/>
      <c r="J195" s="671"/>
      <c r="K195" s="671"/>
      <c r="L195" s="671"/>
      <c r="M195" s="671"/>
      <c r="N195" s="671"/>
      <c r="O195" s="671"/>
      <c r="P195" s="671"/>
      <c r="Q195" s="671"/>
      <c r="R195" s="671"/>
      <c r="S195" s="671"/>
      <c r="T195" s="671"/>
      <c r="U195" s="671"/>
      <c r="V195" s="671"/>
      <c r="W195" s="671"/>
      <c r="X195" s="672"/>
      <c r="Y195" s="20"/>
    </row>
    <row r="196" spans="2:25" x14ac:dyDescent="0.25">
      <c r="B196" s="19"/>
      <c r="D196" s="670"/>
      <c r="E196" s="671"/>
      <c r="F196" s="671"/>
      <c r="G196" s="671"/>
      <c r="H196" s="671"/>
      <c r="I196" s="671"/>
      <c r="J196" s="671"/>
      <c r="K196" s="671"/>
      <c r="L196" s="671"/>
      <c r="M196" s="671"/>
      <c r="N196" s="671"/>
      <c r="O196" s="671"/>
      <c r="P196" s="671"/>
      <c r="Q196" s="671"/>
      <c r="R196" s="671"/>
      <c r="S196" s="671"/>
      <c r="T196" s="671"/>
      <c r="U196" s="671"/>
      <c r="V196" s="671"/>
      <c r="W196" s="671"/>
      <c r="X196" s="672"/>
      <c r="Y196" s="20"/>
    </row>
    <row r="197" spans="2:25" x14ac:dyDescent="0.25">
      <c r="B197" s="19"/>
      <c r="D197" s="670"/>
      <c r="E197" s="671"/>
      <c r="F197" s="671"/>
      <c r="G197" s="671"/>
      <c r="H197" s="671"/>
      <c r="I197" s="671"/>
      <c r="J197" s="671"/>
      <c r="K197" s="671"/>
      <c r="L197" s="671"/>
      <c r="M197" s="671"/>
      <c r="N197" s="671"/>
      <c r="O197" s="671"/>
      <c r="P197" s="671"/>
      <c r="Q197" s="671"/>
      <c r="R197" s="671"/>
      <c r="S197" s="671"/>
      <c r="T197" s="671"/>
      <c r="U197" s="671"/>
      <c r="V197" s="671"/>
      <c r="W197" s="671"/>
      <c r="X197" s="672"/>
      <c r="Y197" s="20"/>
    </row>
    <row r="198" spans="2:25" x14ac:dyDescent="0.25">
      <c r="B198" s="19"/>
      <c r="D198" s="673"/>
      <c r="E198" s="674"/>
      <c r="F198" s="674"/>
      <c r="G198" s="674"/>
      <c r="H198" s="674"/>
      <c r="I198" s="674"/>
      <c r="J198" s="674"/>
      <c r="K198" s="674"/>
      <c r="L198" s="674"/>
      <c r="M198" s="674"/>
      <c r="N198" s="674"/>
      <c r="O198" s="674"/>
      <c r="P198" s="674"/>
      <c r="Q198" s="674"/>
      <c r="R198" s="674"/>
      <c r="S198" s="674"/>
      <c r="T198" s="674"/>
      <c r="U198" s="674"/>
      <c r="V198" s="674"/>
      <c r="W198" s="674"/>
      <c r="X198" s="675"/>
      <c r="Y198" s="20"/>
    </row>
    <row r="199" spans="2:25" x14ac:dyDescent="0.25">
      <c r="B199" s="19"/>
      <c r="Y199" s="20"/>
    </row>
    <row r="200" spans="2:25" ht="15.75" thickBot="1" x14ac:dyDescent="0.3">
      <c r="B200" s="22"/>
      <c r="C200" s="23"/>
      <c r="D200" s="23"/>
      <c r="E200" s="23"/>
      <c r="F200" s="23"/>
      <c r="G200" s="23"/>
      <c r="H200" s="23"/>
      <c r="I200" s="23"/>
      <c r="J200" s="23"/>
      <c r="K200" s="23"/>
      <c r="L200" s="23"/>
      <c r="M200" s="23"/>
      <c r="N200" s="23"/>
      <c r="O200" s="23"/>
      <c r="P200" s="23"/>
      <c r="Q200" s="23"/>
      <c r="R200" s="23"/>
      <c r="S200" s="23"/>
      <c r="T200" s="23"/>
      <c r="U200" s="23"/>
      <c r="V200" s="23"/>
      <c r="W200" s="23"/>
      <c r="X200" s="23"/>
      <c r="Y200" s="24"/>
    </row>
    <row r="203" spans="2:25" ht="15.75" thickBot="1" x14ac:dyDescent="0.3"/>
    <row r="204" spans="2:25" x14ac:dyDescent="0.25">
      <c r="B204" s="16"/>
      <c r="C204" s="17"/>
      <c r="D204" s="17"/>
      <c r="E204" s="17"/>
      <c r="F204" s="17"/>
      <c r="G204" s="17"/>
      <c r="H204" s="17"/>
      <c r="I204" s="17"/>
      <c r="J204" s="17"/>
      <c r="K204" s="17"/>
      <c r="L204" s="17"/>
      <c r="M204" s="17"/>
      <c r="N204" s="17"/>
      <c r="O204" s="17"/>
      <c r="P204" s="17"/>
      <c r="Q204" s="17"/>
      <c r="R204" s="17"/>
      <c r="S204" s="17"/>
      <c r="T204" s="17"/>
      <c r="U204" s="17"/>
      <c r="V204" s="17"/>
      <c r="W204" s="17"/>
      <c r="X204" s="17"/>
      <c r="Y204" s="18"/>
    </row>
    <row r="205" spans="2:25" x14ac:dyDescent="0.25">
      <c r="B205" s="19"/>
      <c r="Y205" s="20"/>
    </row>
    <row r="206" spans="2:25" x14ac:dyDescent="0.25">
      <c r="B206" s="19"/>
      <c r="C206" s="21" t="s">
        <v>2544</v>
      </c>
      <c r="Y206" s="20"/>
    </row>
    <row r="207" spans="2:25" x14ac:dyDescent="0.25">
      <c r="B207" s="19"/>
      <c r="L207" s="652" t="s">
        <v>339</v>
      </c>
      <c r="M207" s="652"/>
      <c r="Y207" s="20"/>
    </row>
    <row r="208" spans="2:25" x14ac:dyDescent="0.25">
      <c r="B208" s="19"/>
      <c r="C208" s="42" t="s">
        <v>2421</v>
      </c>
      <c r="Y208" s="20"/>
    </row>
    <row r="209" spans="2:25" x14ac:dyDescent="0.25">
      <c r="B209" s="19"/>
      <c r="D209" s="47" t="s">
        <v>2389</v>
      </c>
      <c r="E209" s="47"/>
      <c r="F209" s="47"/>
      <c r="G209" s="47"/>
      <c r="H209" s="47"/>
      <c r="I209" s="47"/>
      <c r="J209" s="47"/>
      <c r="K209" s="43"/>
      <c r="L209" s="826">
        <f>Phyto!L353</f>
        <v>0</v>
      </c>
      <c r="M209" s="827"/>
      <c r="O209" s="143"/>
      <c r="Y209" s="20"/>
    </row>
    <row r="210" spans="2:25" x14ac:dyDescent="0.25">
      <c r="B210" s="19"/>
      <c r="D210" s="48" t="s">
        <v>341</v>
      </c>
      <c r="E210" s="48"/>
      <c r="F210" s="48"/>
      <c r="G210" s="48"/>
      <c r="H210" s="48"/>
      <c r="I210" s="48"/>
      <c r="J210" s="48"/>
      <c r="K210" s="44"/>
      <c r="L210" s="826">
        <f>Phyto!L354</f>
        <v>0</v>
      </c>
      <c r="M210" s="827"/>
      <c r="Y210" s="20"/>
    </row>
    <row r="211" spans="2:25" x14ac:dyDescent="0.25">
      <c r="B211" s="19"/>
      <c r="Y211" s="20"/>
    </row>
    <row r="212" spans="2:25" x14ac:dyDescent="0.25">
      <c r="B212" s="19"/>
      <c r="Y212" s="20"/>
    </row>
    <row r="213" spans="2:25" x14ac:dyDescent="0.25">
      <c r="B213" s="19"/>
      <c r="C213" s="42"/>
      <c r="Y213" s="20"/>
    </row>
    <row r="214" spans="2:25" x14ac:dyDescent="0.25">
      <c r="B214" s="19"/>
      <c r="N214" s="651" t="s">
        <v>239</v>
      </c>
      <c r="O214" s="651"/>
      <c r="Y214" s="20"/>
    </row>
    <row r="215" spans="2:25" x14ac:dyDescent="0.25">
      <c r="B215" s="19"/>
      <c r="D215" s="77" t="s">
        <v>2390</v>
      </c>
      <c r="E215" s="77"/>
      <c r="F215" s="77"/>
      <c r="G215" s="77"/>
      <c r="H215" s="77"/>
      <c r="I215" s="77"/>
      <c r="J215" s="77"/>
      <c r="K215" s="102"/>
      <c r="L215" s="826">
        <f>Surfaces!O196</f>
        <v>0</v>
      </c>
      <c r="M215" s="827"/>
      <c r="N215" s="96"/>
      <c r="O215" s="96"/>
      <c r="Y215" s="20"/>
    </row>
    <row r="216" spans="2:25" x14ac:dyDescent="0.25">
      <c r="B216" s="19"/>
      <c r="D216" s="78" t="s">
        <v>2354</v>
      </c>
      <c r="E216" s="78"/>
      <c r="F216" s="78"/>
      <c r="G216" s="78"/>
      <c r="H216" s="78"/>
      <c r="I216" s="78"/>
      <c r="J216" s="78"/>
      <c r="K216" s="103"/>
      <c r="L216" s="822">
        <f>Phyto!L361</f>
        <v>0</v>
      </c>
      <c r="M216" s="823"/>
      <c r="N216" s="824">
        <f>Phyto!N361</f>
        <v>0</v>
      </c>
      <c r="O216" s="842"/>
      <c r="Y216" s="20"/>
    </row>
    <row r="217" spans="2:25" x14ac:dyDescent="0.25">
      <c r="B217" s="19"/>
      <c r="D217" s="78" t="s">
        <v>2355</v>
      </c>
      <c r="E217" s="78"/>
      <c r="F217" s="78"/>
      <c r="G217" s="78"/>
      <c r="H217" s="78"/>
      <c r="I217" s="78"/>
      <c r="J217" s="78"/>
      <c r="K217" s="103"/>
      <c r="L217" s="822">
        <f>Phyto!L362</f>
        <v>0</v>
      </c>
      <c r="M217" s="823"/>
      <c r="N217" s="824">
        <f>Phyto!N362</f>
        <v>0</v>
      </c>
      <c r="O217" s="842"/>
      <c r="Y217" s="20"/>
    </row>
    <row r="218" spans="2:25" x14ac:dyDescent="0.25">
      <c r="B218" s="19"/>
      <c r="W218" s="951" t="s">
        <v>713</v>
      </c>
      <c r="X218" s="951"/>
      <c r="Y218" s="20"/>
    </row>
    <row r="219" spans="2:25" x14ac:dyDescent="0.25">
      <c r="B219" s="19"/>
      <c r="D219" s="151" t="s">
        <v>609</v>
      </c>
      <c r="E219" s="39"/>
      <c r="F219" s="39"/>
      <c r="G219" s="39"/>
      <c r="H219" s="39"/>
      <c r="I219" s="39"/>
      <c r="J219" s="39"/>
      <c r="K219" s="39"/>
      <c r="L219" s="39"/>
      <c r="M219" s="114"/>
      <c r="N219" s="828">
        <f>IF(cIrriguante="Non",0,IF(cSAU=0,0,(SUM(N216:O217)*L215/Surfaces!O24)))</f>
        <v>0</v>
      </c>
      <c r="O219" s="829"/>
      <c r="W219" s="681">
        <f>IF(cSAU=0,6,6*L215/cSAU)</f>
        <v>6</v>
      </c>
      <c r="X219" s="682"/>
      <c r="Y219" s="20"/>
    </row>
    <row r="220" spans="2:25" x14ac:dyDescent="0.25">
      <c r="B220" s="19"/>
      <c r="Y220" s="20"/>
    </row>
    <row r="221" spans="2:25" x14ac:dyDescent="0.25">
      <c r="B221" s="19"/>
      <c r="Y221" s="20"/>
    </row>
    <row r="222" spans="2:25" x14ac:dyDescent="0.25">
      <c r="B222" s="19"/>
      <c r="D222" s="70" t="s">
        <v>2506</v>
      </c>
      <c r="Y222" s="20"/>
    </row>
    <row r="223" spans="2:25" x14ac:dyDescent="0.25">
      <c r="B223" s="19"/>
      <c r="D223" s="667"/>
      <c r="E223" s="668"/>
      <c r="F223" s="668"/>
      <c r="G223" s="668"/>
      <c r="H223" s="668"/>
      <c r="I223" s="668"/>
      <c r="J223" s="668"/>
      <c r="K223" s="668"/>
      <c r="L223" s="668"/>
      <c r="M223" s="668"/>
      <c r="N223" s="668"/>
      <c r="O223" s="668"/>
      <c r="P223" s="668"/>
      <c r="Q223" s="668"/>
      <c r="R223" s="668"/>
      <c r="S223" s="668"/>
      <c r="T223" s="668"/>
      <c r="U223" s="668"/>
      <c r="V223" s="668"/>
      <c r="W223" s="668"/>
      <c r="X223" s="669"/>
      <c r="Y223" s="20"/>
    </row>
    <row r="224" spans="2:25" x14ac:dyDescent="0.25">
      <c r="B224" s="19"/>
      <c r="D224" s="670"/>
      <c r="E224" s="671"/>
      <c r="F224" s="671"/>
      <c r="G224" s="671"/>
      <c r="H224" s="671"/>
      <c r="I224" s="671"/>
      <c r="J224" s="671"/>
      <c r="K224" s="671"/>
      <c r="L224" s="671"/>
      <c r="M224" s="671"/>
      <c r="N224" s="671"/>
      <c r="O224" s="671"/>
      <c r="P224" s="671"/>
      <c r="Q224" s="671"/>
      <c r="R224" s="671"/>
      <c r="S224" s="671"/>
      <c r="T224" s="671"/>
      <c r="U224" s="671"/>
      <c r="V224" s="671"/>
      <c r="W224" s="671"/>
      <c r="X224" s="672"/>
      <c r="Y224" s="20"/>
    </row>
    <row r="225" spans="2:25" x14ac:dyDescent="0.25">
      <c r="B225" s="19"/>
      <c r="D225" s="670"/>
      <c r="E225" s="671"/>
      <c r="F225" s="671"/>
      <c r="G225" s="671"/>
      <c r="H225" s="671"/>
      <c r="I225" s="671"/>
      <c r="J225" s="671"/>
      <c r="K225" s="671"/>
      <c r="L225" s="671"/>
      <c r="M225" s="671"/>
      <c r="N225" s="671"/>
      <c r="O225" s="671"/>
      <c r="P225" s="671"/>
      <c r="Q225" s="671"/>
      <c r="R225" s="671"/>
      <c r="S225" s="671"/>
      <c r="T225" s="671"/>
      <c r="U225" s="671"/>
      <c r="V225" s="671"/>
      <c r="W225" s="671"/>
      <c r="X225" s="672"/>
      <c r="Y225" s="20"/>
    </row>
    <row r="226" spans="2:25" x14ac:dyDescent="0.25">
      <c r="B226" s="19"/>
      <c r="D226" s="670"/>
      <c r="E226" s="671"/>
      <c r="F226" s="671"/>
      <c r="G226" s="671"/>
      <c r="H226" s="671"/>
      <c r="I226" s="671"/>
      <c r="J226" s="671"/>
      <c r="K226" s="671"/>
      <c r="L226" s="671"/>
      <c r="M226" s="671"/>
      <c r="N226" s="671"/>
      <c r="O226" s="671"/>
      <c r="P226" s="671"/>
      <c r="Q226" s="671"/>
      <c r="R226" s="671"/>
      <c r="S226" s="671"/>
      <c r="T226" s="671"/>
      <c r="U226" s="671"/>
      <c r="V226" s="671"/>
      <c r="W226" s="671"/>
      <c r="X226" s="672"/>
      <c r="Y226" s="20"/>
    </row>
    <row r="227" spans="2:25" x14ac:dyDescent="0.25">
      <c r="B227" s="19"/>
      <c r="D227" s="673"/>
      <c r="E227" s="674"/>
      <c r="F227" s="674"/>
      <c r="G227" s="674"/>
      <c r="H227" s="674"/>
      <c r="I227" s="674"/>
      <c r="J227" s="674"/>
      <c r="K227" s="674"/>
      <c r="L227" s="674"/>
      <c r="M227" s="674"/>
      <c r="N227" s="674"/>
      <c r="O227" s="674"/>
      <c r="P227" s="674"/>
      <c r="Q227" s="674"/>
      <c r="R227" s="674"/>
      <c r="S227" s="674"/>
      <c r="T227" s="674"/>
      <c r="U227" s="674"/>
      <c r="V227" s="674"/>
      <c r="W227" s="674"/>
      <c r="X227" s="675"/>
      <c r="Y227" s="20"/>
    </row>
    <row r="228" spans="2:25" x14ac:dyDescent="0.25">
      <c r="B228" s="19"/>
      <c r="Y228" s="20"/>
    </row>
    <row r="229" spans="2:25" ht="15.75" thickBot="1" x14ac:dyDescent="0.3">
      <c r="B229" s="22"/>
      <c r="C229" s="23"/>
      <c r="D229" s="23"/>
      <c r="E229" s="23"/>
      <c r="F229" s="23"/>
      <c r="G229" s="23"/>
      <c r="H229" s="23"/>
      <c r="I229" s="23"/>
      <c r="J229" s="23"/>
      <c r="K229" s="23"/>
      <c r="L229" s="23"/>
      <c r="M229" s="23"/>
      <c r="N229" s="23"/>
      <c r="O229" s="23"/>
      <c r="P229" s="23"/>
      <c r="Q229" s="23"/>
      <c r="R229" s="23"/>
      <c r="S229" s="23"/>
      <c r="T229" s="23"/>
      <c r="U229" s="23"/>
      <c r="V229" s="23"/>
      <c r="W229" s="23"/>
      <c r="X229" s="23"/>
      <c r="Y229" s="24"/>
    </row>
    <row r="232" spans="2:25" ht="15.75" thickBot="1" x14ac:dyDescent="0.3"/>
    <row r="233" spans="2:25" x14ac:dyDescent="0.25">
      <c r="B233" s="16"/>
      <c r="C233" s="17"/>
      <c r="D233" s="17"/>
      <c r="E233" s="17"/>
      <c r="F233" s="17"/>
      <c r="G233" s="17"/>
      <c r="H233" s="17"/>
      <c r="I233" s="17"/>
      <c r="J233" s="17"/>
      <c r="K233" s="17"/>
      <c r="L233" s="17"/>
      <c r="M233" s="17"/>
      <c r="N233" s="17"/>
      <c r="O233" s="17"/>
      <c r="P233" s="17"/>
      <c r="Q233" s="17"/>
      <c r="R233" s="17"/>
      <c r="S233" s="17"/>
      <c r="T233" s="17"/>
      <c r="U233" s="17"/>
      <c r="V233" s="17"/>
      <c r="W233" s="17"/>
      <c r="X233" s="17"/>
      <c r="Y233" s="18"/>
    </row>
    <row r="234" spans="2:25" x14ac:dyDescent="0.25">
      <c r="B234" s="19"/>
      <c r="Y234" s="20"/>
    </row>
    <row r="235" spans="2:25" x14ac:dyDescent="0.25">
      <c r="B235" s="19"/>
      <c r="C235" s="143" t="s">
        <v>2586</v>
      </c>
      <c r="Y235" s="20"/>
    </row>
    <row r="236" spans="2:25" x14ac:dyDescent="0.25">
      <c r="B236" s="19"/>
      <c r="Y236" s="20"/>
    </row>
    <row r="237" spans="2:25" x14ac:dyDescent="0.25">
      <c r="B237" s="19"/>
      <c r="C237" s="42" t="s">
        <v>380</v>
      </c>
      <c r="M237" s="115"/>
      <c r="N237" s="703"/>
      <c r="O237" s="704"/>
      <c r="Y237" s="20"/>
    </row>
    <row r="238" spans="2:25" x14ac:dyDescent="0.25">
      <c r="B238" s="19"/>
      <c r="Y238" s="20"/>
    </row>
    <row r="239" spans="2:25" x14ac:dyDescent="0.25">
      <c r="B239" s="19"/>
      <c r="P239" s="651" t="s">
        <v>239</v>
      </c>
      <c r="Q239" s="651"/>
      <c r="Y239" s="20"/>
    </row>
    <row r="240" spans="2:25" x14ac:dyDescent="0.25">
      <c r="B240" s="19"/>
      <c r="Y240" s="20"/>
    </row>
    <row r="241" spans="2:25" x14ac:dyDescent="0.25">
      <c r="B241" s="19"/>
      <c r="C241" s="77" t="s">
        <v>2519</v>
      </c>
      <c r="D241" s="77"/>
      <c r="E241" s="77"/>
      <c r="F241" s="77"/>
      <c r="G241" s="77"/>
      <c r="H241" s="77"/>
      <c r="I241" s="77"/>
      <c r="J241" s="77"/>
      <c r="K241" s="77"/>
      <c r="L241" s="77"/>
      <c r="M241" s="102"/>
      <c r="N241" s="822">
        <f>IFERROR(Surfaces!O136/cSAU,0)</f>
        <v>0</v>
      </c>
      <c r="O241" s="823"/>
      <c r="W241" s="951" t="s">
        <v>713</v>
      </c>
      <c r="X241" s="951"/>
      <c r="Y241" s="20"/>
    </row>
    <row r="242" spans="2:25" x14ac:dyDescent="0.25">
      <c r="B242" s="19"/>
      <c r="C242" s="151" t="s">
        <v>421</v>
      </c>
      <c r="D242" s="40"/>
      <c r="E242" s="40"/>
      <c r="F242" s="40"/>
      <c r="G242" s="40"/>
      <c r="H242" s="40"/>
      <c r="I242" s="40"/>
      <c r="J242" s="40"/>
      <c r="K242" s="40"/>
      <c r="L242" s="40"/>
      <c r="M242" s="40"/>
      <c r="N242" s="40"/>
      <c r="O242" s="45"/>
      <c r="P242" s="828">
        <f>IF(cIrriguante="Non",0,IF(N237="Oui",1*N241,0))</f>
        <v>0</v>
      </c>
      <c r="Q242" s="829"/>
      <c r="W242" s="681">
        <f>IF(cSAU=0,1,1*N241)</f>
        <v>1</v>
      </c>
      <c r="X242" s="682"/>
      <c r="Y242" s="20"/>
    </row>
    <row r="243" spans="2:25" x14ac:dyDescent="0.25">
      <c r="B243" s="19"/>
      <c r="Y243" s="20"/>
    </row>
    <row r="244" spans="2:25" x14ac:dyDescent="0.25">
      <c r="B244" s="19"/>
      <c r="Y244" s="20"/>
    </row>
    <row r="245" spans="2:25" x14ac:dyDescent="0.25">
      <c r="B245" s="19"/>
      <c r="D245" s="70" t="s">
        <v>2506</v>
      </c>
      <c r="Y245" s="20"/>
    </row>
    <row r="246" spans="2:25" x14ac:dyDescent="0.25">
      <c r="B246" s="19"/>
      <c r="D246" s="667"/>
      <c r="E246" s="668"/>
      <c r="F246" s="668"/>
      <c r="G246" s="668"/>
      <c r="H246" s="668"/>
      <c r="I246" s="668"/>
      <c r="J246" s="668"/>
      <c r="K246" s="668"/>
      <c r="L246" s="668"/>
      <c r="M246" s="668"/>
      <c r="N246" s="668"/>
      <c r="O246" s="668"/>
      <c r="P246" s="668"/>
      <c r="Q246" s="668"/>
      <c r="R246" s="668"/>
      <c r="S246" s="668"/>
      <c r="T246" s="668"/>
      <c r="U246" s="668"/>
      <c r="V246" s="668"/>
      <c r="W246" s="668"/>
      <c r="X246" s="669"/>
      <c r="Y246" s="20"/>
    </row>
    <row r="247" spans="2:25" x14ac:dyDescent="0.25">
      <c r="B247" s="19"/>
      <c r="D247" s="670"/>
      <c r="E247" s="671"/>
      <c r="F247" s="671"/>
      <c r="G247" s="671"/>
      <c r="H247" s="671"/>
      <c r="I247" s="671"/>
      <c r="J247" s="671"/>
      <c r="K247" s="671"/>
      <c r="L247" s="671"/>
      <c r="M247" s="671"/>
      <c r="N247" s="671"/>
      <c r="O247" s="671"/>
      <c r="P247" s="671"/>
      <c r="Q247" s="671"/>
      <c r="R247" s="671"/>
      <c r="S247" s="671"/>
      <c r="T247" s="671"/>
      <c r="U247" s="671"/>
      <c r="V247" s="671"/>
      <c r="W247" s="671"/>
      <c r="X247" s="672"/>
      <c r="Y247" s="20"/>
    </row>
    <row r="248" spans="2:25" x14ac:dyDescent="0.25">
      <c r="B248" s="19"/>
      <c r="D248" s="670"/>
      <c r="E248" s="671"/>
      <c r="F248" s="671"/>
      <c r="G248" s="671"/>
      <c r="H248" s="671"/>
      <c r="I248" s="671"/>
      <c r="J248" s="671"/>
      <c r="K248" s="671"/>
      <c r="L248" s="671"/>
      <c r="M248" s="671"/>
      <c r="N248" s="671"/>
      <c r="O248" s="671"/>
      <c r="P248" s="671"/>
      <c r="Q248" s="671"/>
      <c r="R248" s="671"/>
      <c r="S248" s="671"/>
      <c r="T248" s="671"/>
      <c r="U248" s="671"/>
      <c r="V248" s="671"/>
      <c r="W248" s="671"/>
      <c r="X248" s="672"/>
      <c r="Y248" s="20"/>
    </row>
    <row r="249" spans="2:25" x14ac:dyDescent="0.25">
      <c r="B249" s="19"/>
      <c r="D249" s="670"/>
      <c r="E249" s="671"/>
      <c r="F249" s="671"/>
      <c r="G249" s="671"/>
      <c r="H249" s="671"/>
      <c r="I249" s="671"/>
      <c r="J249" s="671"/>
      <c r="K249" s="671"/>
      <c r="L249" s="671"/>
      <c r="M249" s="671"/>
      <c r="N249" s="671"/>
      <c r="O249" s="671"/>
      <c r="P249" s="671"/>
      <c r="Q249" s="671"/>
      <c r="R249" s="671"/>
      <c r="S249" s="671"/>
      <c r="T249" s="671"/>
      <c r="U249" s="671"/>
      <c r="V249" s="671"/>
      <c r="W249" s="671"/>
      <c r="X249" s="672"/>
      <c r="Y249" s="20"/>
    </row>
    <row r="250" spans="2:25" x14ac:dyDescent="0.25">
      <c r="B250" s="19"/>
      <c r="D250" s="673"/>
      <c r="E250" s="674"/>
      <c r="F250" s="674"/>
      <c r="G250" s="674"/>
      <c r="H250" s="674"/>
      <c r="I250" s="674"/>
      <c r="J250" s="674"/>
      <c r="K250" s="674"/>
      <c r="L250" s="674"/>
      <c r="M250" s="674"/>
      <c r="N250" s="674"/>
      <c r="O250" s="674"/>
      <c r="P250" s="674"/>
      <c r="Q250" s="674"/>
      <c r="R250" s="674"/>
      <c r="S250" s="674"/>
      <c r="T250" s="674"/>
      <c r="U250" s="674"/>
      <c r="V250" s="674"/>
      <c r="W250" s="674"/>
      <c r="X250" s="675"/>
      <c r="Y250" s="20"/>
    </row>
    <row r="251" spans="2:25" x14ac:dyDescent="0.25">
      <c r="B251" s="19"/>
      <c r="Y251" s="20"/>
    </row>
    <row r="252" spans="2:25" ht="15.75" thickBot="1" x14ac:dyDescent="0.3">
      <c r="B252" s="22"/>
      <c r="C252" s="23"/>
      <c r="D252" s="23"/>
      <c r="E252" s="23"/>
      <c r="F252" s="23"/>
      <c r="G252" s="23"/>
      <c r="H252" s="23"/>
      <c r="I252" s="23"/>
      <c r="J252" s="23"/>
      <c r="K252" s="23"/>
      <c r="L252" s="23"/>
      <c r="M252" s="23"/>
      <c r="N252" s="23"/>
      <c r="O252" s="23"/>
      <c r="P252" s="23"/>
      <c r="Q252" s="23"/>
      <c r="R252" s="23"/>
      <c r="S252" s="23"/>
      <c r="T252" s="23"/>
      <c r="U252" s="23"/>
      <c r="V252" s="23"/>
      <c r="W252" s="23"/>
      <c r="X252" s="23"/>
      <c r="Y252" s="24"/>
    </row>
    <row r="255" spans="2:25" ht="15.75" thickBot="1" x14ac:dyDescent="0.3"/>
    <row r="256" spans="2:25" x14ac:dyDescent="0.25">
      <c r="B256" s="8"/>
      <c r="C256" s="9"/>
      <c r="D256" s="9"/>
      <c r="E256" s="9"/>
      <c r="F256" s="9"/>
      <c r="G256" s="9"/>
      <c r="H256" s="9"/>
      <c r="I256" s="9"/>
      <c r="J256" s="9"/>
      <c r="K256" s="9"/>
      <c r="L256" s="9"/>
      <c r="M256" s="9"/>
      <c r="N256" s="9"/>
      <c r="O256" s="9"/>
      <c r="P256" s="9"/>
      <c r="Q256" s="9"/>
      <c r="R256" s="9"/>
      <c r="S256" s="9"/>
      <c r="T256" s="9"/>
      <c r="U256" s="9"/>
      <c r="V256" s="9"/>
      <c r="W256" s="9"/>
      <c r="X256" s="9"/>
      <c r="Y256" s="10"/>
    </row>
    <row r="257" spans="2:25" x14ac:dyDescent="0.25">
      <c r="B257" s="11"/>
      <c r="Y257" s="12"/>
    </row>
    <row r="258" spans="2:25" x14ac:dyDescent="0.25">
      <c r="B258" s="11"/>
      <c r="W258" s="951" t="s">
        <v>713</v>
      </c>
      <c r="X258" s="951"/>
      <c r="Y258" s="12"/>
    </row>
    <row r="259" spans="2:25" x14ac:dyDescent="0.25">
      <c r="B259" s="11"/>
      <c r="C259" s="77" t="s">
        <v>2337</v>
      </c>
      <c r="D259" s="40"/>
      <c r="E259" s="40"/>
      <c r="F259" s="40"/>
      <c r="G259" s="40"/>
      <c r="H259" s="40"/>
      <c r="I259" s="40"/>
      <c r="J259" s="40"/>
      <c r="K259" s="40"/>
      <c r="L259" s="40"/>
      <c r="M259" s="40"/>
      <c r="N259" s="40"/>
      <c r="O259" s="40"/>
      <c r="P259" s="40"/>
      <c r="Q259" s="45"/>
      <c r="R259" s="691">
        <f>M51+O92+D139+N167+L124+M190+N219+P242</f>
        <v>0</v>
      </c>
      <c r="S259" s="692"/>
      <c r="W259" s="681">
        <f>W51+W92+W124+W139+W167+W190+W219+W242</f>
        <v>34</v>
      </c>
      <c r="X259" s="682"/>
      <c r="Y259" s="12"/>
    </row>
    <row r="260" spans="2:25" x14ac:dyDescent="0.25">
      <c r="B260" s="11"/>
      <c r="Y260" s="12"/>
    </row>
    <row r="261" spans="2:25" x14ac:dyDescent="0.25">
      <c r="B261" s="11"/>
      <c r="Y261" s="12"/>
    </row>
    <row r="262" spans="2:25" x14ac:dyDescent="0.25">
      <c r="B262" s="11"/>
      <c r="C262" s="70" t="s">
        <v>2506</v>
      </c>
      <c r="Y262" s="12"/>
    </row>
    <row r="263" spans="2:25" x14ac:dyDescent="0.25">
      <c r="B263" s="11"/>
      <c r="C263" s="667"/>
      <c r="D263" s="668"/>
      <c r="E263" s="668"/>
      <c r="F263" s="668"/>
      <c r="G263" s="668"/>
      <c r="H263" s="668"/>
      <c r="I263" s="668"/>
      <c r="J263" s="668"/>
      <c r="K263" s="668"/>
      <c r="L263" s="668"/>
      <c r="M263" s="668"/>
      <c r="N263" s="668"/>
      <c r="O263" s="668"/>
      <c r="P263" s="668"/>
      <c r="Q263" s="668"/>
      <c r="R263" s="668"/>
      <c r="S263" s="668"/>
      <c r="T263" s="668"/>
      <c r="U263" s="668"/>
      <c r="V263" s="668"/>
      <c r="W263" s="669"/>
      <c r="Y263" s="12"/>
    </row>
    <row r="264" spans="2:25" x14ac:dyDescent="0.25">
      <c r="B264" s="11"/>
      <c r="C264" s="670"/>
      <c r="D264" s="671"/>
      <c r="E264" s="671"/>
      <c r="F264" s="671"/>
      <c r="G264" s="671"/>
      <c r="H264" s="671"/>
      <c r="I264" s="671"/>
      <c r="J264" s="671"/>
      <c r="K264" s="671"/>
      <c r="L264" s="671"/>
      <c r="M264" s="671"/>
      <c r="N264" s="671"/>
      <c r="O264" s="671"/>
      <c r="P264" s="671"/>
      <c r="Q264" s="671"/>
      <c r="R264" s="671"/>
      <c r="S264" s="671"/>
      <c r="T264" s="671"/>
      <c r="U264" s="671"/>
      <c r="V264" s="671"/>
      <c r="W264" s="672"/>
      <c r="Y264" s="12"/>
    </row>
    <row r="265" spans="2:25" x14ac:dyDescent="0.25">
      <c r="B265" s="11"/>
      <c r="C265" s="670"/>
      <c r="D265" s="671"/>
      <c r="E265" s="671"/>
      <c r="F265" s="671"/>
      <c r="G265" s="671"/>
      <c r="H265" s="671"/>
      <c r="I265" s="671"/>
      <c r="J265" s="671"/>
      <c r="K265" s="671"/>
      <c r="L265" s="671"/>
      <c r="M265" s="671"/>
      <c r="N265" s="671"/>
      <c r="O265" s="671"/>
      <c r="P265" s="671"/>
      <c r="Q265" s="671"/>
      <c r="R265" s="671"/>
      <c r="S265" s="671"/>
      <c r="T265" s="671"/>
      <c r="U265" s="671"/>
      <c r="V265" s="671"/>
      <c r="W265" s="672"/>
      <c r="Y265" s="12"/>
    </row>
    <row r="266" spans="2:25" x14ac:dyDescent="0.25">
      <c r="B266" s="11"/>
      <c r="C266" s="670"/>
      <c r="D266" s="671"/>
      <c r="E266" s="671"/>
      <c r="F266" s="671"/>
      <c r="G266" s="671"/>
      <c r="H266" s="671"/>
      <c r="I266" s="671"/>
      <c r="J266" s="671"/>
      <c r="K266" s="671"/>
      <c r="L266" s="671"/>
      <c r="M266" s="671"/>
      <c r="N266" s="671"/>
      <c r="O266" s="671"/>
      <c r="P266" s="671"/>
      <c r="Q266" s="671"/>
      <c r="R266" s="671"/>
      <c r="S266" s="671"/>
      <c r="T266" s="671"/>
      <c r="U266" s="671"/>
      <c r="V266" s="671"/>
      <c r="W266" s="672"/>
      <c r="Y266" s="12"/>
    </row>
    <row r="267" spans="2:25" x14ac:dyDescent="0.25">
      <c r="B267" s="11"/>
      <c r="C267" s="670"/>
      <c r="D267" s="671"/>
      <c r="E267" s="671"/>
      <c r="F267" s="671"/>
      <c r="G267" s="671"/>
      <c r="H267" s="671"/>
      <c r="I267" s="671"/>
      <c r="J267" s="671"/>
      <c r="K267" s="671"/>
      <c r="L267" s="671"/>
      <c r="M267" s="671"/>
      <c r="N267" s="671"/>
      <c r="O267" s="671"/>
      <c r="P267" s="671"/>
      <c r="Q267" s="671"/>
      <c r="R267" s="671"/>
      <c r="S267" s="671"/>
      <c r="T267" s="671"/>
      <c r="U267" s="671"/>
      <c r="V267" s="671"/>
      <c r="W267" s="672"/>
      <c r="Y267" s="12"/>
    </row>
    <row r="268" spans="2:25" x14ac:dyDescent="0.25">
      <c r="B268" s="11"/>
      <c r="C268" s="670"/>
      <c r="D268" s="671"/>
      <c r="E268" s="671"/>
      <c r="F268" s="671"/>
      <c r="G268" s="671"/>
      <c r="H268" s="671"/>
      <c r="I268" s="671"/>
      <c r="J268" s="671"/>
      <c r="K268" s="671"/>
      <c r="L268" s="671"/>
      <c r="M268" s="671"/>
      <c r="N268" s="671"/>
      <c r="O268" s="671"/>
      <c r="P268" s="671"/>
      <c r="Q268" s="671"/>
      <c r="R268" s="671"/>
      <c r="S268" s="671"/>
      <c r="T268" s="671"/>
      <c r="U268" s="671"/>
      <c r="V268" s="671"/>
      <c r="W268" s="672"/>
      <c r="Y268" s="12"/>
    </row>
    <row r="269" spans="2:25" x14ac:dyDescent="0.25">
      <c r="B269" s="11"/>
      <c r="C269" s="670"/>
      <c r="D269" s="671"/>
      <c r="E269" s="671"/>
      <c r="F269" s="671"/>
      <c r="G269" s="671"/>
      <c r="H269" s="671"/>
      <c r="I269" s="671"/>
      <c r="J269" s="671"/>
      <c r="K269" s="671"/>
      <c r="L269" s="671"/>
      <c r="M269" s="671"/>
      <c r="N269" s="671"/>
      <c r="O269" s="671"/>
      <c r="P269" s="671"/>
      <c r="Q269" s="671"/>
      <c r="R269" s="671"/>
      <c r="S269" s="671"/>
      <c r="T269" s="671"/>
      <c r="U269" s="671"/>
      <c r="V269" s="671"/>
      <c r="W269" s="672"/>
      <c r="Y269" s="12"/>
    </row>
    <row r="270" spans="2:25" x14ac:dyDescent="0.25">
      <c r="B270" s="11"/>
      <c r="C270" s="670"/>
      <c r="D270" s="671"/>
      <c r="E270" s="671"/>
      <c r="F270" s="671"/>
      <c r="G270" s="671"/>
      <c r="H270" s="671"/>
      <c r="I270" s="671"/>
      <c r="J270" s="671"/>
      <c r="K270" s="671"/>
      <c r="L270" s="671"/>
      <c r="M270" s="671"/>
      <c r="N270" s="671"/>
      <c r="O270" s="671"/>
      <c r="P270" s="671"/>
      <c r="Q270" s="671"/>
      <c r="R270" s="671"/>
      <c r="S270" s="671"/>
      <c r="T270" s="671"/>
      <c r="U270" s="671"/>
      <c r="V270" s="671"/>
      <c r="W270" s="672"/>
      <c r="Y270" s="12"/>
    </row>
    <row r="271" spans="2:25" x14ac:dyDescent="0.25">
      <c r="B271" s="11"/>
      <c r="C271" s="670"/>
      <c r="D271" s="671"/>
      <c r="E271" s="671"/>
      <c r="F271" s="671"/>
      <c r="G271" s="671"/>
      <c r="H271" s="671"/>
      <c r="I271" s="671"/>
      <c r="J271" s="671"/>
      <c r="K271" s="671"/>
      <c r="L271" s="671"/>
      <c r="M271" s="671"/>
      <c r="N271" s="671"/>
      <c r="O271" s="671"/>
      <c r="P271" s="671"/>
      <c r="Q271" s="671"/>
      <c r="R271" s="671"/>
      <c r="S271" s="671"/>
      <c r="T271" s="671"/>
      <c r="U271" s="671"/>
      <c r="V271" s="671"/>
      <c r="W271" s="672"/>
      <c r="Y271" s="12"/>
    </row>
    <row r="272" spans="2:25" x14ac:dyDescent="0.25">
      <c r="B272" s="11"/>
      <c r="C272" s="673"/>
      <c r="D272" s="674"/>
      <c r="E272" s="674"/>
      <c r="F272" s="674"/>
      <c r="G272" s="674"/>
      <c r="H272" s="674"/>
      <c r="I272" s="674"/>
      <c r="J272" s="674"/>
      <c r="K272" s="674"/>
      <c r="L272" s="674"/>
      <c r="M272" s="674"/>
      <c r="N272" s="674"/>
      <c r="O272" s="674"/>
      <c r="P272" s="674"/>
      <c r="Q272" s="674"/>
      <c r="R272" s="674"/>
      <c r="S272" s="674"/>
      <c r="T272" s="674"/>
      <c r="U272" s="674"/>
      <c r="V272" s="674"/>
      <c r="W272" s="675"/>
      <c r="Y272" s="12"/>
    </row>
    <row r="273" spans="2:25" x14ac:dyDescent="0.25">
      <c r="B273" s="11"/>
      <c r="Y273" s="12"/>
    </row>
    <row r="274" spans="2:25" ht="15.75" thickBot="1" x14ac:dyDescent="0.3">
      <c r="B274" s="13"/>
      <c r="C274" s="14"/>
      <c r="D274" s="14"/>
      <c r="E274" s="14"/>
      <c r="F274" s="14"/>
      <c r="G274" s="14"/>
      <c r="H274" s="14"/>
      <c r="I274" s="14"/>
      <c r="J274" s="14"/>
      <c r="K274" s="14"/>
      <c r="L274" s="14"/>
      <c r="M274" s="14"/>
      <c r="N274" s="14"/>
      <c r="O274" s="14"/>
      <c r="P274" s="14"/>
      <c r="Q274" s="14"/>
      <c r="R274" s="14"/>
      <c r="S274" s="14"/>
      <c r="T274" s="14"/>
      <c r="U274" s="14"/>
      <c r="V274" s="14"/>
      <c r="W274" s="14"/>
      <c r="X274" s="14"/>
      <c r="Y274" s="15"/>
    </row>
  </sheetData>
  <sheetProtection algorithmName="SHA-512" hashValue="oZmleFcrUm8Xm0QUHaEU3YBAF1mqUOGNrcscUi5csqgn9eDQYfE5wrqBd8cEXZyubqNAOGw/QogXJUGb4YcT2A==" saltValue="M4/tN5sfFUHmG4M5758/1w==" spinCount="100000" sheet="1" scenarios="1"/>
  <mergeCells count="104">
    <mergeCell ref="D142:X146"/>
    <mergeCell ref="L167:M167"/>
    <mergeCell ref="N167:O167"/>
    <mergeCell ref="L166:M166"/>
    <mergeCell ref="N164:O164"/>
    <mergeCell ref="M90:N90"/>
    <mergeCell ref="M91:N91"/>
    <mergeCell ref="M78:N78"/>
    <mergeCell ref="O74:P74"/>
    <mergeCell ref="D137:E137"/>
    <mergeCell ref="W91:X91"/>
    <mergeCell ref="W92:X92"/>
    <mergeCell ref="W123:X123"/>
    <mergeCell ref="W124:X124"/>
    <mergeCell ref="C108:W109"/>
    <mergeCell ref="O87:P87"/>
    <mergeCell ref="M85:N85"/>
    <mergeCell ref="O80:P80"/>
    <mergeCell ref="M83:N83"/>
    <mergeCell ref="J133:K133"/>
    <mergeCell ref="K41:L41"/>
    <mergeCell ref="K43:L43"/>
    <mergeCell ref="K44:L44"/>
    <mergeCell ref="L122:M122"/>
    <mergeCell ref="J123:K123"/>
    <mergeCell ref="J124:K124"/>
    <mergeCell ref="L124:M124"/>
    <mergeCell ref="D55:X64"/>
    <mergeCell ref="D96:X100"/>
    <mergeCell ref="M84:N84"/>
    <mergeCell ref="M49:N49"/>
    <mergeCell ref="M51:N51"/>
    <mergeCell ref="M76:N76"/>
    <mergeCell ref="M77:N77"/>
    <mergeCell ref="K51:L51"/>
    <mergeCell ref="K46:L46"/>
    <mergeCell ref="K42:L42"/>
    <mergeCell ref="C112:X116"/>
    <mergeCell ref="O92:P92"/>
    <mergeCell ref="J118:K118"/>
    <mergeCell ref="W50:X50"/>
    <mergeCell ref="W51:X51"/>
    <mergeCell ref="Y4:Z4"/>
    <mergeCell ref="K12:L12"/>
    <mergeCell ref="K13:L13"/>
    <mergeCell ref="K37:L37"/>
    <mergeCell ref="K40:L40"/>
    <mergeCell ref="K24:L24"/>
    <mergeCell ref="K26:L26"/>
    <mergeCell ref="K27:L27"/>
    <mergeCell ref="K28:L28"/>
    <mergeCell ref="K31:L31"/>
    <mergeCell ref="K32:L32"/>
    <mergeCell ref="J30:M30"/>
    <mergeCell ref="K10:L10"/>
    <mergeCell ref="K34:L34"/>
    <mergeCell ref="K33:L33"/>
    <mergeCell ref="O10:S10"/>
    <mergeCell ref="K36:L36"/>
    <mergeCell ref="K14:L14"/>
    <mergeCell ref="K35:L35"/>
    <mergeCell ref="L209:M209"/>
    <mergeCell ref="P242:Q242"/>
    <mergeCell ref="L216:M216"/>
    <mergeCell ref="N216:O216"/>
    <mergeCell ref="K177:L177"/>
    <mergeCell ref="K178:L178"/>
    <mergeCell ref="C181:X182"/>
    <mergeCell ref="C183:X184"/>
    <mergeCell ref="K189:L189"/>
    <mergeCell ref="K190:L190"/>
    <mergeCell ref="M187:N187"/>
    <mergeCell ref="M190:N190"/>
    <mergeCell ref="L207:M207"/>
    <mergeCell ref="N237:O237"/>
    <mergeCell ref="L210:M210"/>
    <mergeCell ref="W219:X219"/>
    <mergeCell ref="L217:M217"/>
    <mergeCell ref="P239:Q239"/>
    <mergeCell ref="N241:O241"/>
    <mergeCell ref="W258:X258"/>
    <mergeCell ref="R259:S259"/>
    <mergeCell ref="W259:X259"/>
    <mergeCell ref="C263:W272"/>
    <mergeCell ref="J134:N134"/>
    <mergeCell ref="D194:X198"/>
    <mergeCell ref="D223:X227"/>
    <mergeCell ref="D246:X250"/>
    <mergeCell ref="W241:X241"/>
    <mergeCell ref="W242:X242"/>
    <mergeCell ref="N219:O219"/>
    <mergeCell ref="W139:X139"/>
    <mergeCell ref="W167:X167"/>
    <mergeCell ref="W166:X166"/>
    <mergeCell ref="W189:X189"/>
    <mergeCell ref="W190:X190"/>
    <mergeCell ref="W218:X218"/>
    <mergeCell ref="D139:E139"/>
    <mergeCell ref="L154:M154"/>
    <mergeCell ref="C157:W161"/>
    <mergeCell ref="N217:O217"/>
    <mergeCell ref="L215:M215"/>
    <mergeCell ref="W138:X138"/>
    <mergeCell ref="N214:O214"/>
  </mergeCells>
  <conditionalFormatting sqref="K13:L13">
    <cfRule type="expression" dxfId="17" priority="8">
      <formula>$K$10="Non"</formula>
    </cfRule>
  </conditionalFormatting>
  <conditionalFormatting sqref="N118:Q118">
    <cfRule type="expression" dxfId="16" priority="4">
      <formula>$N$118&lt;&gt;""</formula>
    </cfRule>
  </conditionalFormatting>
  <conditionalFormatting sqref="O10:S10">
    <cfRule type="expression" dxfId="15" priority="9">
      <formula>$K$10="Non"</formula>
    </cfRule>
  </conditionalFormatting>
  <conditionalFormatting sqref="O12:S12">
    <cfRule type="expression" dxfId="14" priority="7">
      <formula>$O$12&lt;&gt;""</formula>
    </cfRule>
  </conditionalFormatting>
  <conditionalFormatting sqref="O13:S14">
    <cfRule type="expression" dxfId="13" priority="1">
      <formula>$O$13&lt;&gt;""</formula>
    </cfRule>
  </conditionalFormatting>
  <conditionalFormatting sqref="P154:S154">
    <cfRule type="expression" dxfId="12" priority="3">
      <formula>$P$154&lt;&gt;""</formula>
    </cfRule>
  </conditionalFormatting>
  <conditionalFormatting sqref="P84:T84">
    <cfRule type="expression" dxfId="11" priority="5">
      <formula>$P$84&lt;&gt;""</formula>
    </cfRule>
  </conditionalFormatting>
  <dataValidations count="2">
    <dataValidation type="list" allowBlank="1" showInputMessage="1" showErrorMessage="1" sqref="K24:L24 K10:L10 N237:O237 J133:K133">
      <formula1>"Oui,Non"</formula1>
    </dataValidation>
    <dataValidation type="whole" allowBlank="1" showInputMessage="1" showErrorMessage="1" sqref="K26:L27 K31:L37 K40:L44 M76:N78">
      <formula1>0</formula1>
      <formula2>100000</formula2>
    </dataValidation>
  </dataValidations>
  <pageMargins left="0.7" right="0.7" top="0.75" bottom="0.75" header="0.3" footer="0.3"/>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A1:AB86"/>
  <sheetViews>
    <sheetView showGridLines="0" zoomScaleNormal="100" workbookViewId="0">
      <selection activeCell="E76" sqref="E76"/>
    </sheetView>
  </sheetViews>
  <sheetFormatPr baseColWidth="10" defaultColWidth="9.140625" defaultRowHeight="15" x14ac:dyDescent="0.25"/>
  <sheetData>
    <row r="1" spans="1:28" x14ac:dyDescent="0.25">
      <c r="A1" s="26"/>
      <c r="B1" s="26"/>
      <c r="C1" s="26"/>
      <c r="D1" s="26"/>
      <c r="E1" s="26"/>
      <c r="F1" s="26"/>
      <c r="G1" s="26"/>
      <c r="H1" s="26"/>
      <c r="I1" s="26"/>
      <c r="J1" s="26"/>
      <c r="K1" s="74"/>
      <c r="L1" s="74"/>
      <c r="M1" s="74"/>
      <c r="N1" s="74"/>
      <c r="O1" s="74"/>
      <c r="P1" s="74"/>
      <c r="Q1" s="26"/>
      <c r="R1" s="26"/>
      <c r="S1" s="26"/>
      <c r="T1" s="26"/>
      <c r="U1" s="76" t="s">
        <v>706</v>
      </c>
      <c r="V1" s="26"/>
      <c r="W1" s="26"/>
      <c r="X1" s="26"/>
      <c r="Y1" s="26"/>
      <c r="Z1" s="26"/>
      <c r="AA1" s="26"/>
      <c r="AB1" s="26"/>
    </row>
    <row r="2" spans="1:28" x14ac:dyDescent="0.25">
      <c r="A2" s="26"/>
      <c r="B2" s="26"/>
      <c r="C2" s="26"/>
      <c r="D2" s="26"/>
      <c r="E2" s="26"/>
      <c r="F2" s="26"/>
      <c r="G2" s="26"/>
      <c r="H2" s="26"/>
      <c r="I2" s="26"/>
      <c r="J2" s="26"/>
      <c r="K2" s="74"/>
      <c r="L2" s="74"/>
      <c r="M2" s="74"/>
      <c r="N2" s="74"/>
      <c r="O2" s="74"/>
      <c r="P2" s="74"/>
      <c r="Q2" s="26"/>
      <c r="R2" s="26"/>
      <c r="S2" s="26"/>
      <c r="T2" s="26"/>
      <c r="U2" s="76" t="s">
        <v>707</v>
      </c>
      <c r="V2" s="26"/>
      <c r="W2" s="26"/>
      <c r="X2" s="26"/>
      <c r="Y2" s="26"/>
      <c r="Z2" s="26"/>
      <c r="AA2" s="26"/>
      <c r="AB2" s="26"/>
    </row>
    <row r="3" spans="1:28" x14ac:dyDescent="0.25">
      <c r="A3" s="26"/>
      <c r="B3" s="26"/>
      <c r="C3" s="26"/>
      <c r="D3" s="26"/>
      <c r="E3" s="26"/>
      <c r="F3" s="26"/>
      <c r="G3" s="26"/>
      <c r="H3" s="26"/>
      <c r="I3" s="26"/>
      <c r="J3" s="26"/>
      <c r="K3" s="74"/>
      <c r="L3" s="74"/>
      <c r="M3" s="74"/>
      <c r="N3" s="74"/>
      <c r="O3" s="74"/>
      <c r="P3" s="74"/>
      <c r="Q3" s="26"/>
      <c r="R3" s="26"/>
      <c r="S3" s="26"/>
      <c r="T3" s="26"/>
      <c r="U3" s="75" t="s">
        <v>2579</v>
      </c>
      <c r="V3" s="26"/>
      <c r="W3" s="26"/>
      <c r="X3" s="26"/>
      <c r="Y3" s="26"/>
      <c r="Z3" s="26"/>
      <c r="AA3" s="26"/>
      <c r="AB3" s="26"/>
    </row>
    <row r="4" spans="1:28"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676" t="str">
        <f>Accueil!I6</f>
        <v>Version 1.11</v>
      </c>
      <c r="AB4" s="676"/>
    </row>
    <row r="5" spans="1:28"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8" spans="1:28" ht="15.75" thickBot="1" x14ac:dyDescent="0.3">
      <c r="B8" s="70"/>
      <c r="P8" s="70"/>
    </row>
    <row r="9" spans="1:28" x14ac:dyDescent="0.25">
      <c r="B9" s="16"/>
      <c r="C9" s="95"/>
      <c r="D9" s="95"/>
      <c r="E9" s="95"/>
      <c r="F9" s="95"/>
      <c r="G9" s="95"/>
      <c r="H9" s="95"/>
      <c r="I9" s="95"/>
      <c r="J9" s="982" t="s">
        <v>279</v>
      </c>
      <c r="K9" s="982"/>
      <c r="L9" s="982" t="s">
        <v>453</v>
      </c>
      <c r="M9" s="982"/>
      <c r="N9" s="18"/>
      <c r="P9" s="16"/>
      <c r="Q9" s="95"/>
      <c r="R9" s="95"/>
      <c r="S9" s="95"/>
      <c r="T9" s="95"/>
      <c r="U9" s="95"/>
      <c r="V9" s="95"/>
      <c r="W9" s="95"/>
      <c r="X9" s="985" t="s">
        <v>279</v>
      </c>
      <c r="Y9" s="985"/>
      <c r="Z9" s="982" t="s">
        <v>453</v>
      </c>
      <c r="AA9" s="982"/>
      <c r="AB9" s="18"/>
    </row>
    <row r="10" spans="1:28" x14ac:dyDescent="0.25">
      <c r="B10" s="19"/>
      <c r="C10" s="106" t="s">
        <v>610</v>
      </c>
      <c r="D10" s="106"/>
      <c r="E10" s="106"/>
      <c r="F10" s="106"/>
      <c r="G10" s="106"/>
      <c r="H10" s="106"/>
      <c r="I10" s="107"/>
      <c r="J10" s="994">
        <f>Biodiversité!W58</f>
        <v>0</v>
      </c>
      <c r="K10" s="995"/>
      <c r="L10" s="983">
        <f>Biodiversité!Y58</f>
        <v>9</v>
      </c>
      <c r="M10" s="984"/>
      <c r="N10" s="20"/>
      <c r="P10" s="19"/>
      <c r="Q10" s="93" t="s">
        <v>613</v>
      </c>
      <c r="R10" s="93"/>
      <c r="S10" s="93"/>
      <c r="T10" s="93"/>
      <c r="U10" s="93"/>
      <c r="V10" s="544" t="str">
        <f>IF(UTILISATION_CMR1="Oui","AUDIT NON VALIDE","")</f>
        <v/>
      </c>
      <c r="W10" s="544"/>
      <c r="X10" s="992">
        <f>Phyto!P25</f>
        <v>0</v>
      </c>
      <c r="Y10" s="993"/>
      <c r="Z10" s="979">
        <f>Phyto!W25</f>
        <v>2</v>
      </c>
      <c r="AA10" s="980"/>
      <c r="AB10" s="20"/>
    </row>
    <row r="11" spans="1:28" x14ac:dyDescent="0.25">
      <c r="B11" s="19"/>
      <c r="C11" s="108" t="s">
        <v>280</v>
      </c>
      <c r="D11" s="108"/>
      <c r="E11" s="108"/>
      <c r="F11" s="108"/>
      <c r="G11" s="108"/>
      <c r="H11" s="108"/>
      <c r="I11" s="109"/>
      <c r="J11" s="994">
        <f>Biodiversité!S85</f>
        <v>0</v>
      </c>
      <c r="K11" s="995"/>
      <c r="L11" s="983">
        <f>Biodiversité!W85</f>
        <v>5</v>
      </c>
      <c r="M11" s="984"/>
      <c r="N11" s="20"/>
      <c r="P11" s="19"/>
      <c r="Q11" s="94" t="s">
        <v>324</v>
      </c>
      <c r="R11" s="94"/>
      <c r="S11" s="94"/>
      <c r="T11" s="94"/>
      <c r="U11" s="94"/>
      <c r="V11" s="94"/>
      <c r="W11" s="94"/>
      <c r="X11" s="992">
        <f>Phyto!P55</f>
        <v>0</v>
      </c>
      <c r="Y11" s="993"/>
      <c r="Z11" s="979">
        <f>Phyto!W55</f>
        <v>10</v>
      </c>
      <c r="AA11" s="980"/>
      <c r="AB11" s="20"/>
    </row>
    <row r="12" spans="1:28" x14ac:dyDescent="0.25">
      <c r="B12" s="19"/>
      <c r="C12" s="108" t="s">
        <v>281</v>
      </c>
      <c r="D12" s="108"/>
      <c r="E12" s="108"/>
      <c r="F12" s="108"/>
      <c r="G12" s="108"/>
      <c r="H12" s="108"/>
      <c r="I12" s="109"/>
      <c r="J12" s="994">
        <f>Biodiversité!Q112</f>
        <v>0</v>
      </c>
      <c r="K12" s="995"/>
      <c r="L12" s="983">
        <f>Biodiversité!W85</f>
        <v>5</v>
      </c>
      <c r="M12" s="984"/>
      <c r="N12" s="20"/>
      <c r="P12" s="19"/>
      <c r="Q12" s="94" t="s">
        <v>614</v>
      </c>
      <c r="R12" s="94"/>
      <c r="S12" s="94"/>
      <c r="T12" s="94"/>
      <c r="U12" s="94"/>
      <c r="V12" s="94"/>
      <c r="W12" s="94"/>
      <c r="X12" s="992">
        <f>Phyto!M121</f>
        <v>0</v>
      </c>
      <c r="Y12" s="993"/>
      <c r="Z12" s="979">
        <f>Phyto!O121</f>
        <v>10</v>
      </c>
      <c r="AA12" s="980"/>
      <c r="AB12" s="20"/>
    </row>
    <row r="13" spans="1:28" x14ac:dyDescent="0.25">
      <c r="B13" s="19"/>
      <c r="C13" s="108" t="s">
        <v>282</v>
      </c>
      <c r="D13" s="108"/>
      <c r="E13" s="108"/>
      <c r="F13" s="108"/>
      <c r="G13" s="108"/>
      <c r="H13" s="108"/>
      <c r="I13" s="109"/>
      <c r="J13" s="994">
        <f>Biodiversité!O154</f>
        <v>0</v>
      </c>
      <c r="K13" s="995"/>
      <c r="L13" s="983">
        <f>Biodiversité!W154</f>
        <v>6</v>
      </c>
      <c r="M13" s="984"/>
      <c r="N13" s="20"/>
      <c r="P13" s="19"/>
      <c r="Q13" s="94" t="s">
        <v>2397</v>
      </c>
      <c r="R13" s="94"/>
      <c r="S13" s="94"/>
      <c r="T13" s="94"/>
      <c r="U13" s="94"/>
      <c r="V13" s="94"/>
      <c r="W13" s="94"/>
      <c r="X13" s="992">
        <f>Phyto!S157</f>
        <v>0</v>
      </c>
      <c r="Y13" s="993"/>
      <c r="Z13" s="979">
        <f>Phyto!W157</f>
        <v>5</v>
      </c>
      <c r="AA13" s="980"/>
      <c r="AB13" s="20"/>
    </row>
    <row r="14" spans="1:28" x14ac:dyDescent="0.25">
      <c r="B14" s="19"/>
      <c r="C14" s="108" t="s">
        <v>283</v>
      </c>
      <c r="D14" s="108"/>
      <c r="E14" s="108"/>
      <c r="F14" s="108"/>
      <c r="G14" s="108"/>
      <c r="H14" s="108"/>
      <c r="I14" s="109"/>
      <c r="J14" s="994">
        <f>Biodiversité!L180</f>
        <v>0</v>
      </c>
      <c r="K14" s="995"/>
      <c r="L14" s="983">
        <f>Biodiversité!W180</f>
        <v>3</v>
      </c>
      <c r="M14" s="984"/>
      <c r="N14" s="20"/>
      <c r="P14" s="19"/>
      <c r="Q14" s="94" t="s">
        <v>325</v>
      </c>
      <c r="R14" s="94"/>
      <c r="S14" s="94"/>
      <c r="T14" s="94"/>
      <c r="U14" s="94"/>
      <c r="V14" s="94"/>
      <c r="W14" s="94"/>
      <c r="X14" s="992">
        <f>Phyto!R197</f>
        <v>0</v>
      </c>
      <c r="Y14" s="993"/>
      <c r="Z14" s="979">
        <f>Phyto!W197</f>
        <v>3</v>
      </c>
      <c r="AA14" s="980"/>
      <c r="AB14" s="20"/>
    </row>
    <row r="15" spans="1:28" x14ac:dyDescent="0.25">
      <c r="B15" s="19"/>
      <c r="C15" s="108" t="s">
        <v>611</v>
      </c>
      <c r="D15" s="108"/>
      <c r="E15" s="108"/>
      <c r="F15" s="108"/>
      <c r="G15" s="108"/>
      <c r="H15" s="108"/>
      <c r="I15" s="109"/>
      <c r="J15" s="994">
        <f>Biodiversité!L199</f>
        <v>0</v>
      </c>
      <c r="K15" s="995"/>
      <c r="L15" s="983">
        <f>Biodiversité!W199</f>
        <v>1</v>
      </c>
      <c r="M15" s="984"/>
      <c r="N15" s="20"/>
      <c r="P15" s="19"/>
      <c r="Q15" s="94" t="s">
        <v>615</v>
      </c>
      <c r="R15" s="94"/>
      <c r="S15" s="94"/>
      <c r="T15" s="94"/>
      <c r="U15" s="94"/>
      <c r="V15" s="94"/>
      <c r="W15" s="94"/>
      <c r="X15" s="992">
        <f>Phyto!P239</f>
        <v>0</v>
      </c>
      <c r="Y15" s="993"/>
      <c r="Z15" s="979">
        <f>Phyto!W239</f>
        <v>6</v>
      </c>
      <c r="AA15" s="980"/>
      <c r="AB15" s="20"/>
    </row>
    <row r="16" spans="1:28" x14ac:dyDescent="0.25">
      <c r="B16" s="19"/>
      <c r="C16" s="108" t="s">
        <v>612</v>
      </c>
      <c r="D16" s="108"/>
      <c r="E16" s="108"/>
      <c r="F16" s="108"/>
      <c r="G16" s="108"/>
      <c r="H16" s="108"/>
      <c r="I16" s="109"/>
      <c r="J16" s="996">
        <f>Biodiversité!L231</f>
        <v>0</v>
      </c>
      <c r="K16" s="997"/>
      <c r="L16" s="983">
        <f>Biodiversité!W231</f>
        <v>6</v>
      </c>
      <c r="M16" s="984"/>
      <c r="N16" s="20"/>
      <c r="P16" s="19"/>
      <c r="Q16" s="94" t="s">
        <v>616</v>
      </c>
      <c r="R16" s="94"/>
      <c r="S16" s="94"/>
      <c r="T16" s="94"/>
      <c r="U16" s="94"/>
      <c r="V16" s="94"/>
      <c r="W16" s="94"/>
      <c r="X16" s="992">
        <f>Phyto!D263</f>
        <v>0</v>
      </c>
      <c r="Y16" s="993"/>
      <c r="Z16" s="979">
        <f>Phyto!W263</f>
        <v>2</v>
      </c>
      <c r="AA16" s="980"/>
      <c r="AB16" s="20"/>
    </row>
    <row r="17" spans="2:28" x14ac:dyDescent="0.25">
      <c r="B17" s="19"/>
      <c r="C17" s="108" t="s">
        <v>2531</v>
      </c>
      <c r="D17" s="108"/>
      <c r="E17" s="108"/>
      <c r="F17" s="108"/>
      <c r="G17" s="108"/>
      <c r="H17" s="108"/>
      <c r="I17" s="109"/>
      <c r="J17" s="996">
        <f>Biodiversité!O247</f>
        <v>0</v>
      </c>
      <c r="K17" s="997"/>
      <c r="L17" s="983">
        <f>Biodiversité!W247</f>
        <v>1</v>
      </c>
      <c r="M17" s="984"/>
      <c r="N17" s="20"/>
      <c r="P17" s="19"/>
      <c r="Q17" s="94" t="s">
        <v>326</v>
      </c>
      <c r="R17" s="94"/>
      <c r="S17" s="94"/>
      <c r="T17" s="94"/>
      <c r="U17" s="94"/>
      <c r="V17" s="94"/>
      <c r="W17" s="94"/>
      <c r="X17" s="992">
        <f>Phyto!L296</f>
        <v>0</v>
      </c>
      <c r="Y17" s="993"/>
      <c r="Z17" s="979">
        <f>Phyto!W296</f>
        <v>6</v>
      </c>
      <c r="AA17" s="980"/>
      <c r="AB17" s="20"/>
    </row>
    <row r="18" spans="2:28" x14ac:dyDescent="0.25">
      <c r="B18" s="19"/>
      <c r="J18" s="117"/>
      <c r="K18" s="117"/>
      <c r="L18" s="117"/>
      <c r="M18" s="117"/>
      <c r="N18" s="20"/>
      <c r="P18" s="19"/>
      <c r="Q18" s="94" t="s">
        <v>2398</v>
      </c>
      <c r="R18" s="94"/>
      <c r="S18" s="94"/>
      <c r="T18" s="94"/>
      <c r="U18" s="94"/>
      <c r="V18" s="94"/>
      <c r="W18" s="94"/>
      <c r="X18" s="992">
        <f>Phyto!L329</f>
        <v>0</v>
      </c>
      <c r="Y18" s="993"/>
      <c r="Z18" s="979">
        <f>Phyto!W329</f>
        <v>9</v>
      </c>
      <c r="AA18" s="980"/>
      <c r="AB18" s="20"/>
    </row>
    <row r="19" spans="2:28" x14ac:dyDescent="0.25">
      <c r="B19" s="19"/>
      <c r="J19" s="117"/>
      <c r="K19" s="117"/>
      <c r="L19" s="117"/>
      <c r="M19" s="117"/>
      <c r="N19" s="20"/>
      <c r="P19" s="19"/>
      <c r="Q19" s="94" t="s">
        <v>327</v>
      </c>
      <c r="R19" s="94"/>
      <c r="S19" s="94"/>
      <c r="T19" s="94"/>
      <c r="U19" s="94"/>
      <c r="V19" s="94"/>
      <c r="W19" s="94"/>
      <c r="X19" s="992">
        <f>Phyto!N363</f>
        <v>0</v>
      </c>
      <c r="Y19" s="993"/>
      <c r="Z19" s="979">
        <f>Phyto!W363</f>
        <v>10</v>
      </c>
      <c r="AA19" s="980"/>
      <c r="AB19" s="20"/>
    </row>
    <row r="20" spans="2:28" x14ac:dyDescent="0.25">
      <c r="B20" s="19"/>
      <c r="H20" s="594" t="s">
        <v>270</v>
      </c>
      <c r="I20" s="594"/>
      <c r="J20" s="986">
        <f>SUM(J10:K17)</f>
        <v>0</v>
      </c>
      <c r="K20" s="986"/>
      <c r="L20" s="986">
        <f>SUM(L10:M17)</f>
        <v>36</v>
      </c>
      <c r="M20" s="986"/>
      <c r="N20" s="20"/>
      <c r="P20" s="19"/>
      <c r="V20" s="594" t="s">
        <v>270</v>
      </c>
      <c r="W20" s="594"/>
      <c r="X20" s="989">
        <f>SUM(X10:Y19)</f>
        <v>0</v>
      </c>
      <c r="Y20" s="989"/>
      <c r="Z20" s="989">
        <f>SUM(Z10:AA19)</f>
        <v>63</v>
      </c>
      <c r="AA20" s="989"/>
      <c r="AB20" s="20"/>
    </row>
    <row r="21" spans="2:28" ht="15.75" thickBot="1" x14ac:dyDescent="0.3">
      <c r="B21" s="22"/>
      <c r="C21" s="23"/>
      <c r="D21" s="23"/>
      <c r="E21" s="23"/>
      <c r="F21" s="23"/>
      <c r="G21" s="23"/>
      <c r="H21" s="23"/>
      <c r="I21" s="23"/>
      <c r="J21" s="23"/>
      <c r="K21" s="23"/>
      <c r="L21" s="23"/>
      <c r="M21" s="23"/>
      <c r="N21" s="24"/>
      <c r="P21" s="22"/>
      <c r="Q21" s="23"/>
      <c r="R21" s="23"/>
      <c r="S21" s="23"/>
      <c r="T21" s="23"/>
      <c r="U21" s="23"/>
      <c r="V21" s="23"/>
      <c r="W21" s="23"/>
      <c r="X21" s="545"/>
      <c r="Y21" s="545"/>
      <c r="Z21" s="545"/>
      <c r="AA21" s="545"/>
      <c r="AB21" s="24"/>
    </row>
    <row r="25" spans="2:28" ht="15.75" thickBot="1" x14ac:dyDescent="0.3">
      <c r="B25" s="70"/>
    </row>
    <row r="26" spans="2:28" x14ac:dyDescent="0.25">
      <c r="B26" s="16"/>
      <c r="C26" s="95"/>
      <c r="D26" s="95"/>
      <c r="E26" s="95"/>
      <c r="F26" s="95"/>
      <c r="G26" s="95"/>
      <c r="H26" s="95"/>
      <c r="I26" s="95"/>
      <c r="J26" s="985" t="s">
        <v>279</v>
      </c>
      <c r="K26" s="985"/>
      <c r="L26" s="982" t="s">
        <v>453</v>
      </c>
      <c r="M26" s="982"/>
      <c r="N26" s="18"/>
      <c r="P26" s="16"/>
      <c r="Q26" s="95"/>
      <c r="R26" s="95"/>
      <c r="S26" s="95"/>
      <c r="T26" s="95"/>
      <c r="U26" s="95"/>
      <c r="V26" s="95"/>
      <c r="W26" s="95"/>
      <c r="X26" s="985" t="s">
        <v>279</v>
      </c>
      <c r="Y26" s="985"/>
      <c r="Z26" s="982" t="s">
        <v>453</v>
      </c>
      <c r="AA26" s="982"/>
      <c r="AB26" s="18"/>
    </row>
    <row r="27" spans="2:28" x14ac:dyDescent="0.25">
      <c r="B27" s="19"/>
      <c r="C27" s="93" t="s">
        <v>736</v>
      </c>
      <c r="D27" s="93"/>
      <c r="E27" s="93"/>
      <c r="F27" s="93"/>
      <c r="G27" s="93"/>
      <c r="H27" s="93"/>
      <c r="I27" s="93"/>
      <c r="J27" s="987">
        <f>Fertilisation!P64</f>
        <v>0</v>
      </c>
      <c r="K27" s="988"/>
      <c r="L27" s="991">
        <f>Fertilisation!W64</f>
        <v>8</v>
      </c>
      <c r="M27" s="984"/>
      <c r="N27" s="20"/>
      <c r="P27" s="19"/>
      <c r="Q27" s="93" t="s">
        <v>2535</v>
      </c>
      <c r="R27" s="93"/>
      <c r="S27" s="93"/>
      <c r="T27" s="93"/>
      <c r="U27" s="93"/>
      <c r="V27" s="93"/>
      <c r="W27" s="93"/>
      <c r="X27" s="992">
        <f>Irrigation!M51</f>
        <v>0</v>
      </c>
      <c r="Y27" s="993"/>
      <c r="Z27" s="979">
        <f>Irrigation!W51</f>
        <v>6</v>
      </c>
      <c r="AA27" s="980"/>
      <c r="AB27" s="20"/>
    </row>
    <row r="28" spans="2:28" x14ac:dyDescent="0.25">
      <c r="B28" s="19"/>
      <c r="C28" s="94" t="s">
        <v>2399</v>
      </c>
      <c r="D28" s="94"/>
      <c r="E28" s="94"/>
      <c r="F28" s="94"/>
      <c r="G28" s="94"/>
      <c r="H28" s="94"/>
      <c r="I28" s="94"/>
      <c r="J28" s="987">
        <f>Fertilisation!S100</f>
        <v>0</v>
      </c>
      <c r="K28" s="988"/>
      <c r="L28" s="983">
        <f>Fertilisation!W100</f>
        <v>5</v>
      </c>
      <c r="M28" s="984"/>
      <c r="N28" s="20"/>
      <c r="P28" s="19"/>
      <c r="Q28" s="94" t="s">
        <v>617</v>
      </c>
      <c r="R28" s="94"/>
      <c r="S28" s="94"/>
      <c r="T28" s="94"/>
      <c r="U28" s="94"/>
      <c r="V28" s="94"/>
      <c r="W28" s="94"/>
      <c r="X28" s="992">
        <f>Irrigation!O92</f>
        <v>0</v>
      </c>
      <c r="Y28" s="993"/>
      <c r="Z28" s="979">
        <f>Irrigation!W92</f>
        <v>2</v>
      </c>
      <c r="AA28" s="980"/>
      <c r="AB28" s="20"/>
    </row>
    <row r="29" spans="2:28" x14ac:dyDescent="0.25">
      <c r="B29" s="19"/>
      <c r="C29" s="94" t="s">
        <v>343</v>
      </c>
      <c r="D29" s="94"/>
      <c r="E29" s="94"/>
      <c r="F29" s="94"/>
      <c r="G29" s="94"/>
      <c r="H29" s="94"/>
      <c r="I29" s="94"/>
      <c r="J29" s="987">
        <f>Fertilisation!$P$122</f>
        <v>0</v>
      </c>
      <c r="K29" s="988"/>
      <c r="L29" s="983">
        <f>Fertilisation!W122</f>
        <v>4</v>
      </c>
      <c r="M29" s="984"/>
      <c r="N29" s="20"/>
      <c r="P29" s="19"/>
      <c r="Q29" s="94" t="s">
        <v>2536</v>
      </c>
      <c r="R29" s="94"/>
      <c r="S29" s="94"/>
      <c r="T29" s="94"/>
      <c r="U29" s="94"/>
      <c r="V29" s="94"/>
      <c r="W29" s="94"/>
      <c r="X29" s="992">
        <f>Irrigation!L124</f>
        <v>0</v>
      </c>
      <c r="Y29" s="993"/>
      <c r="Z29" s="979">
        <f>Irrigation!W124</f>
        <v>6</v>
      </c>
      <c r="AA29" s="980"/>
      <c r="AB29" s="20"/>
    </row>
    <row r="30" spans="2:28" x14ac:dyDescent="0.25">
      <c r="B30" s="19"/>
      <c r="C30" s="94" t="s">
        <v>344</v>
      </c>
      <c r="D30" s="94"/>
      <c r="E30" s="94"/>
      <c r="F30" s="94"/>
      <c r="G30" s="94"/>
      <c r="H30" s="94"/>
      <c r="I30" s="94"/>
      <c r="J30" s="998">
        <f>Fertilisation!P191</f>
        <v>0</v>
      </c>
      <c r="K30" s="999"/>
      <c r="L30" s="983">
        <f>Fertilisation!W191</f>
        <v>3</v>
      </c>
      <c r="M30" s="984"/>
      <c r="N30" s="20"/>
      <c r="P30" s="19"/>
      <c r="Q30" s="94" t="s">
        <v>374</v>
      </c>
      <c r="R30" s="94"/>
      <c r="S30" s="94"/>
      <c r="T30" s="94"/>
      <c r="U30" s="94"/>
      <c r="V30" s="94"/>
      <c r="W30" s="94"/>
      <c r="X30" s="992">
        <f>Irrigation!D139</f>
        <v>0</v>
      </c>
      <c r="Y30" s="993"/>
      <c r="Z30" s="979">
        <f>Irrigation!W139</f>
        <v>2</v>
      </c>
      <c r="AA30" s="980"/>
      <c r="AB30" s="20"/>
    </row>
    <row r="31" spans="2:28" x14ac:dyDescent="0.25">
      <c r="B31" s="19"/>
      <c r="C31" s="94" t="s">
        <v>345</v>
      </c>
      <c r="D31" s="94"/>
      <c r="E31" s="94"/>
      <c r="F31" s="94"/>
      <c r="G31" s="94"/>
      <c r="H31" s="94"/>
      <c r="I31" s="94"/>
      <c r="J31" s="987">
        <f>Fertilisation!$L$215</f>
        <v>0</v>
      </c>
      <c r="K31" s="988"/>
      <c r="L31" s="983">
        <f>Fertilisation!W215</f>
        <v>10</v>
      </c>
      <c r="M31" s="984"/>
      <c r="N31" s="20"/>
      <c r="P31" s="19"/>
      <c r="Q31" s="94" t="s">
        <v>381</v>
      </c>
      <c r="R31" s="94"/>
      <c r="S31" s="94"/>
      <c r="T31" s="94"/>
      <c r="U31" s="94"/>
      <c r="V31" s="94"/>
      <c r="W31" s="94"/>
      <c r="X31" s="992">
        <f>Irrigation!N167</f>
        <v>0</v>
      </c>
      <c r="Y31" s="993"/>
      <c r="Z31" s="979">
        <f>Irrigation!W167</f>
        <v>6</v>
      </c>
      <c r="AA31" s="980"/>
      <c r="AB31" s="20"/>
    </row>
    <row r="32" spans="2:28" x14ac:dyDescent="0.25">
      <c r="B32" s="19"/>
      <c r="C32" s="94" t="s">
        <v>346</v>
      </c>
      <c r="D32" s="94"/>
      <c r="E32" s="94"/>
      <c r="F32" s="94"/>
      <c r="G32" s="94"/>
      <c r="H32" s="94"/>
      <c r="I32" s="94"/>
      <c r="J32" s="987">
        <f>Fertilisation!$P$243</f>
        <v>0</v>
      </c>
      <c r="K32" s="988"/>
      <c r="L32" s="983">
        <f>Fertilisation!W243</f>
        <v>4</v>
      </c>
      <c r="M32" s="984"/>
      <c r="N32" s="20"/>
      <c r="P32" s="19"/>
      <c r="Q32" s="94" t="s">
        <v>378</v>
      </c>
      <c r="R32" s="94"/>
      <c r="S32" s="94"/>
      <c r="T32" s="94"/>
      <c r="U32" s="94"/>
      <c r="V32" s="94"/>
      <c r="W32" s="94"/>
      <c r="X32" s="992">
        <f>Irrigation!M190</f>
        <v>0</v>
      </c>
      <c r="Y32" s="993"/>
      <c r="Z32" s="979">
        <f>Irrigation!W190</f>
        <v>5</v>
      </c>
      <c r="AA32" s="980"/>
      <c r="AB32" s="20"/>
    </row>
    <row r="33" spans="2:28" x14ac:dyDescent="0.25">
      <c r="B33" s="19"/>
      <c r="C33" s="94" t="s">
        <v>347</v>
      </c>
      <c r="D33" s="94"/>
      <c r="E33" s="94"/>
      <c r="F33" s="94"/>
      <c r="G33" s="94"/>
      <c r="H33" s="94"/>
      <c r="I33" s="94"/>
      <c r="J33" s="987">
        <f>Fertilisation!Q300</f>
        <v>0</v>
      </c>
      <c r="K33" s="988"/>
      <c r="L33" s="983">
        <f>Fertilisation!W300</f>
        <v>7</v>
      </c>
      <c r="M33" s="984"/>
      <c r="N33" s="20"/>
      <c r="P33" s="19"/>
      <c r="Q33" s="94" t="s">
        <v>327</v>
      </c>
      <c r="R33" s="94"/>
      <c r="S33" s="94"/>
      <c r="T33" s="94"/>
      <c r="U33" s="94"/>
      <c r="V33" s="94"/>
      <c r="W33" s="94"/>
      <c r="X33" s="992">
        <f>Irrigation!N219</f>
        <v>0</v>
      </c>
      <c r="Y33" s="993"/>
      <c r="Z33" s="979">
        <f>Irrigation!W219</f>
        <v>6</v>
      </c>
      <c r="AA33" s="980"/>
      <c r="AB33" s="20"/>
    </row>
    <row r="34" spans="2:28" x14ac:dyDescent="0.25">
      <c r="B34" s="19"/>
      <c r="C34" s="94" t="s">
        <v>2422</v>
      </c>
      <c r="D34" s="94"/>
      <c r="E34" s="94"/>
      <c r="F34" s="94"/>
      <c r="G34" s="94"/>
      <c r="H34" s="94"/>
      <c r="I34" s="94"/>
      <c r="J34" s="987">
        <f>Fertilisation!$Q$325</f>
        <v>0</v>
      </c>
      <c r="K34" s="988"/>
      <c r="L34" s="983">
        <f>Fertilisation!W325</f>
        <v>6</v>
      </c>
      <c r="M34" s="984"/>
      <c r="N34" s="20"/>
      <c r="P34" s="19"/>
      <c r="Q34" s="94" t="s">
        <v>382</v>
      </c>
      <c r="R34" s="94"/>
      <c r="S34" s="94"/>
      <c r="T34" s="94"/>
      <c r="U34" s="94"/>
      <c r="V34" s="94"/>
      <c r="W34" s="94"/>
      <c r="X34" s="992">
        <f>Irrigation!P242</f>
        <v>0</v>
      </c>
      <c r="Y34" s="993"/>
      <c r="Z34" s="979">
        <f>Irrigation!W242</f>
        <v>1</v>
      </c>
      <c r="AA34" s="980"/>
      <c r="AB34" s="20"/>
    </row>
    <row r="35" spans="2:28" x14ac:dyDescent="0.25">
      <c r="B35" s="19"/>
      <c r="C35" s="94" t="s">
        <v>327</v>
      </c>
      <c r="D35" s="94"/>
      <c r="E35" s="94"/>
      <c r="F35" s="94"/>
      <c r="G35" s="94"/>
      <c r="H35" s="94"/>
      <c r="I35" s="94"/>
      <c r="J35" s="987">
        <f>Fertilisation!N353</f>
        <v>0</v>
      </c>
      <c r="K35" s="988"/>
      <c r="L35" s="983">
        <f>Fertilisation!W353</f>
        <v>6</v>
      </c>
      <c r="M35" s="984"/>
      <c r="N35" s="20"/>
      <c r="P35" s="19"/>
      <c r="Q35" s="111"/>
      <c r="R35" s="111"/>
      <c r="S35" s="111"/>
      <c r="T35" s="111"/>
      <c r="U35" s="111"/>
      <c r="V35" s="111"/>
      <c r="W35" s="111"/>
      <c r="X35" s="981"/>
      <c r="Y35" s="981"/>
      <c r="Z35" s="122"/>
      <c r="AA35" s="122"/>
      <c r="AB35" s="20"/>
    </row>
    <row r="36" spans="2:28" x14ac:dyDescent="0.25">
      <c r="B36" s="19"/>
      <c r="C36" s="111"/>
      <c r="D36" s="111"/>
      <c r="E36" s="111"/>
      <c r="F36" s="111"/>
      <c r="G36" s="111"/>
      <c r="H36" s="111"/>
      <c r="I36" s="111"/>
      <c r="J36" s="981"/>
      <c r="K36" s="981"/>
      <c r="L36" s="122"/>
      <c r="M36" s="122"/>
      <c r="N36" s="20"/>
      <c r="P36" s="19"/>
      <c r="Q36" s="65"/>
      <c r="R36" s="65"/>
      <c r="S36" s="65"/>
      <c r="T36" s="65"/>
      <c r="U36" s="65"/>
      <c r="V36" s="65"/>
      <c r="W36" s="65"/>
      <c r="X36" s="990"/>
      <c r="Y36" s="990"/>
      <c r="Z36" s="122"/>
      <c r="AA36" s="122"/>
      <c r="AB36" s="20"/>
    </row>
    <row r="37" spans="2:28" x14ac:dyDescent="0.25">
      <c r="B37" s="19"/>
      <c r="H37" s="594" t="s">
        <v>270</v>
      </c>
      <c r="I37" s="594"/>
      <c r="J37" s="986">
        <f>SUM(J27:K35)</f>
        <v>0</v>
      </c>
      <c r="K37" s="986"/>
      <c r="L37" s="986">
        <f>SUM(L27:M35)</f>
        <v>53</v>
      </c>
      <c r="M37" s="986"/>
      <c r="N37" s="20"/>
      <c r="P37" s="19"/>
      <c r="V37" s="594" t="s">
        <v>270</v>
      </c>
      <c r="W37" s="594"/>
      <c r="X37" s="989">
        <f>IF(cIrriguante="Non","Sans objet",SUM(X27:Y36))</f>
        <v>0</v>
      </c>
      <c r="Y37" s="989"/>
      <c r="Z37" s="989">
        <f>IF(cIrriguante="Non","Sans objet",SUM(Z27:AA34))</f>
        <v>34</v>
      </c>
      <c r="AA37" s="989"/>
      <c r="AB37" s="20"/>
    </row>
    <row r="38" spans="2:28" ht="15.75" thickBot="1" x14ac:dyDescent="0.3">
      <c r="B38" s="22"/>
      <c r="C38" s="23"/>
      <c r="D38" s="23"/>
      <c r="E38" s="23"/>
      <c r="F38" s="23"/>
      <c r="G38" s="23"/>
      <c r="H38" s="23"/>
      <c r="I38" s="23"/>
      <c r="J38" s="23"/>
      <c r="K38" s="23"/>
      <c r="L38" s="23"/>
      <c r="M38" s="23"/>
      <c r="N38" s="24"/>
      <c r="P38" s="22"/>
      <c r="Q38" s="23"/>
      <c r="R38" s="23"/>
      <c r="S38" s="23"/>
      <c r="T38" s="23"/>
      <c r="U38" s="23"/>
      <c r="V38" s="23"/>
      <c r="W38" s="23"/>
      <c r="X38" s="23"/>
      <c r="Y38" s="23"/>
      <c r="Z38" s="23"/>
      <c r="AA38" s="23"/>
      <c r="AB38" s="24"/>
    </row>
    <row r="41" spans="2:28" ht="15.75" thickBot="1" x14ac:dyDescent="0.3"/>
    <row r="42" spans="2:28" ht="15" customHeight="1" x14ac:dyDescent="0.25">
      <c r="B42" s="16"/>
      <c r="C42" s="17"/>
      <c r="D42" s="17"/>
      <c r="E42" s="17"/>
      <c r="F42" s="17"/>
      <c r="G42" s="17"/>
      <c r="H42" s="17"/>
      <c r="I42" s="17"/>
      <c r="J42" s="17"/>
      <c r="K42" s="17"/>
      <c r="L42" s="17"/>
      <c r="M42" s="17"/>
      <c r="N42" s="18"/>
      <c r="P42" s="1002" t="str">
        <f>IF(UTILISATION_CMR1="Oui","Résultats non conformes au référentiel",IF(COUNTIF(L44:L47,"OK")=4,"Résultats conformes au référentiel","Résultats non conformes au référentiel"))</f>
        <v>Résultats non conformes au référentiel</v>
      </c>
      <c r="Q42" s="1002"/>
      <c r="R42" s="1002"/>
      <c r="S42" s="1002"/>
      <c r="T42" s="1002"/>
      <c r="U42" s="1002"/>
      <c r="V42" s="1002"/>
      <c r="W42" s="1002"/>
      <c r="X42" s="1002"/>
      <c r="Y42" s="1002"/>
      <c r="Z42" s="1002"/>
      <c r="AA42" s="1002"/>
      <c r="AB42" s="1002"/>
    </row>
    <row r="43" spans="2:28" ht="15" customHeight="1" x14ac:dyDescent="0.25">
      <c r="B43" s="19"/>
      <c r="L43" s="181"/>
      <c r="N43" s="20"/>
      <c r="P43" s="1002"/>
      <c r="Q43" s="1002"/>
      <c r="R43" s="1002"/>
      <c r="S43" s="1002"/>
      <c r="T43" s="1002"/>
      <c r="U43" s="1002"/>
      <c r="V43" s="1002"/>
      <c r="W43" s="1002"/>
      <c r="X43" s="1002"/>
      <c r="Y43" s="1002"/>
      <c r="Z43" s="1002"/>
      <c r="AA43" s="1002"/>
      <c r="AB43" s="1002"/>
    </row>
    <row r="44" spans="2:28" x14ac:dyDescent="0.25">
      <c r="B44" s="19"/>
      <c r="C44" s="39" t="s">
        <v>620</v>
      </c>
      <c r="D44" s="39"/>
      <c r="E44" s="39"/>
      <c r="F44" s="39"/>
      <c r="G44" s="39"/>
      <c r="H44" s="39"/>
      <c r="I44" s="114"/>
      <c r="J44" s="1004">
        <f>J20</f>
        <v>0</v>
      </c>
      <c r="K44" s="1005"/>
      <c r="L44" s="182" t="str">
        <f>IF(J44&gt;=10,"OK","KO")</f>
        <v>KO</v>
      </c>
      <c r="M44" s="121"/>
      <c r="N44" s="20"/>
      <c r="P44" s="1002"/>
      <c r="Q44" s="1002"/>
      <c r="R44" s="1002"/>
      <c r="S44" s="1002"/>
      <c r="T44" s="1002"/>
      <c r="U44" s="1002"/>
      <c r="V44" s="1002"/>
      <c r="W44" s="1002"/>
      <c r="X44" s="1002"/>
      <c r="Y44" s="1002"/>
      <c r="Z44" s="1002"/>
      <c r="AA44" s="1002"/>
      <c r="AB44" s="1002"/>
    </row>
    <row r="45" spans="2:28" x14ac:dyDescent="0.25">
      <c r="B45" s="19"/>
      <c r="C45" s="88" t="s">
        <v>618</v>
      </c>
      <c r="D45" s="88"/>
      <c r="E45" s="88"/>
      <c r="F45" s="88"/>
      <c r="G45" s="88"/>
      <c r="H45" s="88"/>
      <c r="I45" s="89"/>
      <c r="J45" s="1004">
        <f>X20</f>
        <v>0</v>
      </c>
      <c r="K45" s="1005"/>
      <c r="L45" s="551" t="str">
        <f>IF(UTILISATION_CMR1="Oui","AUDIT NON VALIDE",IF(J45&gt;=10,"OK","KO"))</f>
        <v>KO</v>
      </c>
      <c r="M45" s="121"/>
      <c r="N45" s="20"/>
      <c r="P45" s="1002"/>
      <c r="Q45" s="1002"/>
      <c r="R45" s="1002"/>
      <c r="S45" s="1002"/>
      <c r="T45" s="1002"/>
      <c r="U45" s="1002"/>
      <c r="V45" s="1002"/>
      <c r="W45" s="1002"/>
      <c r="X45" s="1002"/>
      <c r="Y45" s="1002"/>
      <c r="Z45" s="1002"/>
      <c r="AA45" s="1002"/>
      <c r="AB45" s="1002"/>
    </row>
    <row r="46" spans="2:28" x14ac:dyDescent="0.25">
      <c r="B46" s="19"/>
      <c r="C46" s="88" t="s">
        <v>619</v>
      </c>
      <c r="D46" s="88"/>
      <c r="E46" s="88"/>
      <c r="F46" s="88"/>
      <c r="G46" s="88"/>
      <c r="H46" s="88"/>
      <c r="I46" s="89"/>
      <c r="J46" s="1004">
        <f>J37</f>
        <v>0</v>
      </c>
      <c r="K46" s="1005"/>
      <c r="L46" s="182" t="str">
        <f>IF(J46&gt;=10,"OK","KO")</f>
        <v>KO</v>
      </c>
      <c r="M46" s="121"/>
      <c r="N46" s="20"/>
      <c r="P46" s="1002"/>
      <c r="Q46" s="1002"/>
      <c r="R46" s="1002"/>
      <c r="S46" s="1002"/>
      <c r="T46" s="1002"/>
      <c r="U46" s="1002"/>
      <c r="V46" s="1002"/>
      <c r="W46" s="1002"/>
      <c r="X46" s="1002"/>
      <c r="Y46" s="1002"/>
      <c r="Z46" s="1002"/>
      <c r="AA46" s="1002"/>
      <c r="AB46" s="1002"/>
    </row>
    <row r="47" spans="2:28" x14ac:dyDescent="0.25">
      <c r="B47" s="19"/>
      <c r="C47" s="88" t="s">
        <v>621</v>
      </c>
      <c r="D47" s="88"/>
      <c r="E47" s="88"/>
      <c r="F47" s="88"/>
      <c r="G47" s="88"/>
      <c r="H47" s="88"/>
      <c r="I47" s="89"/>
      <c r="J47" s="1004">
        <f>X37</f>
        <v>0</v>
      </c>
      <c r="K47" s="1005"/>
      <c r="L47" s="182" t="str">
        <f>IF(OR(J47&gt;=10,J47="Sans objet"),"OK","KO")</f>
        <v>KO</v>
      </c>
      <c r="M47" s="121"/>
      <c r="N47" s="20"/>
      <c r="P47" s="1002"/>
      <c r="Q47" s="1002"/>
      <c r="R47" s="1002"/>
      <c r="S47" s="1002"/>
      <c r="T47" s="1002"/>
      <c r="U47" s="1002"/>
      <c r="V47" s="1002"/>
      <c r="W47" s="1002"/>
      <c r="X47" s="1002"/>
      <c r="Y47" s="1002"/>
      <c r="Z47" s="1002"/>
      <c r="AA47" s="1002"/>
      <c r="AB47" s="1002"/>
    </row>
    <row r="48" spans="2:28" ht="15.75" thickBot="1" x14ac:dyDescent="0.3">
      <c r="B48" s="22"/>
      <c r="C48" s="23"/>
      <c r="D48" s="23"/>
      <c r="E48" s="23"/>
      <c r="F48" s="23"/>
      <c r="G48" s="23"/>
      <c r="H48" s="23"/>
      <c r="I48" s="23"/>
      <c r="J48" s="23"/>
      <c r="K48" s="23"/>
      <c r="L48" s="23"/>
      <c r="M48" s="23"/>
      <c r="N48" s="24"/>
      <c r="P48" s="1002"/>
      <c r="Q48" s="1002"/>
      <c r="R48" s="1002"/>
      <c r="S48" s="1002"/>
      <c r="T48" s="1002"/>
      <c r="U48" s="1002"/>
      <c r="V48" s="1002"/>
      <c r="W48" s="1002"/>
      <c r="X48" s="1002"/>
      <c r="Y48" s="1002"/>
      <c r="Z48" s="1002"/>
      <c r="AA48" s="1002"/>
      <c r="AB48" s="1002"/>
    </row>
    <row r="50" spans="2:28" ht="15.75" thickBot="1" x14ac:dyDescent="0.3"/>
    <row r="51" spans="2:28" x14ac:dyDescent="0.25">
      <c r="B51" s="8"/>
      <c r="C51" s="9"/>
      <c r="D51" s="9"/>
      <c r="E51" s="9"/>
      <c r="F51" s="9"/>
      <c r="G51" s="9"/>
      <c r="H51" s="9"/>
      <c r="I51" s="9"/>
      <c r="J51" s="9"/>
      <c r="K51" s="9"/>
      <c r="L51" s="9"/>
      <c r="M51" s="9"/>
      <c r="N51" s="9"/>
      <c r="O51" s="9"/>
      <c r="P51" s="9"/>
      <c r="Q51" s="9"/>
      <c r="R51" s="9"/>
      <c r="S51" s="9"/>
      <c r="T51" s="9"/>
      <c r="U51" s="9"/>
      <c r="V51" s="9"/>
      <c r="W51" s="9"/>
      <c r="X51" s="9"/>
      <c r="Y51" s="9"/>
      <c r="Z51" s="9"/>
      <c r="AA51" s="9"/>
      <c r="AB51" s="10"/>
    </row>
    <row r="52" spans="2:28" x14ac:dyDescent="0.25">
      <c r="B52" s="11"/>
      <c r="AB52" s="12"/>
    </row>
    <row r="53" spans="2:28" x14ac:dyDescent="0.25">
      <c r="B53" s="11"/>
      <c r="AB53" s="12"/>
    </row>
    <row r="54" spans="2:28" x14ac:dyDescent="0.25">
      <c r="B54" s="11"/>
      <c r="AB54" s="12"/>
    </row>
    <row r="55" spans="2:28" x14ac:dyDescent="0.25">
      <c r="B55" s="11"/>
      <c r="C55" s="42" t="s">
        <v>2520</v>
      </c>
      <c r="D55" s="1000"/>
      <c r="E55" s="1001"/>
      <c r="AB55" s="12"/>
    </row>
    <row r="56" spans="2:28" x14ac:dyDescent="0.25">
      <c r="B56" s="11"/>
      <c r="AB56" s="12"/>
    </row>
    <row r="57" spans="2:28" x14ac:dyDescent="0.25">
      <c r="B57" s="11"/>
      <c r="C57" s="42" t="s">
        <v>2818</v>
      </c>
      <c r="F57" t="str">
        <f>IF(ISBLANK(Identification!F19),"",Identification!F19&amp; " ("&amp;Identification!F16&amp;")")</f>
        <v/>
      </c>
      <c r="P57" s="42" t="s">
        <v>2819</v>
      </c>
      <c r="S57" t="str">
        <f>IF(ISBLANK(Identification!F32),"",Identification!F32)</f>
        <v/>
      </c>
      <c r="AB57" s="12"/>
    </row>
    <row r="58" spans="2:28" x14ac:dyDescent="0.25">
      <c r="B58" s="11"/>
      <c r="C58" s="618"/>
      <c r="D58" s="619"/>
      <c r="E58" s="619"/>
      <c r="F58" s="619"/>
      <c r="G58" s="619"/>
      <c r="H58" s="619"/>
      <c r="I58" s="619"/>
      <c r="J58" s="619"/>
      <c r="K58" s="619"/>
      <c r="L58" s="619"/>
      <c r="M58" s="619"/>
      <c r="N58" s="620"/>
      <c r="P58" s="618"/>
      <c r="Q58" s="619"/>
      <c r="R58" s="619"/>
      <c r="S58" s="619"/>
      <c r="T58" s="619"/>
      <c r="U58" s="619"/>
      <c r="V58" s="619"/>
      <c r="W58" s="619"/>
      <c r="X58" s="619"/>
      <c r="Y58" s="619"/>
      <c r="Z58" s="619"/>
      <c r="AA58" s="620"/>
      <c r="AB58" s="12"/>
    </row>
    <row r="59" spans="2:28" x14ac:dyDescent="0.25">
      <c r="B59" s="11"/>
      <c r="C59" s="621"/>
      <c r="D59" s="622"/>
      <c r="E59" s="622"/>
      <c r="F59" s="622"/>
      <c r="G59" s="622"/>
      <c r="H59" s="622"/>
      <c r="I59" s="622"/>
      <c r="J59" s="622"/>
      <c r="K59" s="622"/>
      <c r="L59" s="622"/>
      <c r="M59" s="622"/>
      <c r="N59" s="623"/>
      <c r="P59" s="621"/>
      <c r="Q59" s="622"/>
      <c r="R59" s="622"/>
      <c r="S59" s="622"/>
      <c r="T59" s="622"/>
      <c r="U59" s="622"/>
      <c r="V59" s="622"/>
      <c r="W59" s="622"/>
      <c r="X59" s="622"/>
      <c r="Y59" s="622"/>
      <c r="Z59" s="622"/>
      <c r="AA59" s="623"/>
      <c r="AB59" s="12"/>
    </row>
    <row r="60" spans="2:28" x14ac:dyDescent="0.25">
      <c r="B60" s="11"/>
      <c r="C60" s="621"/>
      <c r="D60" s="622"/>
      <c r="E60" s="622"/>
      <c r="F60" s="622"/>
      <c r="G60" s="622"/>
      <c r="H60" s="622"/>
      <c r="I60" s="622"/>
      <c r="J60" s="622"/>
      <c r="K60" s="622"/>
      <c r="L60" s="622"/>
      <c r="M60" s="622"/>
      <c r="N60" s="623"/>
      <c r="P60" s="621"/>
      <c r="Q60" s="622"/>
      <c r="R60" s="622"/>
      <c r="S60" s="622"/>
      <c r="T60" s="622"/>
      <c r="U60" s="622"/>
      <c r="V60" s="622"/>
      <c r="W60" s="622"/>
      <c r="X60" s="622"/>
      <c r="Y60" s="622"/>
      <c r="Z60" s="622"/>
      <c r="AA60" s="623"/>
      <c r="AB60" s="12"/>
    </row>
    <row r="61" spans="2:28" x14ac:dyDescent="0.25">
      <c r="B61" s="11"/>
      <c r="C61" s="621"/>
      <c r="D61" s="622"/>
      <c r="E61" s="622"/>
      <c r="F61" s="622"/>
      <c r="G61" s="622"/>
      <c r="H61" s="622"/>
      <c r="I61" s="622"/>
      <c r="J61" s="622"/>
      <c r="K61" s="622"/>
      <c r="L61" s="622"/>
      <c r="M61" s="622"/>
      <c r="N61" s="623"/>
      <c r="P61" s="621"/>
      <c r="Q61" s="622"/>
      <c r="R61" s="622"/>
      <c r="S61" s="622"/>
      <c r="T61" s="622"/>
      <c r="U61" s="622"/>
      <c r="V61" s="622"/>
      <c r="W61" s="622"/>
      <c r="X61" s="622"/>
      <c r="Y61" s="622"/>
      <c r="Z61" s="622"/>
      <c r="AA61" s="623"/>
      <c r="AB61" s="12"/>
    </row>
    <row r="62" spans="2:28" x14ac:dyDescent="0.25">
      <c r="B62" s="11"/>
      <c r="C62" s="621"/>
      <c r="D62" s="622"/>
      <c r="E62" s="622"/>
      <c r="F62" s="622"/>
      <c r="G62" s="622"/>
      <c r="H62" s="622"/>
      <c r="I62" s="622"/>
      <c r="J62" s="622"/>
      <c r="K62" s="622"/>
      <c r="L62" s="622"/>
      <c r="M62" s="622"/>
      <c r="N62" s="623"/>
      <c r="P62" s="621"/>
      <c r="Q62" s="622"/>
      <c r="R62" s="622"/>
      <c r="S62" s="622"/>
      <c r="T62" s="622"/>
      <c r="U62" s="622"/>
      <c r="V62" s="622"/>
      <c r="W62" s="622"/>
      <c r="X62" s="622"/>
      <c r="Y62" s="622"/>
      <c r="Z62" s="622"/>
      <c r="AA62" s="623"/>
      <c r="AB62" s="12"/>
    </row>
    <row r="63" spans="2:28" x14ac:dyDescent="0.25">
      <c r="B63" s="11"/>
      <c r="C63" s="621"/>
      <c r="D63" s="622"/>
      <c r="E63" s="622"/>
      <c r="F63" s="622"/>
      <c r="G63" s="622"/>
      <c r="H63" s="622"/>
      <c r="I63" s="622"/>
      <c r="J63" s="622"/>
      <c r="K63" s="622"/>
      <c r="L63" s="622"/>
      <c r="M63" s="622"/>
      <c r="N63" s="623"/>
      <c r="P63" s="621"/>
      <c r="Q63" s="622"/>
      <c r="R63" s="622"/>
      <c r="S63" s="622"/>
      <c r="T63" s="622"/>
      <c r="U63" s="622"/>
      <c r="V63" s="622"/>
      <c r="W63" s="622"/>
      <c r="X63" s="622"/>
      <c r="Y63" s="622"/>
      <c r="Z63" s="622"/>
      <c r="AA63" s="623"/>
      <c r="AB63" s="12"/>
    </row>
    <row r="64" spans="2:28" x14ac:dyDescent="0.25">
      <c r="B64" s="11"/>
      <c r="C64" s="621"/>
      <c r="D64" s="622"/>
      <c r="E64" s="622"/>
      <c r="F64" s="622"/>
      <c r="G64" s="622"/>
      <c r="H64" s="622"/>
      <c r="I64" s="622"/>
      <c r="J64" s="622"/>
      <c r="K64" s="622"/>
      <c r="L64" s="622"/>
      <c r="M64" s="622"/>
      <c r="N64" s="623"/>
      <c r="P64" s="621"/>
      <c r="Q64" s="622"/>
      <c r="R64" s="622"/>
      <c r="S64" s="622"/>
      <c r="T64" s="622"/>
      <c r="U64" s="622"/>
      <c r="V64" s="622"/>
      <c r="W64" s="622"/>
      <c r="X64" s="622"/>
      <c r="Y64" s="622"/>
      <c r="Z64" s="622"/>
      <c r="AA64" s="623"/>
      <c r="AB64" s="12"/>
    </row>
    <row r="65" spans="2:28" x14ac:dyDescent="0.25">
      <c r="B65" s="11"/>
      <c r="C65" s="621"/>
      <c r="D65" s="622"/>
      <c r="E65" s="622"/>
      <c r="F65" s="622"/>
      <c r="G65" s="622"/>
      <c r="H65" s="622"/>
      <c r="I65" s="622"/>
      <c r="J65" s="622"/>
      <c r="K65" s="622"/>
      <c r="L65" s="622"/>
      <c r="M65" s="622"/>
      <c r="N65" s="623"/>
      <c r="P65" s="621"/>
      <c r="Q65" s="622"/>
      <c r="R65" s="622"/>
      <c r="S65" s="622"/>
      <c r="T65" s="622"/>
      <c r="U65" s="622"/>
      <c r="V65" s="622"/>
      <c r="W65" s="622"/>
      <c r="X65" s="622"/>
      <c r="Y65" s="622"/>
      <c r="Z65" s="622"/>
      <c r="AA65" s="623"/>
      <c r="AB65" s="12"/>
    </row>
    <row r="66" spans="2:28" x14ac:dyDescent="0.25">
      <c r="B66" s="11"/>
      <c r="C66" s="621"/>
      <c r="D66" s="622"/>
      <c r="E66" s="622"/>
      <c r="F66" s="622"/>
      <c r="G66" s="622"/>
      <c r="H66" s="622"/>
      <c r="I66" s="622"/>
      <c r="J66" s="622"/>
      <c r="K66" s="622"/>
      <c r="L66" s="622"/>
      <c r="M66" s="622"/>
      <c r="N66" s="623"/>
      <c r="P66" s="621"/>
      <c r="Q66" s="622"/>
      <c r="R66" s="622"/>
      <c r="S66" s="622"/>
      <c r="T66" s="622"/>
      <c r="U66" s="622"/>
      <c r="V66" s="622"/>
      <c r="W66" s="622"/>
      <c r="X66" s="622"/>
      <c r="Y66" s="622"/>
      <c r="Z66" s="622"/>
      <c r="AA66" s="623"/>
      <c r="AB66" s="12"/>
    </row>
    <row r="67" spans="2:28" x14ac:dyDescent="0.25">
      <c r="B67" s="11"/>
      <c r="C67" s="624"/>
      <c r="D67" s="625"/>
      <c r="E67" s="625"/>
      <c r="F67" s="625"/>
      <c r="G67" s="625"/>
      <c r="H67" s="625"/>
      <c r="I67" s="625"/>
      <c r="J67" s="625"/>
      <c r="K67" s="625"/>
      <c r="L67" s="625"/>
      <c r="M67" s="625"/>
      <c r="N67" s="626"/>
      <c r="P67" s="624"/>
      <c r="Q67" s="625"/>
      <c r="R67" s="625"/>
      <c r="S67" s="625"/>
      <c r="T67" s="625"/>
      <c r="U67" s="625"/>
      <c r="V67" s="625"/>
      <c r="W67" s="625"/>
      <c r="X67" s="625"/>
      <c r="Y67" s="625"/>
      <c r="Z67" s="625"/>
      <c r="AA67" s="626"/>
      <c r="AB67" s="12"/>
    </row>
    <row r="68" spans="2:28" x14ac:dyDescent="0.25">
      <c r="B68" s="11"/>
      <c r="AB68" s="12"/>
    </row>
    <row r="69" spans="2:28" x14ac:dyDescent="0.25">
      <c r="B69" s="11"/>
      <c r="C69" s="42" t="s">
        <v>2821</v>
      </c>
      <c r="F69" t="str">
        <f>IF(ISBLANK(Identification!F19),"",Identification!F19&amp; " ("&amp;Identification!F16&amp;")")</f>
        <v/>
      </c>
      <c r="P69" s="42" t="s">
        <v>2822</v>
      </c>
      <c r="S69" t="str">
        <f>IF(ISBLANK(Identification!F32),"",Identification!F32)</f>
        <v/>
      </c>
      <c r="AB69" s="12"/>
    </row>
    <row r="70" spans="2:28" x14ac:dyDescent="0.25">
      <c r="B70" s="11"/>
      <c r="C70" s="382"/>
      <c r="D70" s="383"/>
      <c r="E70" s="383"/>
      <c r="F70" s="383"/>
      <c r="G70" s="383"/>
      <c r="H70" s="384"/>
      <c r="I70" s="360"/>
      <c r="P70" s="382"/>
      <c r="Q70" s="383"/>
      <c r="R70" s="383"/>
      <c r="S70" s="383"/>
      <c r="T70" s="383"/>
      <c r="U70" s="384"/>
      <c r="V70" s="360"/>
      <c r="AB70" s="12"/>
    </row>
    <row r="71" spans="2:28" x14ac:dyDescent="0.25">
      <c r="B71" s="11"/>
      <c r="C71" s="385"/>
      <c r="D71" s="285"/>
      <c r="E71" s="285"/>
      <c r="F71" s="285"/>
      <c r="G71" s="285"/>
      <c r="H71" s="386"/>
      <c r="I71" s="360"/>
      <c r="P71" s="385"/>
      <c r="Q71" s="285"/>
      <c r="R71" s="285"/>
      <c r="S71" s="285"/>
      <c r="T71" s="285"/>
      <c r="U71" s="386"/>
      <c r="V71" s="360"/>
      <c r="AB71" s="12"/>
    </row>
    <row r="72" spans="2:28" x14ac:dyDescent="0.25">
      <c r="B72" s="11"/>
      <c r="C72" s="385"/>
      <c r="D72" s="285"/>
      <c r="E72" s="285"/>
      <c r="F72" s="285"/>
      <c r="G72" s="285"/>
      <c r="H72" s="386"/>
      <c r="I72" s="360"/>
      <c r="P72" s="385"/>
      <c r="Q72" s="285"/>
      <c r="R72" s="285"/>
      <c r="S72" s="285"/>
      <c r="T72" s="285"/>
      <c r="U72" s="386"/>
      <c r="V72" s="360"/>
      <c r="AB72" s="12"/>
    </row>
    <row r="73" spans="2:28" x14ac:dyDescent="0.25">
      <c r="B73" s="11"/>
      <c r="C73" s="385"/>
      <c r="D73" s="387"/>
      <c r="E73" s="387"/>
      <c r="F73" s="387"/>
      <c r="G73" s="387"/>
      <c r="H73" s="386"/>
      <c r="I73" s="360"/>
      <c r="P73" s="385"/>
      <c r="Q73" s="387"/>
      <c r="R73" s="387"/>
      <c r="S73" s="387"/>
      <c r="T73" s="387"/>
      <c r="U73" s="386"/>
      <c r="V73" s="360"/>
      <c r="AB73" s="12"/>
    </row>
    <row r="74" spans="2:28" x14ac:dyDescent="0.25">
      <c r="B74" s="11"/>
      <c r="C74" s="388"/>
      <c r="D74" s="389"/>
      <c r="E74" s="389"/>
      <c r="F74" s="389"/>
      <c r="G74" s="389"/>
      <c r="H74" s="390"/>
      <c r="I74" s="360"/>
      <c r="P74" s="388"/>
      <c r="Q74" s="389"/>
      <c r="R74" s="389"/>
      <c r="S74" s="389"/>
      <c r="T74" s="389"/>
      <c r="U74" s="390"/>
      <c r="V74" s="360"/>
      <c r="AB74" s="12"/>
    </row>
    <row r="75" spans="2:28" x14ac:dyDescent="0.25">
      <c r="B75" s="11"/>
      <c r="AB75" s="12"/>
    </row>
    <row r="76" spans="2:28" ht="15.75" thickBot="1" x14ac:dyDescent="0.3">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5"/>
    </row>
    <row r="79" spans="2:28" ht="15.75" thickBot="1" x14ac:dyDescent="0.3"/>
    <row r="80" spans="2:28" x14ac:dyDescent="0.25">
      <c r="B80" s="8"/>
      <c r="C80" s="9"/>
      <c r="D80" s="9"/>
      <c r="E80" s="9"/>
      <c r="F80" s="9"/>
      <c r="G80" s="9"/>
      <c r="H80" s="9"/>
      <c r="I80" s="9"/>
      <c r="J80" s="9"/>
      <c r="K80" s="9"/>
      <c r="L80" s="9"/>
      <c r="M80" s="9"/>
      <c r="N80" s="10"/>
    </row>
    <row r="81" spans="2:28" x14ac:dyDescent="0.25">
      <c r="B81" s="11"/>
      <c r="L81" s="181"/>
      <c r="N81" s="12"/>
      <c r="P81" s="1006" t="str">
        <f>IF(TYPE_CERTIF="Collectif","Informations relatives au cadre collectif :"&amp;"
- Déposer dans Certibase la synthèse du collectif avant les audits externes (échantillonnage).","")</f>
        <v/>
      </c>
      <c r="Q81" s="1007"/>
      <c r="R81" s="1007"/>
      <c r="S81" s="1007"/>
      <c r="T81" s="1007"/>
      <c r="U81" s="1007"/>
      <c r="V81" s="1007"/>
      <c r="W81" s="1007"/>
      <c r="X81" s="1007"/>
      <c r="Y81" s="1007"/>
      <c r="Z81" s="1007"/>
      <c r="AA81" s="1007"/>
      <c r="AB81" s="1007"/>
    </row>
    <row r="82" spans="2:28" x14ac:dyDescent="0.25">
      <c r="B82" s="11"/>
      <c r="C82" s="42"/>
      <c r="D82" s="42"/>
      <c r="E82" s="42"/>
      <c r="F82" s="42"/>
      <c r="G82" s="42"/>
      <c r="H82" s="42"/>
      <c r="I82" s="42"/>
      <c r="J82" s="989"/>
      <c r="K82" s="989"/>
      <c r="L82" s="182"/>
      <c r="M82" s="121"/>
      <c r="N82" s="12"/>
      <c r="P82" s="1007"/>
      <c r="Q82" s="1007"/>
      <c r="R82" s="1007"/>
      <c r="S82" s="1007"/>
      <c r="T82" s="1007"/>
      <c r="U82" s="1007"/>
      <c r="V82" s="1007"/>
      <c r="W82" s="1007"/>
      <c r="X82" s="1007"/>
      <c r="Y82" s="1007"/>
      <c r="Z82" s="1007"/>
      <c r="AA82" s="1007"/>
      <c r="AB82" s="1007"/>
    </row>
    <row r="83" spans="2:28" x14ac:dyDescent="0.25">
      <c r="B83" s="11"/>
      <c r="C83" s="42" t="s">
        <v>2520</v>
      </c>
      <c r="D83" s="1000"/>
      <c r="E83" s="1001"/>
      <c r="F83" s="42"/>
      <c r="G83" s="42"/>
      <c r="H83" s="42"/>
      <c r="I83" s="42" t="s">
        <v>4808</v>
      </c>
      <c r="J83" s="1003"/>
      <c r="K83" s="1003"/>
      <c r="L83" s="1003"/>
      <c r="M83" s="121"/>
      <c r="N83" s="12"/>
      <c r="P83" s="1007"/>
      <c r="Q83" s="1007"/>
      <c r="R83" s="1007"/>
      <c r="S83" s="1007"/>
      <c r="T83" s="1007"/>
      <c r="U83" s="1007"/>
      <c r="V83" s="1007"/>
      <c r="W83" s="1007"/>
      <c r="X83" s="1007"/>
      <c r="Y83" s="1007"/>
      <c r="Z83" s="1007"/>
      <c r="AA83" s="1007"/>
      <c r="AB83" s="1007"/>
    </row>
    <row r="84" spans="2:28" x14ac:dyDescent="0.25">
      <c r="B84" s="11"/>
      <c r="C84" s="42"/>
      <c r="D84" s="509"/>
      <c r="E84" s="509"/>
      <c r="F84" s="42"/>
      <c r="G84" s="42"/>
      <c r="H84" s="42"/>
      <c r="I84" s="1008" t="str">
        <f>IF(AND(cTypeAudit="Initial",DECISION_AUDIT="Refus"),"Le dépôt de la grille dans Certibase n'est pas autorisé pour un audit Initial avec une décision Refus","")</f>
        <v/>
      </c>
      <c r="J84" s="1008"/>
      <c r="K84" s="1008"/>
      <c r="L84" s="1008"/>
      <c r="M84" s="1008"/>
      <c r="N84" s="1009"/>
      <c r="P84" s="1007"/>
      <c r="Q84" s="1007"/>
      <c r="R84" s="1007"/>
      <c r="S84" s="1007"/>
      <c r="T84" s="1007"/>
      <c r="U84" s="1007"/>
      <c r="V84" s="1007"/>
      <c r="W84" s="1007"/>
      <c r="X84" s="1007"/>
      <c r="Y84" s="1007"/>
      <c r="Z84" s="1007"/>
      <c r="AA84" s="1007"/>
      <c r="AB84" s="1007"/>
    </row>
    <row r="85" spans="2:28" ht="15.75" thickBot="1" x14ac:dyDescent="0.3">
      <c r="B85" s="13"/>
      <c r="C85" s="508"/>
      <c r="D85" s="508"/>
      <c r="E85" s="508"/>
      <c r="F85" s="508"/>
      <c r="G85" s="508"/>
      <c r="H85" s="508"/>
      <c r="I85" s="1010"/>
      <c r="J85" s="1010"/>
      <c r="K85" s="1010"/>
      <c r="L85" s="1010"/>
      <c r="M85" s="1010"/>
      <c r="N85" s="1011"/>
    </row>
    <row r="86" spans="2:28" x14ac:dyDescent="0.25">
      <c r="C86" s="42"/>
      <c r="D86" s="42"/>
      <c r="E86" s="42"/>
      <c r="F86" s="42"/>
      <c r="G86" s="42"/>
      <c r="H86" s="42"/>
      <c r="I86" s="42"/>
      <c r="J86" s="989"/>
      <c r="K86" s="989"/>
      <c r="L86" s="182"/>
      <c r="M86" s="121"/>
    </row>
  </sheetData>
  <sheetProtection algorithmName="SHA-512" hashValue="ZOzfJqeJg14Jjo1SE1i+T0UGFl/tKA3t/V/OS/rgAIBObhMou+4POIhuz66JIl/pgPCWd6punPmbVWSd++DZKg==" saltValue="aECgOOhvFG19fS4eIb1sDg==" spinCount="100000" sheet="1" scenarios="1"/>
  <mergeCells count="108">
    <mergeCell ref="J82:K82"/>
    <mergeCell ref="J86:K86"/>
    <mergeCell ref="D83:E83"/>
    <mergeCell ref="Z37:AA37"/>
    <mergeCell ref="C58:N67"/>
    <mergeCell ref="P58:AA67"/>
    <mergeCell ref="D55:E55"/>
    <mergeCell ref="P42:AB48"/>
    <mergeCell ref="H37:I37"/>
    <mergeCell ref="J83:L83"/>
    <mergeCell ref="J37:K37"/>
    <mergeCell ref="J47:K47"/>
    <mergeCell ref="J46:K46"/>
    <mergeCell ref="J45:K45"/>
    <mergeCell ref="J44:K44"/>
    <mergeCell ref="V37:W37"/>
    <mergeCell ref="X37:Y37"/>
    <mergeCell ref="L37:M37"/>
    <mergeCell ref="P81:AB84"/>
    <mergeCell ref="I84:N85"/>
    <mergeCell ref="AA4:AB4"/>
    <mergeCell ref="X15:Y15"/>
    <mergeCell ref="X16:Y16"/>
    <mergeCell ref="X19:Y19"/>
    <mergeCell ref="V20:W20"/>
    <mergeCell ref="X20:Y20"/>
    <mergeCell ref="X17:Y17"/>
    <mergeCell ref="X18:Y18"/>
    <mergeCell ref="X10:Y10"/>
    <mergeCell ref="X11:Y11"/>
    <mergeCell ref="X12:Y12"/>
    <mergeCell ref="X13:Y13"/>
    <mergeCell ref="X14:Y14"/>
    <mergeCell ref="Z14:AA14"/>
    <mergeCell ref="Z15:AA15"/>
    <mergeCell ref="Z9:AA9"/>
    <mergeCell ref="Z10:AA10"/>
    <mergeCell ref="Z11:AA11"/>
    <mergeCell ref="Z12:AA12"/>
    <mergeCell ref="Z13:AA13"/>
    <mergeCell ref="Z19:AA19"/>
    <mergeCell ref="Z29:AA29"/>
    <mergeCell ref="X34:Y34"/>
    <mergeCell ref="Z30:AA30"/>
    <mergeCell ref="L29:M29"/>
    <mergeCell ref="H20:I20"/>
    <mergeCell ref="J20:K20"/>
    <mergeCell ref="J9:K9"/>
    <mergeCell ref="J10:K10"/>
    <mergeCell ref="J11:K11"/>
    <mergeCell ref="J12:K12"/>
    <mergeCell ref="J13:K13"/>
    <mergeCell ref="J14:K14"/>
    <mergeCell ref="J15:K15"/>
    <mergeCell ref="J16:K16"/>
    <mergeCell ref="J17:K17"/>
    <mergeCell ref="J26:K26"/>
    <mergeCell ref="J27:K27"/>
    <mergeCell ref="J28:K28"/>
    <mergeCell ref="J29:K29"/>
    <mergeCell ref="J30:K30"/>
    <mergeCell ref="J31:K31"/>
    <mergeCell ref="J32:K32"/>
    <mergeCell ref="J33:K33"/>
    <mergeCell ref="J34:K34"/>
    <mergeCell ref="L30:M30"/>
    <mergeCell ref="L31:M31"/>
    <mergeCell ref="L32:M32"/>
    <mergeCell ref="X35:Y35"/>
    <mergeCell ref="X36:Y36"/>
    <mergeCell ref="L26:M26"/>
    <mergeCell ref="L27:M27"/>
    <mergeCell ref="L28:M28"/>
    <mergeCell ref="L35:M35"/>
    <mergeCell ref="L34:M34"/>
    <mergeCell ref="X26:Y26"/>
    <mergeCell ref="X27:Y27"/>
    <mergeCell ref="X28:Y28"/>
    <mergeCell ref="X29:Y29"/>
    <mergeCell ref="X30:Y30"/>
    <mergeCell ref="X31:Y31"/>
    <mergeCell ref="X32:Y32"/>
    <mergeCell ref="X33:Y33"/>
    <mergeCell ref="L33:M33"/>
    <mergeCell ref="Z31:AA31"/>
    <mergeCell ref="Z32:AA32"/>
    <mergeCell ref="Z33:AA33"/>
    <mergeCell ref="J36:K36"/>
    <mergeCell ref="L9:M9"/>
    <mergeCell ref="L10:M10"/>
    <mergeCell ref="L11:M11"/>
    <mergeCell ref="L14:M14"/>
    <mergeCell ref="L15:M15"/>
    <mergeCell ref="L16:M16"/>
    <mergeCell ref="L17:M17"/>
    <mergeCell ref="Z18:AA18"/>
    <mergeCell ref="Z16:AA16"/>
    <mergeCell ref="Z17:AA17"/>
    <mergeCell ref="L12:M12"/>
    <mergeCell ref="L13:M13"/>
    <mergeCell ref="X9:Y9"/>
    <mergeCell ref="Z26:AA26"/>
    <mergeCell ref="Z27:AA27"/>
    <mergeCell ref="Z28:AA28"/>
    <mergeCell ref="L20:M20"/>
    <mergeCell ref="J35:K35"/>
    <mergeCell ref="Z20:AA20"/>
    <mergeCell ref="Z34:AA34"/>
  </mergeCells>
  <conditionalFormatting sqref="L45">
    <cfRule type="cellIs" dxfId="10" priority="1" operator="equal">
      <formula>"AUDIT NON VALIDE"</formula>
    </cfRule>
  </conditionalFormatting>
  <conditionalFormatting sqref="P42">
    <cfRule type="expression" dxfId="9" priority="9">
      <formula>$P$42="Résultats non conformes au référentiel"</formula>
    </cfRule>
    <cfRule type="expression" dxfId="8" priority="10">
      <formula>$P$42="Résultats conformes au référentiel"</formula>
    </cfRule>
  </conditionalFormatting>
  <conditionalFormatting sqref="X10:Y10">
    <cfRule type="expression" dxfId="7" priority="8">
      <formula>$X$10="AUDIT NON VALIDE"</formula>
    </cfRule>
  </conditionalFormatting>
  <conditionalFormatting sqref="X20:AA20">
    <cfRule type="expression" dxfId="6" priority="3">
      <formula>$X$10="AUDIT NON VALIDE"</formula>
    </cfRule>
  </conditionalFormatting>
  <conditionalFormatting sqref="X37:AA37">
    <cfRule type="expression" dxfId="5" priority="2">
      <formula>$X$37="Sans Objet"</formula>
    </cfRule>
  </conditionalFormatting>
  <conditionalFormatting sqref="Z10:AA19">
    <cfRule type="expression" dxfId="4" priority="5">
      <formula>$X$10="AUDIT NON VALIDE"</formula>
    </cfRule>
  </conditionalFormatting>
  <dataValidations count="2">
    <dataValidation type="date" allowBlank="1" showInputMessage="1" showErrorMessage="1" sqref="D55:E55 D83:E84">
      <formula1>367</formula1>
      <formula2>401768</formula2>
    </dataValidation>
    <dataValidation type="list" allowBlank="1" showInputMessage="1" showErrorMessage="1" sqref="J83">
      <formula1>IF(cTypeAudit="Initial",lstDecisionInitial,IF(cTypeAudit="Suivi",lstDecisionSuivi,IF(cTypeAudit="Renouvellement",lstDecisionRenouvellement,"")))</formula1>
    </dataValidation>
  </dataValidations>
  <pageMargins left="0.70866141732283472" right="0.70866141732283472" top="0.74803149606299213" bottom="0.74803149606299213" header="0.31496062992125984" footer="0.31496062992125984"/>
  <pageSetup paperSize="9" scale="4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EA9EEB23-15CC-43BA-960E-7C9101B1F1BC}">
            <xm:f>Irrigation!$K$10="Non"</xm:f>
            <x14:dxf>
              <numFmt numFmtId="171" formatCode=";;;"/>
              <fill>
                <patternFill patternType="lightUp"/>
              </fill>
            </x14:dxf>
          </x14:cfRule>
          <xm:sqref>Z27:AA34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5"/>
  </sheetPr>
  <dimension ref="A1:M1946"/>
  <sheetViews>
    <sheetView topLeftCell="A1926" workbookViewId="0">
      <selection activeCell="J1945" sqref="J1945"/>
    </sheetView>
  </sheetViews>
  <sheetFormatPr baseColWidth="10" defaultRowHeight="15" x14ac:dyDescent="0.25"/>
  <cols>
    <col min="1" max="1" width="53.85546875" bestFit="1" customWidth="1"/>
    <col min="2" max="2" width="18.28515625" customWidth="1"/>
    <col min="4" max="4" width="88.42578125" customWidth="1"/>
    <col min="5" max="6" width="11.42578125" customWidth="1"/>
    <col min="7" max="7" width="13" bestFit="1" customWidth="1"/>
  </cols>
  <sheetData>
    <row r="1" spans="1:13" x14ac:dyDescent="0.25">
      <c r="A1" t="s">
        <v>2882</v>
      </c>
      <c r="B1" t="s">
        <v>2883</v>
      </c>
      <c r="C1" t="s">
        <v>2884</v>
      </c>
      <c r="D1" t="s">
        <v>2885</v>
      </c>
      <c r="E1" t="s">
        <v>2886</v>
      </c>
      <c r="F1" t="s">
        <v>2887</v>
      </c>
      <c r="G1" t="s">
        <v>2888</v>
      </c>
      <c r="H1" t="s">
        <v>2889</v>
      </c>
      <c r="I1" t="s">
        <v>2890</v>
      </c>
      <c r="J1" t="s">
        <v>2891</v>
      </c>
      <c r="K1" t="s">
        <v>2892</v>
      </c>
      <c r="L1" t="s">
        <v>2893</v>
      </c>
      <c r="M1" t="s">
        <v>2894</v>
      </c>
    </row>
    <row r="2" spans="1:13" x14ac:dyDescent="0.25">
      <c r="A2" s="91" t="s">
        <v>2895</v>
      </c>
      <c r="B2" cm="1">
        <f t="array" aca="1" ref="B2" ca="1">INDIRECT(A2)</f>
        <v>0</v>
      </c>
      <c r="C2">
        <f t="shared" ref="C2:C65" ca="1" si="0">_xlfn.SHEET(INDIRECT(A2))</f>
        <v>3</v>
      </c>
      <c r="D2" t="str" cm="1">
        <f t="array" aca="1" ref="D2" ca="1">CELL("nomfichier",INDIRECT(A2))</f>
        <v>G:\SCPE\sdc\bq\6 - Mentions valorisantes\Certification environnementale\TEXTES_REGLEMENTATION_CE\Plans_contrôle et grilles\Grille audit niveau 3\Grille d'audit v1.11\[grille-audit-hvev4-v1.11-vf.xlsx]Identification</v>
      </c>
      <c r="E2">
        <f t="shared" ref="E2:E65" ca="1" si="1">FIND("]",D2)</f>
        <v>200</v>
      </c>
      <c r="F2">
        <f t="shared" ref="F2:F65" ca="1" si="2">LEN(D2)</f>
        <v>214</v>
      </c>
      <c r="G2" t="str">
        <f t="shared" ref="G2:G65" ca="1" si="3">RIGHT(D2,F2-E2)</f>
        <v>Identification</v>
      </c>
      <c r="H2" cm="1">
        <f t="array" aca="1" ref="H2" ca="1">ROW(INDIRECT(A2))</f>
        <v>10</v>
      </c>
      <c r="I2" cm="1">
        <f t="array" aca="1" ref="I2" ca="1">COLUMN(INDIRECT(A2))</f>
        <v>6</v>
      </c>
      <c r="M2" t="str" cm="1">
        <f t="array" aca="1" ref="M2" ca="1">IF(AND(J2="O",ISBLANK(INDIRECT(A2))),"Valeur obligatoire non renseignée","")</f>
        <v/>
      </c>
    </row>
    <row r="3" spans="1:13" x14ac:dyDescent="0.25">
      <c r="A3" s="91" t="s">
        <v>2896</v>
      </c>
      <c r="B3" t="str" cm="1">
        <f t="array" aca="1" ref="B3" ca="1">INDIRECT(A3)</f>
        <v/>
      </c>
      <c r="C3">
        <f t="shared" ca="1" si="0"/>
        <v>3</v>
      </c>
      <c r="D3" t="str" cm="1">
        <f t="array" aca="1" ref="D3" ca="1">CELL("nomfichier",INDIRECT(A3))</f>
        <v>G:\SCPE\sdc\bq\6 - Mentions valorisantes\Certification environnementale\TEXTES_REGLEMENTATION_CE\Plans_contrôle et grilles\Grille audit niveau 3\Grille d'audit v1.11\[grille-audit-hvev4-v1.11-vf.xlsx]Identification</v>
      </c>
      <c r="E3">
        <f t="shared" ca="1" si="1"/>
        <v>200</v>
      </c>
      <c r="F3">
        <f t="shared" ca="1" si="2"/>
        <v>214</v>
      </c>
      <c r="G3" t="str">
        <f t="shared" ca="1" si="3"/>
        <v>Identification</v>
      </c>
      <c r="H3" cm="1">
        <f t="array" aca="1" ref="H3" ca="1">ROW(INDIRECT(A3))</f>
        <v>12</v>
      </c>
      <c r="I3" cm="1">
        <f t="array" aca="1" ref="I3" ca="1">COLUMN(INDIRECT(A3))</f>
        <v>12</v>
      </c>
      <c r="M3" t="str" cm="1">
        <f t="array" aca="1" ref="M3" ca="1">IF(AND(J3="O",ISBLANK(INDIRECT(A3))),"Valeur obligatoire non renseignée","")</f>
        <v/>
      </c>
    </row>
    <row r="4" spans="1:13" x14ac:dyDescent="0.25">
      <c r="A4" s="91" t="s">
        <v>2897</v>
      </c>
      <c r="B4" cm="1">
        <f t="array" aca="1" ref="B4" ca="1">INDIRECT(A4)</f>
        <v>0</v>
      </c>
      <c r="C4">
        <f t="shared" ca="1" si="0"/>
        <v>3</v>
      </c>
      <c r="D4" t="str" cm="1">
        <f t="array" aca="1" ref="D4" ca="1">CELL("nomfichier",INDIRECT(A4))</f>
        <v>G:\SCPE\sdc\bq\6 - Mentions valorisantes\Certification environnementale\TEXTES_REGLEMENTATION_CE\Plans_contrôle et grilles\Grille audit niveau 3\Grille d'audit v1.11\[grille-audit-hvev4-v1.11-vf.xlsx]Identification</v>
      </c>
      <c r="E4">
        <f t="shared" ca="1" si="1"/>
        <v>200</v>
      </c>
      <c r="F4">
        <f t="shared" ca="1" si="2"/>
        <v>214</v>
      </c>
      <c r="G4" t="str">
        <f t="shared" ca="1" si="3"/>
        <v>Identification</v>
      </c>
      <c r="H4" cm="1">
        <f t="array" aca="1" ref="H4" ca="1">ROW(INDIRECT(A4))</f>
        <v>14</v>
      </c>
      <c r="I4" cm="1">
        <f t="array" aca="1" ref="I4" ca="1">COLUMN(INDIRECT(A4))</f>
        <v>6</v>
      </c>
      <c r="M4" t="str" cm="1">
        <f t="array" aca="1" ref="M4" ca="1">IF(AND(J4="O",ISBLANK(INDIRECT(A4))),"Valeur obligatoire non renseignée","")</f>
        <v/>
      </c>
    </row>
    <row r="5" spans="1:13" x14ac:dyDescent="0.25">
      <c r="A5" s="91" t="s">
        <v>2898</v>
      </c>
      <c r="B5" t="e" cm="1">
        <f t="array" aca="1" ref="B5" ca="1">INDIRECT(A5)</f>
        <v>#N/A</v>
      </c>
      <c r="C5">
        <f t="shared" ca="1" si="0"/>
        <v>3</v>
      </c>
      <c r="D5" t="str" cm="1">
        <f t="array" aca="1" ref="D5" ca="1">CELL("nomfichier",INDIRECT(A5))</f>
        <v>G:\SCPE\sdc\bq\6 - Mentions valorisantes\Certification environnementale\TEXTES_REGLEMENTATION_CE\Plans_contrôle et grilles\Grille audit niveau 3\Grille d'audit v1.11\[grille-audit-hvev4-v1.11-vf.xlsx]Identification</v>
      </c>
      <c r="E5">
        <f t="shared" ca="1" si="1"/>
        <v>200</v>
      </c>
      <c r="F5">
        <f t="shared" ca="1" si="2"/>
        <v>214</v>
      </c>
      <c r="G5" t="str">
        <f t="shared" ca="1" si="3"/>
        <v>Identification</v>
      </c>
      <c r="H5" cm="1">
        <f t="array" aca="1" ref="H5" ca="1">ROW(INDIRECT(A5))</f>
        <v>16</v>
      </c>
      <c r="I5" cm="1">
        <f t="array" aca="1" ref="I5" ca="1">COLUMN(INDIRECT(A5))</f>
        <v>13</v>
      </c>
      <c r="M5" t="str" cm="1">
        <f t="array" aca="1" ref="M5" ca="1">IF(AND(J5="O",ISBLANK(INDIRECT(A5))),"Valeur obligatoire non renseignée","")</f>
        <v/>
      </c>
    </row>
    <row r="6" spans="1:13" x14ac:dyDescent="0.25">
      <c r="A6" s="91" t="s">
        <v>2899</v>
      </c>
      <c r="B6" cm="1">
        <f t="array" aca="1" ref="B6" ca="1">INDIRECT(A6)</f>
        <v>0</v>
      </c>
      <c r="C6">
        <f t="shared" ca="1" si="0"/>
        <v>3</v>
      </c>
      <c r="D6" t="str" cm="1">
        <f t="array" aca="1" ref="D6" ca="1">CELL("nomfichier",INDIRECT(A6))</f>
        <v>G:\SCPE\sdc\bq\6 - Mentions valorisantes\Certification environnementale\TEXTES_REGLEMENTATION_CE\Plans_contrôle et grilles\Grille audit niveau 3\Grille d'audit v1.11\[grille-audit-hvev4-v1.11-vf.xlsx]Identification</v>
      </c>
      <c r="E6">
        <f t="shared" ca="1" si="1"/>
        <v>200</v>
      </c>
      <c r="F6">
        <f t="shared" ca="1" si="2"/>
        <v>214</v>
      </c>
      <c r="G6" t="str">
        <f t="shared" ca="1" si="3"/>
        <v>Identification</v>
      </c>
      <c r="H6" cm="1">
        <f t="array" aca="1" ref="H6" ca="1">ROW(INDIRECT(A6))</f>
        <v>19</v>
      </c>
      <c r="I6" cm="1">
        <f t="array" aca="1" ref="I6" ca="1">COLUMN(INDIRECT(A6))</f>
        <v>6</v>
      </c>
      <c r="M6" t="str" cm="1">
        <f t="array" aca="1" ref="M6" ca="1">IF(AND(J6="O",ISBLANK(INDIRECT(A6))),"Valeur obligatoire non renseignée","")</f>
        <v/>
      </c>
    </row>
    <row r="7" spans="1:13" x14ac:dyDescent="0.25">
      <c r="A7" s="91" t="s">
        <v>2900</v>
      </c>
      <c r="B7" cm="1">
        <f t="array" aca="1" ref="B7" ca="1">INDIRECT(A7)</f>
        <v>0</v>
      </c>
      <c r="C7">
        <f t="shared" ca="1" si="0"/>
        <v>3</v>
      </c>
      <c r="D7" t="str" cm="1">
        <f t="array" aca="1" ref="D7" ca="1">CELL("nomfichier",INDIRECT(A7))</f>
        <v>G:\SCPE\sdc\bq\6 - Mentions valorisantes\Certification environnementale\TEXTES_REGLEMENTATION_CE\Plans_contrôle et grilles\Grille audit niveau 3\Grille d'audit v1.11\[grille-audit-hvev4-v1.11-vf.xlsx]Identification</v>
      </c>
      <c r="E7">
        <f t="shared" ca="1" si="1"/>
        <v>200</v>
      </c>
      <c r="F7">
        <f t="shared" ca="1" si="2"/>
        <v>214</v>
      </c>
      <c r="G7" t="str">
        <f t="shared" ca="1" si="3"/>
        <v>Identification</v>
      </c>
      <c r="H7" cm="1">
        <f t="array" aca="1" ref="H7" ca="1">ROW(INDIRECT(A7))</f>
        <v>23</v>
      </c>
      <c r="I7" cm="1">
        <f t="array" aca="1" ref="I7" ca="1">COLUMN(INDIRECT(A7))</f>
        <v>6</v>
      </c>
      <c r="M7" t="str" cm="1">
        <f t="array" aca="1" ref="M7" ca="1">IF(AND(J7="O",ISBLANK(INDIRECT(A7))),"Valeur obligatoire non renseignée","")</f>
        <v/>
      </c>
    </row>
    <row r="8" spans="1:13" x14ac:dyDescent="0.25">
      <c r="A8" s="91" t="s">
        <v>2901</v>
      </c>
      <c r="B8" cm="1">
        <f t="array" aca="1" ref="B8" ca="1">INDIRECT(A8)</f>
        <v>0</v>
      </c>
      <c r="C8">
        <f t="shared" ca="1" si="0"/>
        <v>3</v>
      </c>
      <c r="D8" t="str" cm="1">
        <f t="array" aca="1" ref="D8" ca="1">CELL("nomfichier",INDIRECT(A8))</f>
        <v>G:\SCPE\sdc\bq\6 - Mentions valorisantes\Certification environnementale\TEXTES_REGLEMENTATION_CE\Plans_contrôle et grilles\Grille audit niveau 3\Grille d'audit v1.11\[grille-audit-hvev4-v1.11-vf.xlsx]Identification</v>
      </c>
      <c r="E8">
        <f t="shared" ca="1" si="1"/>
        <v>200</v>
      </c>
      <c r="F8">
        <f t="shared" ca="1" si="2"/>
        <v>214</v>
      </c>
      <c r="G8" t="str">
        <f t="shared" ca="1" si="3"/>
        <v>Identification</v>
      </c>
      <c r="H8" cm="1">
        <f t="array" aca="1" ref="H8" ca="1">ROW(INDIRECT(A8))</f>
        <v>25</v>
      </c>
      <c r="I8" cm="1">
        <f t="array" aca="1" ref="I8" ca="1">COLUMN(INDIRECT(A8))</f>
        <v>6</v>
      </c>
      <c r="M8" t="str" cm="1">
        <f t="array" aca="1" ref="M8" ca="1">IF(AND(J8="O",ISBLANK(INDIRECT(A8))),"Valeur obligatoire non renseignée","")</f>
        <v/>
      </c>
    </row>
    <row r="9" spans="1:13" x14ac:dyDescent="0.25">
      <c r="A9" s="91" t="s">
        <v>2902</v>
      </c>
      <c r="B9" cm="1">
        <f t="array" aca="1" ref="B9" ca="1">INDIRECT(A9)</f>
        <v>0</v>
      </c>
      <c r="C9">
        <f t="shared" ca="1" si="0"/>
        <v>3</v>
      </c>
      <c r="D9" t="str" cm="1">
        <f t="array" aca="1" ref="D9" ca="1">CELL("nomfichier",INDIRECT(A9))</f>
        <v>G:\SCPE\sdc\bq\6 - Mentions valorisantes\Certification environnementale\TEXTES_REGLEMENTATION_CE\Plans_contrôle et grilles\Grille audit niveau 3\Grille d'audit v1.11\[grille-audit-hvev4-v1.11-vf.xlsx]Identification</v>
      </c>
      <c r="E9">
        <f t="shared" ca="1" si="1"/>
        <v>200</v>
      </c>
      <c r="F9">
        <f t="shared" ca="1" si="2"/>
        <v>214</v>
      </c>
      <c r="G9" t="str">
        <f t="shared" ca="1" si="3"/>
        <v>Identification</v>
      </c>
      <c r="H9" cm="1">
        <f t="array" aca="1" ref="H9" ca="1">ROW(INDIRECT(A9))</f>
        <v>32</v>
      </c>
      <c r="I9" cm="1">
        <f t="array" aca="1" ref="I9" ca="1">COLUMN(INDIRECT(A9))</f>
        <v>6</v>
      </c>
      <c r="M9" t="str" cm="1">
        <f t="array" aca="1" ref="M9" ca="1">IF(AND(J9="O",ISBLANK(INDIRECT(A9))),"Valeur obligatoire non renseignée","")</f>
        <v/>
      </c>
    </row>
    <row r="10" spans="1:13" x14ac:dyDescent="0.25">
      <c r="A10" s="91" t="s">
        <v>2911</v>
      </c>
      <c r="B10" cm="1">
        <f t="array" aca="1" ref="B10" ca="1">INDIRECT(A10)</f>
        <v>0</v>
      </c>
      <c r="C10">
        <f t="shared" ca="1" si="0"/>
        <v>3</v>
      </c>
      <c r="D10" t="str" cm="1">
        <f t="array" aca="1" ref="D10" ca="1">CELL("nomfichier",INDIRECT(A10))</f>
        <v>G:\SCPE\sdc\bq\6 - Mentions valorisantes\Certification environnementale\TEXTES_REGLEMENTATION_CE\Plans_contrôle et grilles\Grille audit niveau 3\Grille d'audit v1.11\[grille-audit-hvev4-v1.11-vf.xlsx]Identification</v>
      </c>
      <c r="E10">
        <f t="shared" ca="1" si="1"/>
        <v>200</v>
      </c>
      <c r="F10">
        <f t="shared" ca="1" si="2"/>
        <v>214</v>
      </c>
      <c r="G10" t="str">
        <f t="shared" ca="1" si="3"/>
        <v>Identification</v>
      </c>
      <c r="H10" cm="1">
        <f t="array" aca="1" ref="H10" ca="1">ROW(INDIRECT(A10))</f>
        <v>32</v>
      </c>
      <c r="I10" cm="1">
        <f t="array" aca="1" ref="I10" ca="1">COLUMN(INDIRECT(A10))</f>
        <v>18</v>
      </c>
      <c r="M10" t="str" cm="1">
        <f t="array" aca="1" ref="M10" ca="1">IF(AND(J10="O",ISBLANK(INDIRECT(A10))),"Valeur obligatoire non renseignée","")</f>
        <v/>
      </c>
    </row>
    <row r="11" spans="1:13" x14ac:dyDescent="0.25">
      <c r="A11" s="91" t="s">
        <v>2903</v>
      </c>
      <c r="B11" cm="1">
        <f t="array" aca="1" ref="B11" ca="1">INDIRECT(A11)</f>
        <v>0</v>
      </c>
      <c r="C11">
        <f t="shared" ca="1" si="0"/>
        <v>3</v>
      </c>
      <c r="D11" t="str" cm="1">
        <f t="array" aca="1" ref="D11" ca="1">CELL("nomfichier",INDIRECT(A11))</f>
        <v>G:\SCPE\sdc\bq\6 - Mentions valorisantes\Certification environnementale\TEXTES_REGLEMENTATION_CE\Plans_contrôle et grilles\Grille audit niveau 3\Grille d'audit v1.11\[grille-audit-hvev4-v1.11-vf.xlsx]Identification</v>
      </c>
      <c r="E11">
        <f t="shared" ca="1" si="1"/>
        <v>200</v>
      </c>
      <c r="F11">
        <f t="shared" ca="1" si="2"/>
        <v>214</v>
      </c>
      <c r="G11" t="str">
        <f t="shared" ca="1" si="3"/>
        <v>Identification</v>
      </c>
      <c r="H11" cm="1">
        <f t="array" aca="1" ref="H11" ca="1">ROW(INDIRECT(A11))</f>
        <v>34</v>
      </c>
      <c r="I11" cm="1">
        <f t="array" aca="1" ref="I11" ca="1">COLUMN(INDIRECT(A11))</f>
        <v>6</v>
      </c>
      <c r="M11" t="str" cm="1">
        <f t="array" aca="1" ref="M11" ca="1">IF(AND(J11="O",ISBLANK(INDIRECT(A11))),"Valeur obligatoire non renseignée","")</f>
        <v/>
      </c>
    </row>
    <row r="12" spans="1:13" x14ac:dyDescent="0.25">
      <c r="A12" s="91" t="s">
        <v>2912</v>
      </c>
      <c r="B12" t="str" cm="1">
        <f t="array" aca="1" ref="B12" ca="1">INDIRECT(A12)</f>
        <v/>
      </c>
      <c r="C12">
        <f t="shared" ca="1" si="0"/>
        <v>3</v>
      </c>
      <c r="D12" t="str" cm="1">
        <f t="array" aca="1" ref="D12" ca="1">CELL("nomfichier",INDIRECT(A12))</f>
        <v>G:\SCPE\sdc\bq\6 - Mentions valorisantes\Certification environnementale\TEXTES_REGLEMENTATION_CE\Plans_contrôle et grilles\Grille audit niveau 3\Grille d'audit v1.11\[grille-audit-hvev4-v1.11-vf.xlsx]Identification</v>
      </c>
      <c r="E12">
        <f t="shared" ca="1" si="1"/>
        <v>200</v>
      </c>
      <c r="F12">
        <f t="shared" ca="1" si="2"/>
        <v>214</v>
      </c>
      <c r="G12" t="str">
        <f t="shared" ca="1" si="3"/>
        <v>Identification</v>
      </c>
      <c r="H12" cm="1">
        <f t="array" aca="1" ref="H12" ca="1">ROW(INDIRECT(A12))</f>
        <v>36</v>
      </c>
      <c r="I12" cm="1">
        <f t="array" aca="1" ref="I12" ca="1">COLUMN(INDIRECT(A12))</f>
        <v>18</v>
      </c>
      <c r="M12" t="str" cm="1">
        <f t="array" aca="1" ref="M12" ca="1">IF(AND(J12="O",ISBLANK(INDIRECT(A12))),"Valeur obligatoire non renseignée","")</f>
        <v/>
      </c>
    </row>
    <row r="13" spans="1:13" x14ac:dyDescent="0.25">
      <c r="A13" s="91" t="s">
        <v>2904</v>
      </c>
      <c r="B13" cm="1">
        <f t="array" aca="1" ref="B13" ca="1">INDIRECT(A13)</f>
        <v>0</v>
      </c>
      <c r="C13">
        <f t="shared" ca="1" si="0"/>
        <v>3</v>
      </c>
      <c r="D13" t="str" cm="1">
        <f t="array" aca="1" ref="D13" ca="1">CELL("nomfichier",INDIRECT(A13))</f>
        <v>G:\SCPE\sdc\bq\6 - Mentions valorisantes\Certification environnementale\TEXTES_REGLEMENTATION_CE\Plans_contrôle et grilles\Grille audit niveau 3\Grille d'audit v1.11\[grille-audit-hvev4-v1.11-vf.xlsx]Identification</v>
      </c>
      <c r="E13">
        <f t="shared" ca="1" si="1"/>
        <v>200</v>
      </c>
      <c r="F13">
        <f t="shared" ca="1" si="2"/>
        <v>214</v>
      </c>
      <c r="G13" t="str">
        <f t="shared" ca="1" si="3"/>
        <v>Identification</v>
      </c>
      <c r="H13" cm="1">
        <f t="array" aca="1" ref="H13" ca="1">ROW(INDIRECT(A13))</f>
        <v>36</v>
      </c>
      <c r="I13" cm="1">
        <f t="array" aca="1" ref="I13" ca="1">COLUMN(INDIRECT(A13))</f>
        <v>6</v>
      </c>
      <c r="M13" t="str" cm="1">
        <f t="array" aca="1" ref="M13" ca="1">IF(AND(J13="O",ISBLANK(INDIRECT(A13))),"Valeur obligatoire non renseignée","")</f>
        <v/>
      </c>
    </row>
    <row r="14" spans="1:13" x14ac:dyDescent="0.25">
      <c r="A14" s="91" t="s">
        <v>2913</v>
      </c>
      <c r="B14" t="str" cm="1">
        <f t="array" aca="1" ref="B14" ca="1">INDIRECT(A14)</f>
        <v/>
      </c>
      <c r="C14">
        <f t="shared" ca="1" si="0"/>
        <v>3</v>
      </c>
      <c r="D14" t="str" cm="1">
        <f t="array" aca="1" ref="D14" ca="1">CELL("nomfichier",INDIRECT(A14))</f>
        <v>G:\SCPE\sdc\bq\6 - Mentions valorisantes\Certification environnementale\TEXTES_REGLEMENTATION_CE\Plans_contrôle et grilles\Grille audit niveau 3\Grille d'audit v1.11\[grille-audit-hvev4-v1.11-vf.xlsx]Identification</v>
      </c>
      <c r="E14">
        <f t="shared" ca="1" si="1"/>
        <v>200</v>
      </c>
      <c r="F14">
        <f t="shared" ca="1" si="2"/>
        <v>214</v>
      </c>
      <c r="G14" t="str">
        <f t="shared" ca="1" si="3"/>
        <v>Identification</v>
      </c>
      <c r="H14" cm="1">
        <f t="array" aca="1" ref="H14" ca="1">ROW(INDIRECT(A14))</f>
        <v>38</v>
      </c>
      <c r="I14" cm="1">
        <f t="array" aca="1" ref="I14" ca="1">COLUMN(INDIRECT(A14))</f>
        <v>18</v>
      </c>
      <c r="M14" t="str" cm="1">
        <f t="array" aca="1" ref="M14" ca="1">IF(AND(J14="O",ISBLANK(INDIRECT(A14))),"Valeur obligatoire non renseignée","")</f>
        <v/>
      </c>
    </row>
    <row r="15" spans="1:13" x14ac:dyDescent="0.25">
      <c r="A15" s="91" t="s">
        <v>2905</v>
      </c>
      <c r="B15" cm="1">
        <f t="array" aca="1" ref="B15" ca="1">INDIRECT(A15)</f>
        <v>0</v>
      </c>
      <c r="C15">
        <f t="shared" ca="1" si="0"/>
        <v>3</v>
      </c>
      <c r="D15" t="str" cm="1">
        <f t="array" aca="1" ref="D15" ca="1">CELL("nomfichier",INDIRECT(A15))</f>
        <v>G:\SCPE\sdc\bq\6 - Mentions valorisantes\Certification environnementale\TEXTES_REGLEMENTATION_CE\Plans_contrôle et grilles\Grille audit niveau 3\Grille d'audit v1.11\[grille-audit-hvev4-v1.11-vf.xlsx]Identification</v>
      </c>
      <c r="E15">
        <f t="shared" ca="1" si="1"/>
        <v>200</v>
      </c>
      <c r="F15">
        <f t="shared" ca="1" si="2"/>
        <v>214</v>
      </c>
      <c r="G15" t="str">
        <f t="shared" ca="1" si="3"/>
        <v>Identification</v>
      </c>
      <c r="H15" cm="1">
        <f t="array" aca="1" ref="H15" ca="1">ROW(INDIRECT(A15))</f>
        <v>38</v>
      </c>
      <c r="I15" cm="1">
        <f t="array" aca="1" ref="I15" ca="1">COLUMN(INDIRECT(A15))</f>
        <v>6</v>
      </c>
      <c r="M15" t="str" cm="1">
        <f t="array" aca="1" ref="M15" ca="1">IF(AND(J15="O",ISBLANK(INDIRECT(A15))),"Valeur obligatoire non renseignée","")</f>
        <v/>
      </c>
    </row>
    <row r="16" spans="1:13" x14ac:dyDescent="0.25">
      <c r="A16" s="91" t="s">
        <v>2906</v>
      </c>
      <c r="B16" cm="1">
        <f t="array" aca="1" ref="B16" ca="1">INDIRECT(A16)</f>
        <v>0</v>
      </c>
      <c r="C16">
        <f t="shared" ca="1" si="0"/>
        <v>3</v>
      </c>
      <c r="D16" t="str" cm="1">
        <f t="array" aca="1" ref="D16" ca="1">CELL("nomfichier",INDIRECT(A16))</f>
        <v>G:\SCPE\sdc\bq\6 - Mentions valorisantes\Certification environnementale\TEXTES_REGLEMENTATION_CE\Plans_contrôle et grilles\Grille audit niveau 3\Grille d'audit v1.11\[grille-audit-hvev4-v1.11-vf.xlsx]Identification</v>
      </c>
      <c r="E16">
        <f t="shared" ca="1" si="1"/>
        <v>200</v>
      </c>
      <c r="F16">
        <f t="shared" ca="1" si="2"/>
        <v>214</v>
      </c>
      <c r="G16" t="str">
        <f t="shared" ca="1" si="3"/>
        <v>Identification</v>
      </c>
      <c r="H16" cm="1">
        <f t="array" aca="1" ref="H16" ca="1">ROW(INDIRECT(A16))</f>
        <v>40</v>
      </c>
      <c r="I16" cm="1">
        <f t="array" aca="1" ref="I16" ca="1">COLUMN(INDIRECT(A16))</f>
        <v>6</v>
      </c>
      <c r="M16" t="str" cm="1">
        <f t="array" aca="1" ref="M16" ca="1">IF(AND(J16="O",ISBLANK(INDIRECT(A16))),"Valeur obligatoire non renseignée","")</f>
        <v/>
      </c>
    </row>
    <row r="17" spans="1:13" x14ac:dyDescent="0.25">
      <c r="A17" s="91" t="s">
        <v>2907</v>
      </c>
      <c r="B17" cm="1">
        <f t="array" aca="1" ref="B17" ca="1">INDIRECT(A17)</f>
        <v>0</v>
      </c>
      <c r="C17">
        <f t="shared" ca="1" si="0"/>
        <v>3</v>
      </c>
      <c r="D17" t="str" cm="1">
        <f t="array" aca="1" ref="D17" ca="1">CELL("nomfichier",INDIRECT(A17))</f>
        <v>G:\SCPE\sdc\bq\6 - Mentions valorisantes\Certification environnementale\TEXTES_REGLEMENTATION_CE\Plans_contrôle et grilles\Grille audit niveau 3\Grille d'audit v1.11\[grille-audit-hvev4-v1.11-vf.xlsx]Identification</v>
      </c>
      <c r="E17">
        <f t="shared" ca="1" si="1"/>
        <v>200</v>
      </c>
      <c r="F17">
        <f t="shared" ca="1" si="2"/>
        <v>214</v>
      </c>
      <c r="G17" t="str">
        <f t="shared" ca="1" si="3"/>
        <v>Identification</v>
      </c>
      <c r="H17" cm="1">
        <f t="array" aca="1" ref="H17" ca="1">ROW(INDIRECT(A17))</f>
        <v>43</v>
      </c>
      <c r="I17" cm="1">
        <f t="array" aca="1" ref="I17" ca="1">COLUMN(INDIRECT(A17))</f>
        <v>6</v>
      </c>
      <c r="M17" t="str" cm="1">
        <f t="array" aca="1" ref="M17" ca="1">IF(AND(J17="O",ISBLANK(INDIRECT(A17))),"Valeur obligatoire non renseignée","")</f>
        <v/>
      </c>
    </row>
    <row r="18" spans="1:13" x14ac:dyDescent="0.25">
      <c r="A18" s="91" t="s">
        <v>2914</v>
      </c>
      <c r="B18" cm="1">
        <f t="array" aca="1" ref="B18" ca="1">INDIRECT(A18)</f>
        <v>0</v>
      </c>
      <c r="C18">
        <f t="shared" ca="1" si="0"/>
        <v>3</v>
      </c>
      <c r="D18" t="str" cm="1">
        <f t="array" aca="1" ref="D18" ca="1">CELL("nomfichier",INDIRECT(A18))</f>
        <v>G:\SCPE\sdc\bq\6 - Mentions valorisantes\Certification environnementale\TEXTES_REGLEMENTATION_CE\Plans_contrôle et grilles\Grille audit niveau 3\Grille d'audit v1.11\[grille-audit-hvev4-v1.11-vf.xlsx]Identification</v>
      </c>
      <c r="E18">
        <f t="shared" ca="1" si="1"/>
        <v>200</v>
      </c>
      <c r="F18">
        <f t="shared" ca="1" si="2"/>
        <v>214</v>
      </c>
      <c r="G18" t="str">
        <f t="shared" ca="1" si="3"/>
        <v>Identification</v>
      </c>
      <c r="H18" cm="1">
        <f t="array" aca="1" ref="H18" ca="1">ROW(INDIRECT(A18))</f>
        <v>43</v>
      </c>
      <c r="I18" cm="1">
        <f t="array" aca="1" ref="I18" ca="1">COLUMN(INDIRECT(A18))</f>
        <v>18</v>
      </c>
      <c r="M18" t="str" cm="1">
        <f t="array" aca="1" ref="M18" ca="1">IF(AND(J18="O",ISBLANK(INDIRECT(A18))),"Valeur obligatoire non renseignée","")</f>
        <v/>
      </c>
    </row>
    <row r="19" spans="1:13" x14ac:dyDescent="0.25">
      <c r="A19" s="91" t="s">
        <v>2908</v>
      </c>
      <c r="B19" cm="1">
        <f t="array" aca="1" ref="B19" ca="1">INDIRECT(A19)</f>
        <v>0</v>
      </c>
      <c r="C19">
        <f t="shared" ca="1" si="0"/>
        <v>3</v>
      </c>
      <c r="D19" t="str" cm="1">
        <f t="array" aca="1" ref="D19" ca="1">CELL("nomfichier",INDIRECT(A19))</f>
        <v>G:\SCPE\sdc\bq\6 - Mentions valorisantes\Certification environnementale\TEXTES_REGLEMENTATION_CE\Plans_contrôle et grilles\Grille audit niveau 3\Grille d'audit v1.11\[grille-audit-hvev4-v1.11-vf.xlsx]Identification</v>
      </c>
      <c r="E19">
        <f t="shared" ca="1" si="1"/>
        <v>200</v>
      </c>
      <c r="F19">
        <f t="shared" ca="1" si="2"/>
        <v>214</v>
      </c>
      <c r="G19" t="str">
        <f t="shared" ca="1" si="3"/>
        <v>Identification</v>
      </c>
      <c r="H19" cm="1">
        <f t="array" aca="1" ref="H19" ca="1">ROW(INDIRECT(A19))</f>
        <v>45</v>
      </c>
      <c r="I19" cm="1">
        <f t="array" aca="1" ref="I19" ca="1">COLUMN(INDIRECT(A19))</f>
        <v>6</v>
      </c>
      <c r="M19" t="str" cm="1">
        <f t="array" aca="1" ref="M19" ca="1">IF(AND(J19="O",ISBLANK(INDIRECT(A19))),"Valeur obligatoire non renseignée","")</f>
        <v/>
      </c>
    </row>
    <row r="20" spans="1:13" x14ac:dyDescent="0.25">
      <c r="A20" s="91" t="s">
        <v>2915</v>
      </c>
      <c r="B20" cm="1">
        <f t="array" aca="1" ref="B20" ca="1">INDIRECT(A20)</f>
        <v>0</v>
      </c>
      <c r="C20">
        <f t="shared" ca="1" si="0"/>
        <v>3</v>
      </c>
      <c r="D20" t="str" cm="1">
        <f t="array" aca="1" ref="D20" ca="1">CELL("nomfichier",INDIRECT(A20))</f>
        <v>G:\SCPE\sdc\bq\6 - Mentions valorisantes\Certification environnementale\TEXTES_REGLEMENTATION_CE\Plans_contrôle et grilles\Grille audit niveau 3\Grille d'audit v1.11\[grille-audit-hvev4-v1.11-vf.xlsx]Identification</v>
      </c>
      <c r="E20">
        <f t="shared" ca="1" si="1"/>
        <v>200</v>
      </c>
      <c r="F20">
        <f t="shared" ca="1" si="2"/>
        <v>214</v>
      </c>
      <c r="G20" t="str">
        <f t="shared" ca="1" si="3"/>
        <v>Identification</v>
      </c>
      <c r="H20" cm="1">
        <f t="array" aca="1" ref="H20" ca="1">ROW(INDIRECT(A20))</f>
        <v>45</v>
      </c>
      <c r="I20" cm="1">
        <f t="array" aca="1" ref="I20" ca="1">COLUMN(INDIRECT(A20))</f>
        <v>18</v>
      </c>
      <c r="M20" t="str" cm="1">
        <f t="array" aca="1" ref="M20" ca="1">IF(AND(J20="O",ISBLANK(INDIRECT(A20))),"Valeur obligatoire non renseignée","")</f>
        <v/>
      </c>
    </row>
    <row r="21" spans="1:13" x14ac:dyDescent="0.25">
      <c r="A21" s="91" t="s">
        <v>2909</v>
      </c>
      <c r="B21" cm="1">
        <f t="array" aca="1" ref="B21" ca="1">INDIRECT(A21)</f>
        <v>0</v>
      </c>
      <c r="C21">
        <f t="shared" ca="1" si="0"/>
        <v>3</v>
      </c>
      <c r="D21" t="str" cm="1">
        <f t="array" aca="1" ref="D21" ca="1">CELL("nomfichier",INDIRECT(A21))</f>
        <v>G:\SCPE\sdc\bq\6 - Mentions valorisantes\Certification environnementale\TEXTES_REGLEMENTATION_CE\Plans_contrôle et grilles\Grille audit niveau 3\Grille d'audit v1.11\[grille-audit-hvev4-v1.11-vf.xlsx]Identification</v>
      </c>
      <c r="E21">
        <f t="shared" ca="1" si="1"/>
        <v>200</v>
      </c>
      <c r="F21">
        <f t="shared" ca="1" si="2"/>
        <v>214</v>
      </c>
      <c r="G21" t="str">
        <f t="shared" ca="1" si="3"/>
        <v>Identification</v>
      </c>
      <c r="H21" cm="1">
        <f t="array" aca="1" ref="H21" ca="1">ROW(INDIRECT(A21))</f>
        <v>47</v>
      </c>
      <c r="I21" cm="1">
        <f t="array" aca="1" ref="I21" ca="1">COLUMN(INDIRECT(A21))</f>
        <v>6</v>
      </c>
      <c r="M21" t="str" cm="1">
        <f t="array" aca="1" ref="M21" ca="1">IF(AND(J21="O",ISBLANK(INDIRECT(A21))),"Valeur obligatoire non renseignée","")</f>
        <v/>
      </c>
    </row>
    <row r="22" spans="1:13" x14ac:dyDescent="0.25">
      <c r="A22" s="91" t="s">
        <v>2916</v>
      </c>
      <c r="B22" cm="1">
        <f t="array" aca="1" ref="B22" ca="1">INDIRECT(A22)</f>
        <v>0</v>
      </c>
      <c r="C22">
        <f t="shared" ca="1" si="0"/>
        <v>3</v>
      </c>
      <c r="D22" t="str" cm="1">
        <f t="array" aca="1" ref="D22" ca="1">CELL("nomfichier",INDIRECT(A22))</f>
        <v>G:\SCPE\sdc\bq\6 - Mentions valorisantes\Certification environnementale\TEXTES_REGLEMENTATION_CE\Plans_contrôle et grilles\Grille audit niveau 3\Grille d'audit v1.11\[grille-audit-hvev4-v1.11-vf.xlsx]Identification</v>
      </c>
      <c r="E22">
        <f t="shared" ca="1" si="1"/>
        <v>200</v>
      </c>
      <c r="F22">
        <f t="shared" ca="1" si="2"/>
        <v>214</v>
      </c>
      <c r="G22" t="str">
        <f t="shared" ca="1" si="3"/>
        <v>Identification</v>
      </c>
      <c r="H22" cm="1">
        <f t="array" aca="1" ref="H22" ca="1">ROW(INDIRECT(A22))</f>
        <v>47</v>
      </c>
      <c r="I22" cm="1">
        <f t="array" aca="1" ref="I22" ca="1">COLUMN(INDIRECT(A22))</f>
        <v>18</v>
      </c>
      <c r="M22" t="str" cm="1">
        <f t="array" aca="1" ref="M22" ca="1">IF(AND(J22="O",ISBLANK(INDIRECT(A22))),"Valeur obligatoire non renseignée","")</f>
        <v/>
      </c>
    </row>
    <row r="23" spans="1:13" x14ac:dyDescent="0.25">
      <c r="A23" s="91" t="s">
        <v>2910</v>
      </c>
      <c r="B23" cm="1">
        <f t="array" aca="1" ref="B23" ca="1">INDIRECT(A23)</f>
        <v>0</v>
      </c>
      <c r="C23">
        <f t="shared" ca="1" si="0"/>
        <v>3</v>
      </c>
      <c r="D23" t="str" cm="1">
        <f t="array" aca="1" ref="D23" ca="1">CELL("nomfichier",INDIRECT(A23))</f>
        <v>G:\SCPE\sdc\bq\6 - Mentions valorisantes\Certification environnementale\TEXTES_REGLEMENTATION_CE\Plans_contrôle et grilles\Grille audit niveau 3\Grille d'audit v1.11\[grille-audit-hvev4-v1.11-vf.xlsx]Identification</v>
      </c>
      <c r="E23">
        <f t="shared" ca="1" si="1"/>
        <v>200</v>
      </c>
      <c r="F23">
        <f t="shared" ca="1" si="2"/>
        <v>214</v>
      </c>
      <c r="G23" t="str">
        <f t="shared" ca="1" si="3"/>
        <v>Identification</v>
      </c>
      <c r="H23" cm="1">
        <f t="array" aca="1" ref="H23" ca="1">ROW(INDIRECT(A23))</f>
        <v>49</v>
      </c>
      <c r="I23" cm="1">
        <f t="array" aca="1" ref="I23" ca="1">COLUMN(INDIRECT(A23))</f>
        <v>6</v>
      </c>
      <c r="M23" t="str" cm="1">
        <f t="array" aca="1" ref="M23" ca="1">IF(AND(J23="O",ISBLANK(INDIRECT(A23))),"Valeur obligatoire non renseignée","")</f>
        <v/>
      </c>
    </row>
    <row r="24" spans="1:13" x14ac:dyDescent="0.25">
      <c r="A24" s="91" t="s">
        <v>2917</v>
      </c>
      <c r="B24" cm="1">
        <f t="array" aca="1" ref="B24" ca="1">INDIRECT(A24)</f>
        <v>0</v>
      </c>
      <c r="C24">
        <f t="shared" ca="1" si="0"/>
        <v>3</v>
      </c>
      <c r="D24" t="str" cm="1">
        <f t="array" aca="1" ref="D24" ca="1">CELL("nomfichier",INDIRECT(A24))</f>
        <v>G:\SCPE\sdc\bq\6 - Mentions valorisantes\Certification environnementale\TEXTES_REGLEMENTATION_CE\Plans_contrôle et grilles\Grille audit niveau 3\Grille d'audit v1.11\[grille-audit-hvev4-v1.11-vf.xlsx]Identification</v>
      </c>
      <c r="E24">
        <f t="shared" ca="1" si="1"/>
        <v>200</v>
      </c>
      <c r="F24">
        <f t="shared" ca="1" si="2"/>
        <v>214</v>
      </c>
      <c r="G24" t="str">
        <f t="shared" ca="1" si="3"/>
        <v>Identification</v>
      </c>
      <c r="H24" cm="1">
        <f t="array" aca="1" ref="H24" ca="1">ROW(INDIRECT(A24))</f>
        <v>49</v>
      </c>
      <c r="I24" cm="1">
        <f t="array" aca="1" ref="I24" ca="1">COLUMN(INDIRECT(A24))</f>
        <v>22</v>
      </c>
      <c r="M24" t="str" cm="1">
        <f t="array" aca="1" ref="M24" ca="1">IF(AND(J24="O",ISBLANK(INDIRECT(A24))),"Valeur obligatoire non renseignée","")</f>
        <v/>
      </c>
    </row>
    <row r="25" spans="1:13" x14ac:dyDescent="0.25">
      <c r="A25" s="91" t="s">
        <v>2918</v>
      </c>
      <c r="B25" cm="1">
        <f t="array" aca="1" ref="B25" ca="1">INDIRECT(A25)</f>
        <v>0</v>
      </c>
      <c r="C25">
        <f t="shared" ca="1" si="0"/>
        <v>3</v>
      </c>
      <c r="D25" t="str" cm="1">
        <f t="array" aca="1" ref="D25" ca="1">CELL("nomfichier",INDIRECT(A25))</f>
        <v>G:\SCPE\sdc\bq\6 - Mentions valorisantes\Certification environnementale\TEXTES_REGLEMENTATION_CE\Plans_contrôle et grilles\Grille audit niveau 3\Grille d'audit v1.11\[grille-audit-hvev4-v1.11-vf.xlsx]Identification</v>
      </c>
      <c r="E25">
        <f t="shared" ca="1" si="1"/>
        <v>200</v>
      </c>
      <c r="F25">
        <f t="shared" ca="1" si="2"/>
        <v>214</v>
      </c>
      <c r="G25" t="str">
        <f t="shared" ca="1" si="3"/>
        <v>Identification</v>
      </c>
      <c r="H25" cm="1">
        <f t="array" aca="1" ref="H25" ca="1">ROW(INDIRECT(A25))</f>
        <v>56</v>
      </c>
      <c r="I25" cm="1">
        <f t="array" aca="1" ref="I25" ca="1">COLUMN(INDIRECT(A25))</f>
        <v>6</v>
      </c>
      <c r="M25" t="str" cm="1">
        <f t="array" aca="1" ref="M25" ca="1">IF(AND(J25="O",ISBLANK(INDIRECT(A25))),"Valeur obligatoire non renseignée","")</f>
        <v/>
      </c>
    </row>
    <row r="26" spans="1:13" x14ac:dyDescent="0.25">
      <c r="A26" s="91" t="s">
        <v>2919</v>
      </c>
      <c r="B26" cm="1">
        <f t="array" aca="1" ref="B26" ca="1">INDIRECT(A26)</f>
        <v>0</v>
      </c>
      <c r="C26">
        <f t="shared" ca="1" si="0"/>
        <v>3</v>
      </c>
      <c r="D26" t="str" cm="1">
        <f t="array" aca="1" ref="D26" ca="1">CELL("nomfichier",INDIRECT(A26))</f>
        <v>G:\SCPE\sdc\bq\6 - Mentions valorisantes\Certification environnementale\TEXTES_REGLEMENTATION_CE\Plans_contrôle et grilles\Grille audit niveau 3\Grille d'audit v1.11\[grille-audit-hvev4-v1.11-vf.xlsx]Identification</v>
      </c>
      <c r="E26">
        <f t="shared" ca="1" si="1"/>
        <v>200</v>
      </c>
      <c r="F26">
        <f t="shared" ca="1" si="2"/>
        <v>214</v>
      </c>
      <c r="G26" t="str">
        <f t="shared" ca="1" si="3"/>
        <v>Identification</v>
      </c>
      <c r="H26" cm="1">
        <f t="array" aca="1" ref="H26" ca="1">ROW(INDIRECT(A26))</f>
        <v>61</v>
      </c>
      <c r="I26" cm="1">
        <f t="array" aca="1" ref="I26" ca="1">COLUMN(INDIRECT(A26))</f>
        <v>8</v>
      </c>
      <c r="M26" t="str" cm="1">
        <f t="array" aca="1" ref="M26" ca="1">IF(AND(J26="O",ISBLANK(INDIRECT(A26))),"Valeur obligatoire non renseignée","")</f>
        <v/>
      </c>
    </row>
    <row r="27" spans="1:13" x14ac:dyDescent="0.25">
      <c r="A27" s="91" t="s">
        <v>2922</v>
      </c>
      <c r="B27" cm="1">
        <f t="array" aca="1" ref="B27" ca="1">INDIRECT(A27)</f>
        <v>0</v>
      </c>
      <c r="C27">
        <f t="shared" ca="1" si="0"/>
        <v>3</v>
      </c>
      <c r="D27" t="str" cm="1">
        <f t="array" aca="1" ref="D27" ca="1">CELL("nomfichier",INDIRECT(A27))</f>
        <v>G:\SCPE\sdc\bq\6 - Mentions valorisantes\Certification environnementale\TEXTES_REGLEMENTATION_CE\Plans_contrôle et grilles\Grille audit niveau 3\Grille d'audit v1.11\[grille-audit-hvev4-v1.11-vf.xlsx]Identification</v>
      </c>
      <c r="E27">
        <f t="shared" ca="1" si="1"/>
        <v>200</v>
      </c>
      <c r="F27">
        <f t="shared" ca="1" si="2"/>
        <v>214</v>
      </c>
      <c r="G27" t="str">
        <f t="shared" ca="1" si="3"/>
        <v>Identification</v>
      </c>
      <c r="H27" cm="1">
        <f t="array" aca="1" ref="H27" ca="1">ROW(INDIRECT(A27))</f>
        <v>61</v>
      </c>
      <c r="I27" cm="1">
        <f t="array" aca="1" ref="I27" ca="1">COLUMN(INDIRECT(A27))</f>
        <v>20</v>
      </c>
      <c r="M27" t="str" cm="1">
        <f t="array" aca="1" ref="M27" ca="1">IF(AND(J27="O",ISBLANK(INDIRECT(A27))),"Valeur obligatoire non renseignée","")</f>
        <v/>
      </c>
    </row>
    <row r="28" spans="1:13" x14ac:dyDescent="0.25">
      <c r="A28" s="91" t="s">
        <v>2920</v>
      </c>
      <c r="B28" cm="1">
        <f t="array" aca="1" ref="B28" ca="1">INDIRECT(A28)</f>
        <v>0</v>
      </c>
      <c r="C28">
        <f t="shared" ca="1" si="0"/>
        <v>3</v>
      </c>
      <c r="D28" t="str" cm="1">
        <f t="array" aca="1" ref="D28" ca="1">CELL("nomfichier",INDIRECT(A28))</f>
        <v>G:\SCPE\sdc\bq\6 - Mentions valorisantes\Certification environnementale\TEXTES_REGLEMENTATION_CE\Plans_contrôle et grilles\Grille audit niveau 3\Grille d'audit v1.11\[grille-audit-hvev4-v1.11-vf.xlsx]Identification</v>
      </c>
      <c r="E28">
        <f t="shared" ca="1" si="1"/>
        <v>200</v>
      </c>
      <c r="F28">
        <f t="shared" ca="1" si="2"/>
        <v>214</v>
      </c>
      <c r="G28" t="str">
        <f t="shared" ca="1" si="3"/>
        <v>Identification</v>
      </c>
      <c r="H28" cm="1">
        <f t="array" aca="1" ref="H28" ca="1">ROW(INDIRECT(A28))</f>
        <v>63</v>
      </c>
      <c r="I28" cm="1">
        <f t="array" aca="1" ref="I28" ca="1">COLUMN(INDIRECT(A28))</f>
        <v>8</v>
      </c>
      <c r="M28" t="str" cm="1">
        <f t="array" aca="1" ref="M28" ca="1">IF(AND(J28="O",ISBLANK(INDIRECT(A28))),"Valeur obligatoire non renseignée","")</f>
        <v/>
      </c>
    </row>
    <row r="29" spans="1:13" x14ac:dyDescent="0.25">
      <c r="A29" s="91" t="s">
        <v>2923</v>
      </c>
      <c r="B29" cm="1">
        <f t="array" aca="1" ref="B29" ca="1">INDIRECT(A29)</f>
        <v>0</v>
      </c>
      <c r="C29">
        <f t="shared" ca="1" si="0"/>
        <v>3</v>
      </c>
      <c r="D29" t="str" cm="1">
        <f t="array" aca="1" ref="D29" ca="1">CELL("nomfichier",INDIRECT(A29))</f>
        <v>G:\SCPE\sdc\bq\6 - Mentions valorisantes\Certification environnementale\TEXTES_REGLEMENTATION_CE\Plans_contrôle et grilles\Grille audit niveau 3\Grille d'audit v1.11\[grille-audit-hvev4-v1.11-vf.xlsx]Identification</v>
      </c>
      <c r="E29">
        <f t="shared" ca="1" si="1"/>
        <v>200</v>
      </c>
      <c r="F29">
        <f t="shared" ca="1" si="2"/>
        <v>214</v>
      </c>
      <c r="G29" t="str">
        <f t="shared" ca="1" si="3"/>
        <v>Identification</v>
      </c>
      <c r="H29" cm="1">
        <f t="array" aca="1" ref="H29" ca="1">ROW(INDIRECT(A29))</f>
        <v>63</v>
      </c>
      <c r="I29" cm="1">
        <f t="array" aca="1" ref="I29" ca="1">COLUMN(INDIRECT(A29))</f>
        <v>20</v>
      </c>
      <c r="M29" t="str" cm="1">
        <f t="array" aca="1" ref="M29" ca="1">IF(AND(J29="O",ISBLANK(INDIRECT(A29))),"Valeur obligatoire non renseignée","")</f>
        <v/>
      </c>
    </row>
    <row r="30" spans="1:13" x14ac:dyDescent="0.25">
      <c r="A30" s="91" t="s">
        <v>2921</v>
      </c>
      <c r="B30" cm="1">
        <f t="array" aca="1" ref="B30" ca="1">INDIRECT(A30)</f>
        <v>0</v>
      </c>
      <c r="C30">
        <f t="shared" ca="1" si="0"/>
        <v>3</v>
      </c>
      <c r="D30" t="str" cm="1">
        <f t="array" aca="1" ref="D30" ca="1">CELL("nomfichier",INDIRECT(A30))</f>
        <v>G:\SCPE\sdc\bq\6 - Mentions valorisantes\Certification environnementale\TEXTES_REGLEMENTATION_CE\Plans_contrôle et grilles\Grille audit niveau 3\Grille d'audit v1.11\[grille-audit-hvev4-v1.11-vf.xlsx]Identification</v>
      </c>
      <c r="E30">
        <f t="shared" ca="1" si="1"/>
        <v>200</v>
      </c>
      <c r="F30">
        <f t="shared" ca="1" si="2"/>
        <v>214</v>
      </c>
      <c r="G30" t="str">
        <f t="shared" ca="1" si="3"/>
        <v>Identification</v>
      </c>
      <c r="H30" cm="1">
        <f t="array" aca="1" ref="H30" ca="1">ROW(INDIRECT(A30))</f>
        <v>65</v>
      </c>
      <c r="I30" cm="1">
        <f t="array" aca="1" ref="I30" ca="1">COLUMN(INDIRECT(A30))</f>
        <v>8</v>
      </c>
      <c r="M30" t="str" cm="1">
        <f t="array" aca="1" ref="M30" ca="1">IF(AND(J30="O",ISBLANK(INDIRECT(A30))),"Valeur obligatoire non renseignée","")</f>
        <v/>
      </c>
    </row>
    <row r="31" spans="1:13" x14ac:dyDescent="0.25">
      <c r="A31" s="91" t="s">
        <v>2924</v>
      </c>
      <c r="B31" cm="1">
        <f t="array" aca="1" ref="B31" ca="1">INDIRECT(A31)</f>
        <v>0</v>
      </c>
      <c r="C31">
        <f t="shared" ca="1" si="0"/>
        <v>3</v>
      </c>
      <c r="D31" t="str" cm="1">
        <f t="array" aca="1" ref="D31" ca="1">CELL("nomfichier",INDIRECT(A31))</f>
        <v>G:\SCPE\sdc\bq\6 - Mentions valorisantes\Certification environnementale\TEXTES_REGLEMENTATION_CE\Plans_contrôle et grilles\Grille audit niveau 3\Grille d'audit v1.11\[grille-audit-hvev4-v1.11-vf.xlsx]Identification</v>
      </c>
      <c r="E31">
        <f t="shared" ca="1" si="1"/>
        <v>200</v>
      </c>
      <c r="F31">
        <f t="shared" ca="1" si="2"/>
        <v>214</v>
      </c>
      <c r="G31" t="str">
        <f t="shared" ca="1" si="3"/>
        <v>Identification</v>
      </c>
      <c r="H31" cm="1">
        <f t="array" aca="1" ref="H31" ca="1">ROW(INDIRECT(A31))</f>
        <v>65</v>
      </c>
      <c r="I31" cm="1">
        <f t="array" aca="1" ref="I31" ca="1">COLUMN(INDIRECT(A31))</f>
        <v>20</v>
      </c>
      <c r="M31" t="str" cm="1">
        <f t="array" aca="1" ref="M31" ca="1">IF(AND(J31="O",ISBLANK(INDIRECT(A31))),"Valeur obligatoire non renseignée","")</f>
        <v/>
      </c>
    </row>
    <row r="32" spans="1:13" x14ac:dyDescent="0.25">
      <c r="A32" s="91" t="s">
        <v>2925</v>
      </c>
      <c r="B32" cm="1">
        <f t="array" aca="1" ref="B32" ca="1">INDIRECT(A32)</f>
        <v>0</v>
      </c>
      <c r="C32">
        <f t="shared" ca="1" si="0"/>
        <v>3</v>
      </c>
      <c r="D32" t="str" cm="1">
        <f t="array" aca="1" ref="D32" ca="1">CELL("nomfichier",INDIRECT(A32))</f>
        <v>G:\SCPE\sdc\bq\6 - Mentions valorisantes\Certification environnementale\TEXTES_REGLEMENTATION_CE\Plans_contrôle et grilles\Grille audit niveau 3\Grille d'audit v1.11\[grille-audit-hvev4-v1.11-vf.xlsx]Identification</v>
      </c>
      <c r="E32">
        <f t="shared" ca="1" si="1"/>
        <v>200</v>
      </c>
      <c r="F32">
        <f t="shared" ca="1" si="2"/>
        <v>214</v>
      </c>
      <c r="G32" t="str">
        <f t="shared" ca="1" si="3"/>
        <v>Identification</v>
      </c>
      <c r="H32" cm="1">
        <f t="array" aca="1" ref="H32" ca="1">ROW(INDIRECT(A32))</f>
        <v>72</v>
      </c>
      <c r="I32" cm="1">
        <f t="array" aca="1" ref="I32" ca="1">COLUMN(INDIRECT(A32))</f>
        <v>6</v>
      </c>
      <c r="M32" t="str" cm="1">
        <f t="array" aca="1" ref="M32" ca="1">IF(AND(J32="O",ISBLANK(INDIRECT(A32))),"Valeur obligatoire non renseignée","")</f>
        <v/>
      </c>
    </row>
    <row r="33" spans="1:13" x14ac:dyDescent="0.25">
      <c r="A33" s="91" t="s">
        <v>2926</v>
      </c>
      <c r="B33" cm="1">
        <f t="array" aca="1" ref="B33" ca="1">INDIRECT(A33)</f>
        <v>0</v>
      </c>
      <c r="C33">
        <f t="shared" ca="1" si="0"/>
        <v>3</v>
      </c>
      <c r="D33" t="str" cm="1">
        <f t="array" aca="1" ref="D33" ca="1">CELL("nomfichier",INDIRECT(A33))</f>
        <v>G:\SCPE\sdc\bq\6 - Mentions valorisantes\Certification environnementale\TEXTES_REGLEMENTATION_CE\Plans_contrôle et grilles\Grille audit niveau 3\Grille d'audit v1.11\[grille-audit-hvev4-v1.11-vf.xlsx]Identification</v>
      </c>
      <c r="E33">
        <f t="shared" ca="1" si="1"/>
        <v>200</v>
      </c>
      <c r="F33">
        <f t="shared" ca="1" si="2"/>
        <v>214</v>
      </c>
      <c r="G33" t="str">
        <f t="shared" ca="1" si="3"/>
        <v>Identification</v>
      </c>
      <c r="H33" cm="1">
        <f t="array" aca="1" ref="H33" ca="1">ROW(INDIRECT(A33))</f>
        <v>81</v>
      </c>
      <c r="I33" cm="1">
        <f t="array" aca="1" ref="I33" ca="1">COLUMN(INDIRECT(A33))</f>
        <v>12</v>
      </c>
      <c r="M33" t="str" cm="1">
        <f t="array" aca="1" ref="M33" ca="1">IF(AND(J33="O",ISBLANK(INDIRECT(A33))),"Valeur obligatoire non renseignée","")</f>
        <v/>
      </c>
    </row>
    <row r="34" spans="1:13" x14ac:dyDescent="0.25">
      <c r="A34" s="91" t="s">
        <v>2927</v>
      </c>
      <c r="B34" cm="1">
        <f t="array" aca="1" ref="B34" ca="1">INDIRECT(A34)</f>
        <v>0</v>
      </c>
      <c r="C34">
        <f t="shared" ca="1" si="0"/>
        <v>3</v>
      </c>
      <c r="D34" t="str" cm="1">
        <f t="array" aca="1" ref="D34" ca="1">CELL("nomfichier",INDIRECT(A34))</f>
        <v>G:\SCPE\sdc\bq\6 - Mentions valorisantes\Certification environnementale\TEXTES_REGLEMENTATION_CE\Plans_contrôle et grilles\Grille audit niveau 3\Grille d'audit v1.11\[grille-audit-hvev4-v1.11-vf.xlsx]Identification</v>
      </c>
      <c r="E34">
        <f t="shared" ca="1" si="1"/>
        <v>200</v>
      </c>
      <c r="F34">
        <f t="shared" ca="1" si="2"/>
        <v>214</v>
      </c>
      <c r="G34" t="str">
        <f t="shared" ca="1" si="3"/>
        <v>Identification</v>
      </c>
      <c r="H34" cm="1">
        <f t="array" aca="1" ref="H34" ca="1">ROW(INDIRECT(A34))</f>
        <v>86</v>
      </c>
      <c r="I34" cm="1">
        <f t="array" aca="1" ref="I34" ca="1">COLUMN(INDIRECT(A34))</f>
        <v>7</v>
      </c>
      <c r="M34" t="str" cm="1">
        <f t="array" aca="1" ref="M34" ca="1">IF(AND(J34="O",ISBLANK(INDIRECT(A34))),"Valeur obligatoire non renseignée","")</f>
        <v/>
      </c>
    </row>
    <row r="35" spans="1:13" x14ac:dyDescent="0.25">
      <c r="A35" s="503" t="s">
        <v>2928</v>
      </c>
      <c r="B35" cm="1">
        <f t="array" aca="1" ref="B35" ca="1">INDIRECT(A35)</f>
        <v>0</v>
      </c>
      <c r="C35">
        <f t="shared" ca="1" si="0"/>
        <v>4</v>
      </c>
      <c r="D35" t="str" cm="1">
        <f t="array" aca="1" ref="D35" ca="1">CELL("nomfichier",INDIRECT(A35))</f>
        <v>G:\SCPE\sdc\bq\6 - Mentions valorisantes\Certification environnementale\TEXTES_REGLEMENTATION_CE\Plans_contrôle et grilles\Grille audit niveau 3\Grille d'audit v1.11\[grille-audit-hvev4-v1.11-vf.xlsx]Surfaces</v>
      </c>
      <c r="E35">
        <f t="shared" ca="1" si="1"/>
        <v>200</v>
      </c>
      <c r="F35">
        <f t="shared" ca="1" si="2"/>
        <v>208</v>
      </c>
      <c r="G35" t="str">
        <f t="shared" ca="1" si="3"/>
        <v>Surfaces</v>
      </c>
      <c r="H35" cm="1">
        <f t="array" aca="1" ref="H35" ca="1">ROW(INDIRECT(A35))</f>
        <v>22</v>
      </c>
      <c r="I35" cm="1">
        <f t="array" aca="1" ref="I35" ca="1">COLUMN(INDIRECT(A35))</f>
        <v>15</v>
      </c>
      <c r="M35" t="str" cm="1">
        <f t="array" aca="1" ref="M35" ca="1">IF(AND(J35="O",ISBLANK(INDIRECT(A35))),"Valeur obligatoire non renseignée","")</f>
        <v/>
      </c>
    </row>
    <row r="36" spans="1:13" x14ac:dyDescent="0.25">
      <c r="A36" s="503" t="s">
        <v>2994</v>
      </c>
      <c r="B36" cm="1">
        <f t="array" aca="1" ref="B36" ca="1">INDIRECT(A36)</f>
        <v>0</v>
      </c>
      <c r="C36">
        <f t="shared" ca="1" si="0"/>
        <v>4</v>
      </c>
      <c r="D36" t="str" cm="1">
        <f t="array" aca="1" ref="D36" ca="1">CELL("nomfichier",INDIRECT(A36))</f>
        <v>G:\SCPE\sdc\bq\6 - Mentions valorisantes\Certification environnementale\TEXTES_REGLEMENTATION_CE\Plans_contrôle et grilles\Grille audit niveau 3\Grille d'audit v1.11\[grille-audit-hvev4-v1.11-vf.xlsx]Surfaces</v>
      </c>
      <c r="E36">
        <f t="shared" ca="1" si="1"/>
        <v>200</v>
      </c>
      <c r="F36">
        <f t="shared" ca="1" si="2"/>
        <v>208</v>
      </c>
      <c r="G36" t="str">
        <f t="shared" ca="1" si="3"/>
        <v>Surfaces</v>
      </c>
      <c r="H36" cm="1">
        <f t="array" aca="1" ref="H36" ca="1">ROW(INDIRECT(A36))</f>
        <v>22</v>
      </c>
      <c r="I36" cm="1">
        <f t="array" aca="1" ref="I36" ca="1">COLUMN(INDIRECT(A36))</f>
        <v>16</v>
      </c>
      <c r="M36" t="str" cm="1">
        <f t="array" aca="1" ref="M36" ca="1">IF(AND(J36="O",ISBLANK(INDIRECT(A36))),"Valeur obligatoire non renseignée","")</f>
        <v/>
      </c>
    </row>
    <row r="37" spans="1:13" x14ac:dyDescent="0.25">
      <c r="A37" s="503" t="s">
        <v>3060</v>
      </c>
      <c r="B37" cm="1">
        <f t="array" aca="1" ref="B37" ca="1">INDIRECT(A37)</f>
        <v>0</v>
      </c>
      <c r="C37">
        <f t="shared" ca="1" si="0"/>
        <v>4</v>
      </c>
      <c r="D37" t="str" cm="1">
        <f t="array" aca="1" ref="D37" ca="1">CELL("nomfichier",INDIRECT(A37))</f>
        <v>G:\SCPE\sdc\bq\6 - Mentions valorisantes\Certification environnementale\TEXTES_REGLEMENTATION_CE\Plans_contrôle et grilles\Grille audit niveau 3\Grille d'audit v1.11\[grille-audit-hvev4-v1.11-vf.xlsx]Surfaces</v>
      </c>
      <c r="E37">
        <f t="shared" ca="1" si="1"/>
        <v>200</v>
      </c>
      <c r="F37">
        <f t="shared" ca="1" si="2"/>
        <v>208</v>
      </c>
      <c r="G37" t="str">
        <f t="shared" ca="1" si="3"/>
        <v>Surfaces</v>
      </c>
      <c r="H37" cm="1">
        <f t="array" aca="1" ref="H37" ca="1">ROW(INDIRECT(A37))</f>
        <v>22</v>
      </c>
      <c r="I37" cm="1">
        <f t="array" aca="1" ref="I37" ca="1">COLUMN(INDIRECT(A37))</f>
        <v>17</v>
      </c>
      <c r="M37" t="str" cm="1">
        <f t="array" aca="1" ref="M37" ca="1">IF(AND(J37="O",ISBLANK(INDIRECT(A37))),"Valeur obligatoire non renseignée","")</f>
        <v/>
      </c>
    </row>
    <row r="38" spans="1:13" x14ac:dyDescent="0.25">
      <c r="A38" s="503" t="s">
        <v>2929</v>
      </c>
      <c r="B38" cm="1">
        <f t="array" aca="1" ref="B38" ca="1">INDIRECT(A38)</f>
        <v>0</v>
      </c>
      <c r="C38">
        <f t="shared" ca="1" si="0"/>
        <v>4</v>
      </c>
      <c r="D38" t="str" cm="1">
        <f t="array" aca="1" ref="D38" ca="1">CELL("nomfichier",INDIRECT(A38))</f>
        <v>G:\SCPE\sdc\bq\6 - Mentions valorisantes\Certification environnementale\TEXTES_REGLEMENTATION_CE\Plans_contrôle et grilles\Grille audit niveau 3\Grille d'audit v1.11\[grille-audit-hvev4-v1.11-vf.xlsx]Surfaces</v>
      </c>
      <c r="E38">
        <f t="shared" ca="1" si="1"/>
        <v>200</v>
      </c>
      <c r="F38">
        <f t="shared" ca="1" si="2"/>
        <v>208</v>
      </c>
      <c r="G38" t="str">
        <f t="shared" ca="1" si="3"/>
        <v>Surfaces</v>
      </c>
      <c r="H38" cm="1">
        <f t="array" aca="1" ref="H38" ca="1">ROW(INDIRECT(A38))</f>
        <v>24</v>
      </c>
      <c r="I38" cm="1">
        <f t="array" aca="1" ref="I38" ca="1">COLUMN(INDIRECT(A38))</f>
        <v>15</v>
      </c>
      <c r="M38" t="str" cm="1">
        <f t="array" aca="1" ref="M38" ca="1">IF(AND(J38="O",ISBLANK(INDIRECT(A38))),"Valeur obligatoire non renseignée","")</f>
        <v/>
      </c>
    </row>
    <row r="39" spans="1:13" x14ac:dyDescent="0.25">
      <c r="A39" s="503" t="s">
        <v>2995</v>
      </c>
      <c r="B39" cm="1">
        <f t="array" aca="1" ref="B39" ca="1">INDIRECT(A39)</f>
        <v>0</v>
      </c>
      <c r="C39">
        <f t="shared" ca="1" si="0"/>
        <v>4</v>
      </c>
      <c r="D39" t="str" cm="1">
        <f t="array" aca="1" ref="D39" ca="1">CELL("nomfichier",INDIRECT(A39))</f>
        <v>G:\SCPE\sdc\bq\6 - Mentions valorisantes\Certification environnementale\TEXTES_REGLEMENTATION_CE\Plans_contrôle et grilles\Grille audit niveau 3\Grille d'audit v1.11\[grille-audit-hvev4-v1.11-vf.xlsx]Surfaces</v>
      </c>
      <c r="E39">
        <f t="shared" ca="1" si="1"/>
        <v>200</v>
      </c>
      <c r="F39">
        <f t="shared" ca="1" si="2"/>
        <v>208</v>
      </c>
      <c r="G39" t="str">
        <f t="shared" ca="1" si="3"/>
        <v>Surfaces</v>
      </c>
      <c r="H39" cm="1">
        <f t="array" aca="1" ref="H39" ca="1">ROW(INDIRECT(A39))</f>
        <v>24</v>
      </c>
      <c r="I39" cm="1">
        <f t="array" aca="1" ref="I39" ca="1">COLUMN(INDIRECT(A39))</f>
        <v>16</v>
      </c>
      <c r="M39" t="str" cm="1">
        <f t="array" aca="1" ref="M39" ca="1">IF(AND(J39="O",ISBLANK(INDIRECT(A39))),"Valeur obligatoire non renseignée","")</f>
        <v/>
      </c>
    </row>
    <row r="40" spans="1:13" x14ac:dyDescent="0.25">
      <c r="A40" s="503" t="s">
        <v>3061</v>
      </c>
      <c r="B40" cm="1">
        <f t="array" aca="1" ref="B40" ca="1">INDIRECT(A40)</f>
        <v>0</v>
      </c>
      <c r="C40">
        <f t="shared" ca="1" si="0"/>
        <v>4</v>
      </c>
      <c r="D40" t="str" cm="1">
        <f t="array" aca="1" ref="D40" ca="1">CELL("nomfichier",INDIRECT(A40))</f>
        <v>G:\SCPE\sdc\bq\6 - Mentions valorisantes\Certification environnementale\TEXTES_REGLEMENTATION_CE\Plans_contrôle et grilles\Grille audit niveau 3\Grille d'audit v1.11\[grille-audit-hvev4-v1.11-vf.xlsx]Surfaces</v>
      </c>
      <c r="E40">
        <f t="shared" ca="1" si="1"/>
        <v>200</v>
      </c>
      <c r="F40">
        <f t="shared" ca="1" si="2"/>
        <v>208</v>
      </c>
      <c r="G40" t="str">
        <f t="shared" ca="1" si="3"/>
        <v>Surfaces</v>
      </c>
      <c r="H40" cm="1">
        <f t="array" aca="1" ref="H40" ca="1">ROW(INDIRECT(A40))</f>
        <v>24</v>
      </c>
      <c r="I40" cm="1">
        <f t="array" aca="1" ref="I40" ca="1">COLUMN(INDIRECT(A40))</f>
        <v>17</v>
      </c>
      <c r="M40" t="str" cm="1">
        <f t="array" aca="1" ref="M40" ca="1">IF(AND(J40="O",ISBLANK(INDIRECT(A40))),"Valeur obligatoire non renseignée","")</f>
        <v/>
      </c>
    </row>
    <row r="41" spans="1:13" x14ac:dyDescent="0.25">
      <c r="A41" s="503" t="s">
        <v>2930</v>
      </c>
      <c r="B41" cm="1">
        <f t="array" aca="1" ref="B41" ca="1">INDIRECT(A41)</f>
        <v>0</v>
      </c>
      <c r="C41">
        <f t="shared" ca="1" si="0"/>
        <v>4</v>
      </c>
      <c r="D41" t="str" cm="1">
        <f t="array" aca="1" ref="D41" ca="1">CELL("nomfichier",INDIRECT(A41))</f>
        <v>G:\SCPE\sdc\bq\6 - Mentions valorisantes\Certification environnementale\TEXTES_REGLEMENTATION_CE\Plans_contrôle et grilles\Grille audit niveau 3\Grille d'audit v1.11\[grille-audit-hvev4-v1.11-vf.xlsx]Surfaces</v>
      </c>
      <c r="E41">
        <f t="shared" ca="1" si="1"/>
        <v>200</v>
      </c>
      <c r="F41">
        <f t="shared" ca="1" si="2"/>
        <v>208</v>
      </c>
      <c r="G41" t="str">
        <f t="shared" ca="1" si="3"/>
        <v>Surfaces</v>
      </c>
      <c r="H41" cm="1">
        <f t="array" aca="1" ref="H41" ca="1">ROW(INDIRECT(A41))</f>
        <v>26</v>
      </c>
      <c r="I41" cm="1">
        <f t="array" aca="1" ref="I41" ca="1">COLUMN(INDIRECT(A41))</f>
        <v>15</v>
      </c>
      <c r="M41" t="str" cm="1">
        <f t="array" aca="1" ref="M41" ca="1">IF(AND(J41="O",ISBLANK(INDIRECT(A41))),"Valeur obligatoire non renseignée","")</f>
        <v/>
      </c>
    </row>
    <row r="42" spans="1:13" x14ac:dyDescent="0.25">
      <c r="A42" s="503" t="s">
        <v>2996</v>
      </c>
      <c r="B42" cm="1">
        <f t="array" aca="1" ref="B42" ca="1">INDIRECT(A42)</f>
        <v>0</v>
      </c>
      <c r="C42">
        <f t="shared" ca="1" si="0"/>
        <v>4</v>
      </c>
      <c r="D42" t="str" cm="1">
        <f t="array" aca="1" ref="D42" ca="1">CELL("nomfichier",INDIRECT(A42))</f>
        <v>G:\SCPE\sdc\bq\6 - Mentions valorisantes\Certification environnementale\TEXTES_REGLEMENTATION_CE\Plans_contrôle et grilles\Grille audit niveau 3\Grille d'audit v1.11\[grille-audit-hvev4-v1.11-vf.xlsx]Surfaces</v>
      </c>
      <c r="E42">
        <f t="shared" ca="1" si="1"/>
        <v>200</v>
      </c>
      <c r="F42">
        <f t="shared" ca="1" si="2"/>
        <v>208</v>
      </c>
      <c r="G42" t="str">
        <f t="shared" ca="1" si="3"/>
        <v>Surfaces</v>
      </c>
      <c r="H42" cm="1">
        <f t="array" aca="1" ref="H42" ca="1">ROW(INDIRECT(A42))</f>
        <v>26</v>
      </c>
      <c r="I42" cm="1">
        <f t="array" aca="1" ref="I42" ca="1">COLUMN(INDIRECT(A42))</f>
        <v>16</v>
      </c>
      <c r="M42" t="str" cm="1">
        <f t="array" aca="1" ref="M42" ca="1">IF(AND(J42="O",ISBLANK(INDIRECT(A42))),"Valeur obligatoire non renseignée","")</f>
        <v/>
      </c>
    </row>
    <row r="43" spans="1:13" x14ac:dyDescent="0.25">
      <c r="A43" s="503" t="s">
        <v>3062</v>
      </c>
      <c r="B43" cm="1">
        <f t="array" aca="1" ref="B43" ca="1">INDIRECT(A43)</f>
        <v>0</v>
      </c>
      <c r="C43">
        <f t="shared" ca="1" si="0"/>
        <v>4</v>
      </c>
      <c r="D43" t="str" cm="1">
        <f t="array" aca="1" ref="D43" ca="1">CELL("nomfichier",INDIRECT(A43))</f>
        <v>G:\SCPE\sdc\bq\6 - Mentions valorisantes\Certification environnementale\TEXTES_REGLEMENTATION_CE\Plans_contrôle et grilles\Grille audit niveau 3\Grille d'audit v1.11\[grille-audit-hvev4-v1.11-vf.xlsx]Surfaces</v>
      </c>
      <c r="E43">
        <f t="shared" ca="1" si="1"/>
        <v>200</v>
      </c>
      <c r="F43">
        <f t="shared" ca="1" si="2"/>
        <v>208</v>
      </c>
      <c r="G43" t="str">
        <f t="shared" ca="1" si="3"/>
        <v>Surfaces</v>
      </c>
      <c r="H43" cm="1">
        <f t="array" aca="1" ref="H43" ca="1">ROW(INDIRECT(A43))</f>
        <v>26</v>
      </c>
      <c r="I43" cm="1">
        <f t="array" aca="1" ref="I43" ca="1">COLUMN(INDIRECT(A43))</f>
        <v>17</v>
      </c>
      <c r="M43" t="str" cm="1">
        <f t="array" aca="1" ref="M43" ca="1">IF(AND(J43="O",ISBLANK(INDIRECT(A43))),"Valeur obligatoire non renseignée","")</f>
        <v/>
      </c>
    </row>
    <row r="44" spans="1:13" x14ac:dyDescent="0.25">
      <c r="A44" s="503" t="s">
        <v>2931</v>
      </c>
      <c r="B44" cm="1">
        <f t="array" aca="1" ref="B44" ca="1">INDIRECT(A44)</f>
        <v>0</v>
      </c>
      <c r="C44">
        <f t="shared" ca="1" si="0"/>
        <v>4</v>
      </c>
      <c r="D44" t="str" cm="1">
        <f t="array" aca="1" ref="D44" ca="1">CELL("nomfichier",INDIRECT(A44))</f>
        <v>G:\SCPE\sdc\bq\6 - Mentions valorisantes\Certification environnementale\TEXTES_REGLEMENTATION_CE\Plans_contrôle et grilles\Grille audit niveau 3\Grille d'audit v1.11\[grille-audit-hvev4-v1.11-vf.xlsx]Surfaces</v>
      </c>
      <c r="E44">
        <f t="shared" ca="1" si="1"/>
        <v>200</v>
      </c>
      <c r="F44">
        <f t="shared" ca="1" si="2"/>
        <v>208</v>
      </c>
      <c r="G44" t="str">
        <f t="shared" ca="1" si="3"/>
        <v>Surfaces</v>
      </c>
      <c r="H44" cm="1">
        <f t="array" aca="1" ref="H44" ca="1">ROW(INDIRECT(A44))</f>
        <v>28</v>
      </c>
      <c r="I44" cm="1">
        <f t="array" aca="1" ref="I44" ca="1">COLUMN(INDIRECT(A44))</f>
        <v>15</v>
      </c>
      <c r="M44" t="str" cm="1">
        <f t="array" aca="1" ref="M44" ca="1">IF(AND(J44="O",ISBLANK(INDIRECT(A44))),"Valeur obligatoire non renseignée","")</f>
        <v/>
      </c>
    </row>
    <row r="45" spans="1:13" x14ac:dyDescent="0.25">
      <c r="A45" s="503" t="s">
        <v>2997</v>
      </c>
      <c r="B45" cm="1">
        <f t="array" aca="1" ref="B45" ca="1">INDIRECT(A45)</f>
        <v>0</v>
      </c>
      <c r="C45">
        <f t="shared" ca="1" si="0"/>
        <v>4</v>
      </c>
      <c r="D45" t="str" cm="1">
        <f t="array" aca="1" ref="D45" ca="1">CELL("nomfichier",INDIRECT(A45))</f>
        <v>G:\SCPE\sdc\bq\6 - Mentions valorisantes\Certification environnementale\TEXTES_REGLEMENTATION_CE\Plans_contrôle et grilles\Grille audit niveau 3\Grille d'audit v1.11\[grille-audit-hvev4-v1.11-vf.xlsx]Surfaces</v>
      </c>
      <c r="E45">
        <f t="shared" ca="1" si="1"/>
        <v>200</v>
      </c>
      <c r="F45">
        <f t="shared" ca="1" si="2"/>
        <v>208</v>
      </c>
      <c r="G45" t="str">
        <f t="shared" ca="1" si="3"/>
        <v>Surfaces</v>
      </c>
      <c r="H45" cm="1">
        <f t="array" aca="1" ref="H45" ca="1">ROW(INDIRECT(A45))</f>
        <v>28</v>
      </c>
      <c r="I45" cm="1">
        <f t="array" aca="1" ref="I45" ca="1">COLUMN(INDIRECT(A45))</f>
        <v>16</v>
      </c>
      <c r="M45" t="str" cm="1">
        <f t="array" aca="1" ref="M45" ca="1">IF(AND(J45="O",ISBLANK(INDIRECT(A45))),"Valeur obligatoire non renseignée","")</f>
        <v/>
      </c>
    </row>
    <row r="46" spans="1:13" x14ac:dyDescent="0.25">
      <c r="A46" s="503" t="s">
        <v>3063</v>
      </c>
      <c r="B46" cm="1">
        <f t="array" aca="1" ref="B46" ca="1">INDIRECT(A46)</f>
        <v>0</v>
      </c>
      <c r="C46">
        <f t="shared" ca="1" si="0"/>
        <v>4</v>
      </c>
      <c r="D46" t="str" cm="1">
        <f t="array" aca="1" ref="D46" ca="1">CELL("nomfichier",INDIRECT(A46))</f>
        <v>G:\SCPE\sdc\bq\6 - Mentions valorisantes\Certification environnementale\TEXTES_REGLEMENTATION_CE\Plans_contrôle et grilles\Grille audit niveau 3\Grille d'audit v1.11\[grille-audit-hvev4-v1.11-vf.xlsx]Surfaces</v>
      </c>
      <c r="E46">
        <f t="shared" ca="1" si="1"/>
        <v>200</v>
      </c>
      <c r="F46">
        <f t="shared" ca="1" si="2"/>
        <v>208</v>
      </c>
      <c r="G46" t="str">
        <f t="shared" ca="1" si="3"/>
        <v>Surfaces</v>
      </c>
      <c r="H46" cm="1">
        <f t="array" aca="1" ref="H46" ca="1">ROW(INDIRECT(A46))</f>
        <v>28</v>
      </c>
      <c r="I46" cm="1">
        <f t="array" aca="1" ref="I46" ca="1">COLUMN(INDIRECT(A46))</f>
        <v>17</v>
      </c>
      <c r="M46" t="str" cm="1">
        <f t="array" aca="1" ref="M46" ca="1">IF(AND(J46="O",ISBLANK(INDIRECT(A46))),"Valeur obligatoire non renseignée","")</f>
        <v/>
      </c>
    </row>
    <row r="47" spans="1:13" x14ac:dyDescent="0.25">
      <c r="A47" s="503" t="s">
        <v>2932</v>
      </c>
      <c r="B47" cm="1">
        <f t="array" aca="1" ref="B47" ca="1">INDIRECT(A47)</f>
        <v>0</v>
      </c>
      <c r="C47">
        <f t="shared" ca="1" si="0"/>
        <v>4</v>
      </c>
      <c r="D47" t="str" cm="1">
        <f t="array" aca="1" ref="D47" ca="1">CELL("nomfichier",INDIRECT(A47))</f>
        <v>G:\SCPE\sdc\bq\6 - Mentions valorisantes\Certification environnementale\TEXTES_REGLEMENTATION_CE\Plans_contrôle et grilles\Grille audit niveau 3\Grille d'audit v1.11\[grille-audit-hvev4-v1.11-vf.xlsx]Surfaces</v>
      </c>
      <c r="E47">
        <f t="shared" ca="1" si="1"/>
        <v>200</v>
      </c>
      <c r="F47">
        <f t="shared" ca="1" si="2"/>
        <v>208</v>
      </c>
      <c r="G47" t="str">
        <f t="shared" ca="1" si="3"/>
        <v>Surfaces</v>
      </c>
      <c r="H47" cm="1">
        <f t="array" aca="1" ref="H47" ca="1">ROW(INDIRECT(A47))</f>
        <v>29</v>
      </c>
      <c r="I47" cm="1">
        <f t="array" aca="1" ref="I47" ca="1">COLUMN(INDIRECT(A47))</f>
        <v>15</v>
      </c>
      <c r="M47" t="str" cm="1">
        <f t="array" aca="1" ref="M47" ca="1">IF(AND(J47="O",ISBLANK(INDIRECT(A47))),"Valeur obligatoire non renseignée","")</f>
        <v/>
      </c>
    </row>
    <row r="48" spans="1:13" x14ac:dyDescent="0.25">
      <c r="A48" s="503" t="s">
        <v>2998</v>
      </c>
      <c r="B48" cm="1">
        <f t="array" aca="1" ref="B48" ca="1">INDIRECT(A48)</f>
        <v>0</v>
      </c>
      <c r="C48">
        <f t="shared" ca="1" si="0"/>
        <v>4</v>
      </c>
      <c r="D48" t="str" cm="1">
        <f t="array" aca="1" ref="D48" ca="1">CELL("nomfichier",INDIRECT(A48))</f>
        <v>G:\SCPE\sdc\bq\6 - Mentions valorisantes\Certification environnementale\TEXTES_REGLEMENTATION_CE\Plans_contrôle et grilles\Grille audit niveau 3\Grille d'audit v1.11\[grille-audit-hvev4-v1.11-vf.xlsx]Surfaces</v>
      </c>
      <c r="E48">
        <f t="shared" ca="1" si="1"/>
        <v>200</v>
      </c>
      <c r="F48">
        <f t="shared" ca="1" si="2"/>
        <v>208</v>
      </c>
      <c r="G48" t="str">
        <f t="shared" ca="1" si="3"/>
        <v>Surfaces</v>
      </c>
      <c r="H48" cm="1">
        <f t="array" aca="1" ref="H48" ca="1">ROW(INDIRECT(A48))</f>
        <v>29</v>
      </c>
      <c r="I48" cm="1">
        <f t="array" aca="1" ref="I48" ca="1">COLUMN(INDIRECT(A48))</f>
        <v>16</v>
      </c>
      <c r="M48" t="str" cm="1">
        <f t="array" aca="1" ref="M48" ca="1">IF(AND(J48="O",ISBLANK(INDIRECT(A48))),"Valeur obligatoire non renseignée","")</f>
        <v/>
      </c>
    </row>
    <row r="49" spans="1:13" x14ac:dyDescent="0.25">
      <c r="A49" s="503" t="s">
        <v>3064</v>
      </c>
      <c r="B49" cm="1">
        <f t="array" aca="1" ref="B49" ca="1">INDIRECT(A49)</f>
        <v>0</v>
      </c>
      <c r="C49">
        <f t="shared" ca="1" si="0"/>
        <v>4</v>
      </c>
      <c r="D49" t="str" cm="1">
        <f t="array" aca="1" ref="D49" ca="1">CELL("nomfichier",INDIRECT(A49))</f>
        <v>G:\SCPE\sdc\bq\6 - Mentions valorisantes\Certification environnementale\TEXTES_REGLEMENTATION_CE\Plans_contrôle et grilles\Grille audit niveau 3\Grille d'audit v1.11\[grille-audit-hvev4-v1.11-vf.xlsx]Surfaces</v>
      </c>
      <c r="E49">
        <f t="shared" ca="1" si="1"/>
        <v>200</v>
      </c>
      <c r="F49">
        <f t="shared" ca="1" si="2"/>
        <v>208</v>
      </c>
      <c r="G49" t="str">
        <f t="shared" ca="1" si="3"/>
        <v>Surfaces</v>
      </c>
      <c r="H49" cm="1">
        <f t="array" aca="1" ref="H49" ca="1">ROW(INDIRECT(A49))</f>
        <v>29</v>
      </c>
      <c r="I49" cm="1">
        <f t="array" aca="1" ref="I49" ca="1">COLUMN(INDIRECT(A49))</f>
        <v>17</v>
      </c>
      <c r="M49" t="str" cm="1">
        <f t="array" aca="1" ref="M49" ca="1">IF(AND(J49="O",ISBLANK(INDIRECT(A49))),"Valeur obligatoire non renseignée","")</f>
        <v/>
      </c>
    </row>
    <row r="50" spans="1:13" x14ac:dyDescent="0.25">
      <c r="A50" s="503" t="s">
        <v>2933</v>
      </c>
      <c r="B50" cm="1">
        <f t="array" aca="1" ref="B50" ca="1">INDIRECT(A50)</f>
        <v>0</v>
      </c>
      <c r="C50">
        <f t="shared" ca="1" si="0"/>
        <v>4</v>
      </c>
      <c r="D50" t="str" cm="1">
        <f t="array" aca="1" ref="D50" ca="1">CELL("nomfichier",INDIRECT(A50))</f>
        <v>G:\SCPE\sdc\bq\6 - Mentions valorisantes\Certification environnementale\TEXTES_REGLEMENTATION_CE\Plans_contrôle et grilles\Grille audit niveau 3\Grille d'audit v1.11\[grille-audit-hvev4-v1.11-vf.xlsx]Surfaces</v>
      </c>
      <c r="E50">
        <f t="shared" ca="1" si="1"/>
        <v>200</v>
      </c>
      <c r="F50">
        <f t="shared" ca="1" si="2"/>
        <v>208</v>
      </c>
      <c r="G50" t="str">
        <f t="shared" ca="1" si="3"/>
        <v>Surfaces</v>
      </c>
      <c r="H50" cm="1">
        <f t="array" aca="1" ref="H50" ca="1">ROW(INDIRECT(A50))</f>
        <v>30</v>
      </c>
      <c r="I50" cm="1">
        <f t="array" aca="1" ref="I50" ca="1">COLUMN(INDIRECT(A50))</f>
        <v>15</v>
      </c>
      <c r="M50" t="str" cm="1">
        <f t="array" aca="1" ref="M50" ca="1">IF(AND(J50="O",ISBLANK(INDIRECT(A50))),"Valeur obligatoire non renseignée","")</f>
        <v/>
      </c>
    </row>
    <row r="51" spans="1:13" x14ac:dyDescent="0.25">
      <c r="A51" s="503" t="s">
        <v>2999</v>
      </c>
      <c r="B51" cm="1">
        <f t="array" aca="1" ref="B51" ca="1">INDIRECT(A51)</f>
        <v>0</v>
      </c>
      <c r="C51">
        <f t="shared" ca="1" si="0"/>
        <v>4</v>
      </c>
      <c r="D51" t="str" cm="1">
        <f t="array" aca="1" ref="D51" ca="1">CELL("nomfichier",INDIRECT(A51))</f>
        <v>G:\SCPE\sdc\bq\6 - Mentions valorisantes\Certification environnementale\TEXTES_REGLEMENTATION_CE\Plans_contrôle et grilles\Grille audit niveau 3\Grille d'audit v1.11\[grille-audit-hvev4-v1.11-vf.xlsx]Surfaces</v>
      </c>
      <c r="E51">
        <f t="shared" ca="1" si="1"/>
        <v>200</v>
      </c>
      <c r="F51">
        <f t="shared" ca="1" si="2"/>
        <v>208</v>
      </c>
      <c r="G51" t="str">
        <f t="shared" ca="1" si="3"/>
        <v>Surfaces</v>
      </c>
      <c r="H51" cm="1">
        <f t="array" aca="1" ref="H51" ca="1">ROW(INDIRECT(A51))</f>
        <v>30</v>
      </c>
      <c r="I51" cm="1">
        <f t="array" aca="1" ref="I51" ca="1">COLUMN(INDIRECT(A51))</f>
        <v>16</v>
      </c>
      <c r="M51" t="str" cm="1">
        <f t="array" aca="1" ref="M51" ca="1">IF(AND(J51="O",ISBLANK(INDIRECT(A51))),"Valeur obligatoire non renseignée","")</f>
        <v/>
      </c>
    </row>
    <row r="52" spans="1:13" x14ac:dyDescent="0.25">
      <c r="A52" s="503" t="s">
        <v>3065</v>
      </c>
      <c r="B52" cm="1">
        <f t="array" aca="1" ref="B52" ca="1">INDIRECT(A52)</f>
        <v>0</v>
      </c>
      <c r="C52">
        <f t="shared" ca="1" si="0"/>
        <v>4</v>
      </c>
      <c r="D52" t="str" cm="1">
        <f t="array" aca="1" ref="D52" ca="1">CELL("nomfichier",INDIRECT(A52))</f>
        <v>G:\SCPE\sdc\bq\6 - Mentions valorisantes\Certification environnementale\TEXTES_REGLEMENTATION_CE\Plans_contrôle et grilles\Grille audit niveau 3\Grille d'audit v1.11\[grille-audit-hvev4-v1.11-vf.xlsx]Surfaces</v>
      </c>
      <c r="E52">
        <f t="shared" ca="1" si="1"/>
        <v>200</v>
      </c>
      <c r="F52">
        <f t="shared" ca="1" si="2"/>
        <v>208</v>
      </c>
      <c r="G52" t="str">
        <f t="shared" ca="1" si="3"/>
        <v>Surfaces</v>
      </c>
      <c r="H52" cm="1">
        <f t="array" aca="1" ref="H52" ca="1">ROW(INDIRECT(A52))</f>
        <v>30</v>
      </c>
      <c r="I52" cm="1">
        <f t="array" aca="1" ref="I52" ca="1">COLUMN(INDIRECT(A52))</f>
        <v>17</v>
      </c>
      <c r="M52" t="str" cm="1">
        <f t="array" aca="1" ref="M52" ca="1">IF(AND(J52="O",ISBLANK(INDIRECT(A52))),"Valeur obligatoire non renseignée","")</f>
        <v/>
      </c>
    </row>
    <row r="53" spans="1:13" x14ac:dyDescent="0.25">
      <c r="A53" s="503" t="s">
        <v>2934</v>
      </c>
      <c r="B53" t="e" cm="1">
        <f t="array" aca="1" ref="B53" ca="1">INDIRECT(A53)</f>
        <v>#REF!</v>
      </c>
      <c r="C53" t="e">
        <f t="shared" ca="1" si="0"/>
        <v>#REF!</v>
      </c>
      <c r="D53" t="e" cm="1">
        <f t="array" aca="1" ref="D53" ca="1">CELL("nomfichier",INDIRECT(A53))</f>
        <v>#REF!</v>
      </c>
      <c r="E53" t="e">
        <f t="shared" ca="1" si="1"/>
        <v>#REF!</v>
      </c>
      <c r="F53" t="e">
        <f t="shared" ca="1" si="2"/>
        <v>#REF!</v>
      </c>
      <c r="G53" t="e">
        <f t="shared" ca="1" si="3"/>
        <v>#REF!</v>
      </c>
      <c r="H53" t="e" cm="1">
        <f t="array" aca="1" ref="H53" ca="1">ROW(INDIRECT(A53))</f>
        <v>#REF!</v>
      </c>
      <c r="I53" t="e" cm="1">
        <f t="array" aca="1" ref="I53" ca="1">COLUMN(INDIRECT(A53))</f>
        <v>#REF!</v>
      </c>
      <c r="M53" t="str" cm="1">
        <f t="array" aca="1" ref="M53" ca="1">IF(AND(J53="O",ISBLANK(INDIRECT(A53))),"Valeur obligatoire non renseignée","")</f>
        <v/>
      </c>
    </row>
    <row r="54" spans="1:13" x14ac:dyDescent="0.25">
      <c r="A54" s="503" t="s">
        <v>3000</v>
      </c>
      <c r="B54" t="e" cm="1">
        <f t="array" aca="1" ref="B54" ca="1">INDIRECT(A54)</f>
        <v>#REF!</v>
      </c>
      <c r="C54" t="e">
        <f t="shared" ca="1" si="0"/>
        <v>#REF!</v>
      </c>
      <c r="D54" t="e" cm="1">
        <f t="array" aca="1" ref="D54" ca="1">CELL("nomfichier",INDIRECT(A54))</f>
        <v>#REF!</v>
      </c>
      <c r="E54" t="e">
        <f t="shared" ca="1" si="1"/>
        <v>#REF!</v>
      </c>
      <c r="F54" t="e">
        <f t="shared" ca="1" si="2"/>
        <v>#REF!</v>
      </c>
      <c r="G54" t="e">
        <f t="shared" ca="1" si="3"/>
        <v>#REF!</v>
      </c>
      <c r="H54" t="e" cm="1">
        <f t="array" aca="1" ref="H54" ca="1">ROW(INDIRECT(A54))</f>
        <v>#REF!</v>
      </c>
      <c r="I54" t="e" cm="1">
        <f t="array" aca="1" ref="I54" ca="1">COLUMN(INDIRECT(A54))</f>
        <v>#REF!</v>
      </c>
      <c r="M54" t="str" cm="1">
        <f t="array" aca="1" ref="M54" ca="1">IF(AND(J54="O",ISBLANK(INDIRECT(A54))),"Valeur obligatoire non renseignée","")</f>
        <v/>
      </c>
    </row>
    <row r="55" spans="1:13" x14ac:dyDescent="0.25">
      <c r="A55" s="503" t="s">
        <v>3066</v>
      </c>
      <c r="B55" t="e" cm="1">
        <f t="array" aca="1" ref="B55" ca="1">INDIRECT(A55)</f>
        <v>#REF!</v>
      </c>
      <c r="C55" t="e">
        <f t="shared" ca="1" si="0"/>
        <v>#REF!</v>
      </c>
      <c r="D55" t="e" cm="1">
        <f t="array" aca="1" ref="D55" ca="1">CELL("nomfichier",INDIRECT(A55))</f>
        <v>#REF!</v>
      </c>
      <c r="E55" t="e">
        <f t="shared" ca="1" si="1"/>
        <v>#REF!</v>
      </c>
      <c r="F55" t="e">
        <f t="shared" ca="1" si="2"/>
        <v>#REF!</v>
      </c>
      <c r="G55" t="e">
        <f t="shared" ca="1" si="3"/>
        <v>#REF!</v>
      </c>
      <c r="H55" t="e" cm="1">
        <f t="array" aca="1" ref="H55" ca="1">ROW(INDIRECT(A55))</f>
        <v>#REF!</v>
      </c>
      <c r="I55" t="e" cm="1">
        <f t="array" aca="1" ref="I55" ca="1">COLUMN(INDIRECT(A55))</f>
        <v>#REF!</v>
      </c>
      <c r="M55" t="str" cm="1">
        <f t="array" aca="1" ref="M55" ca="1">IF(AND(J55="O",ISBLANK(INDIRECT(A55))),"Valeur obligatoire non renseignée","")</f>
        <v/>
      </c>
    </row>
    <row r="56" spans="1:13" x14ac:dyDescent="0.25">
      <c r="A56" s="503" t="s">
        <v>2935</v>
      </c>
      <c r="B56" cm="1">
        <f t="array" aca="1" ref="B56" ca="1">INDIRECT(A56)</f>
        <v>0</v>
      </c>
      <c r="C56">
        <f t="shared" ca="1" si="0"/>
        <v>4</v>
      </c>
      <c r="D56" t="str" cm="1">
        <f t="array" aca="1" ref="D56" ca="1">CELL("nomfichier",INDIRECT(A56))</f>
        <v>G:\SCPE\sdc\bq\6 - Mentions valorisantes\Certification environnementale\TEXTES_REGLEMENTATION_CE\Plans_contrôle et grilles\Grille audit niveau 3\Grille d'audit v1.11\[grille-audit-hvev4-v1.11-vf.xlsx]Surfaces</v>
      </c>
      <c r="E56">
        <f t="shared" ca="1" si="1"/>
        <v>200</v>
      </c>
      <c r="F56">
        <f t="shared" ca="1" si="2"/>
        <v>208</v>
      </c>
      <c r="G56" t="str">
        <f t="shared" ca="1" si="3"/>
        <v>Surfaces</v>
      </c>
      <c r="H56" cm="1">
        <f t="array" aca="1" ref="H56" ca="1">ROW(INDIRECT(A56))</f>
        <v>31</v>
      </c>
      <c r="I56" cm="1">
        <f t="array" aca="1" ref="I56" ca="1">COLUMN(INDIRECT(A56))</f>
        <v>15</v>
      </c>
      <c r="M56" t="str" cm="1">
        <f t="array" aca="1" ref="M56" ca="1">IF(AND(J56="O",ISBLANK(INDIRECT(A56))),"Valeur obligatoire non renseignée","")</f>
        <v/>
      </c>
    </row>
    <row r="57" spans="1:13" x14ac:dyDescent="0.25">
      <c r="A57" s="503" t="s">
        <v>3001</v>
      </c>
      <c r="B57" cm="1">
        <f t="array" aca="1" ref="B57" ca="1">INDIRECT(A57)</f>
        <v>0</v>
      </c>
      <c r="C57">
        <f t="shared" ca="1" si="0"/>
        <v>4</v>
      </c>
      <c r="D57" t="str" cm="1">
        <f t="array" aca="1" ref="D57" ca="1">CELL("nomfichier",INDIRECT(A57))</f>
        <v>G:\SCPE\sdc\bq\6 - Mentions valorisantes\Certification environnementale\TEXTES_REGLEMENTATION_CE\Plans_contrôle et grilles\Grille audit niveau 3\Grille d'audit v1.11\[grille-audit-hvev4-v1.11-vf.xlsx]Surfaces</v>
      </c>
      <c r="E57">
        <f t="shared" ca="1" si="1"/>
        <v>200</v>
      </c>
      <c r="F57">
        <f t="shared" ca="1" si="2"/>
        <v>208</v>
      </c>
      <c r="G57" t="str">
        <f t="shared" ca="1" si="3"/>
        <v>Surfaces</v>
      </c>
      <c r="H57" cm="1">
        <f t="array" aca="1" ref="H57" ca="1">ROW(INDIRECT(A57))</f>
        <v>31</v>
      </c>
      <c r="I57" cm="1">
        <f t="array" aca="1" ref="I57" ca="1">COLUMN(INDIRECT(A57))</f>
        <v>16</v>
      </c>
      <c r="M57" t="str" cm="1">
        <f t="array" aca="1" ref="M57" ca="1">IF(AND(J57="O",ISBLANK(INDIRECT(A57))),"Valeur obligatoire non renseignée","")</f>
        <v/>
      </c>
    </row>
    <row r="58" spans="1:13" x14ac:dyDescent="0.25">
      <c r="A58" s="503" t="s">
        <v>3067</v>
      </c>
      <c r="B58" cm="1">
        <f t="array" aca="1" ref="B58" ca="1">INDIRECT(A58)</f>
        <v>0</v>
      </c>
      <c r="C58">
        <f t="shared" ca="1" si="0"/>
        <v>4</v>
      </c>
      <c r="D58" t="str" cm="1">
        <f t="array" aca="1" ref="D58" ca="1">CELL("nomfichier",INDIRECT(A58))</f>
        <v>G:\SCPE\sdc\bq\6 - Mentions valorisantes\Certification environnementale\TEXTES_REGLEMENTATION_CE\Plans_contrôle et grilles\Grille audit niveau 3\Grille d'audit v1.11\[grille-audit-hvev4-v1.11-vf.xlsx]Surfaces</v>
      </c>
      <c r="E58">
        <f t="shared" ca="1" si="1"/>
        <v>200</v>
      </c>
      <c r="F58">
        <f t="shared" ca="1" si="2"/>
        <v>208</v>
      </c>
      <c r="G58" t="str">
        <f t="shared" ca="1" si="3"/>
        <v>Surfaces</v>
      </c>
      <c r="H58" cm="1">
        <f t="array" aca="1" ref="H58" ca="1">ROW(INDIRECT(A58))</f>
        <v>31</v>
      </c>
      <c r="I58" cm="1">
        <f t="array" aca="1" ref="I58" ca="1">COLUMN(INDIRECT(A58))</f>
        <v>17</v>
      </c>
      <c r="M58" t="str" cm="1">
        <f t="array" aca="1" ref="M58" ca="1">IF(AND(J58="O",ISBLANK(INDIRECT(A58))),"Valeur obligatoire non renseignée","")</f>
        <v/>
      </c>
    </row>
    <row r="59" spans="1:13" x14ac:dyDescent="0.25">
      <c r="A59" s="503" t="s">
        <v>2936</v>
      </c>
      <c r="B59" cm="1">
        <f t="array" aca="1" ref="B59" ca="1">INDIRECT(A59)</f>
        <v>0</v>
      </c>
      <c r="C59">
        <f t="shared" ca="1" si="0"/>
        <v>4</v>
      </c>
      <c r="D59" t="str" cm="1">
        <f t="array" aca="1" ref="D59" ca="1">CELL("nomfichier",INDIRECT(A59))</f>
        <v>G:\SCPE\sdc\bq\6 - Mentions valorisantes\Certification environnementale\TEXTES_REGLEMENTATION_CE\Plans_contrôle et grilles\Grille audit niveau 3\Grille d'audit v1.11\[grille-audit-hvev4-v1.11-vf.xlsx]Surfaces</v>
      </c>
      <c r="E59">
        <f t="shared" ca="1" si="1"/>
        <v>200</v>
      </c>
      <c r="F59">
        <f t="shared" ca="1" si="2"/>
        <v>208</v>
      </c>
      <c r="G59" t="str">
        <f t="shared" ca="1" si="3"/>
        <v>Surfaces</v>
      </c>
      <c r="H59" cm="1">
        <f t="array" aca="1" ref="H59" ca="1">ROW(INDIRECT(A59))</f>
        <v>32</v>
      </c>
      <c r="I59" cm="1">
        <f t="array" aca="1" ref="I59" ca="1">COLUMN(INDIRECT(A59))</f>
        <v>15</v>
      </c>
      <c r="M59" t="str" cm="1">
        <f t="array" aca="1" ref="M59" ca="1">IF(AND(J59="O",ISBLANK(INDIRECT(A59))),"Valeur obligatoire non renseignée","")</f>
        <v/>
      </c>
    </row>
    <row r="60" spans="1:13" x14ac:dyDescent="0.25">
      <c r="A60" s="503" t="s">
        <v>3002</v>
      </c>
      <c r="B60" cm="1">
        <f t="array" aca="1" ref="B60" ca="1">INDIRECT(A60)</f>
        <v>0</v>
      </c>
      <c r="C60">
        <f t="shared" ca="1" si="0"/>
        <v>4</v>
      </c>
      <c r="D60" t="str" cm="1">
        <f t="array" aca="1" ref="D60" ca="1">CELL("nomfichier",INDIRECT(A60))</f>
        <v>G:\SCPE\sdc\bq\6 - Mentions valorisantes\Certification environnementale\TEXTES_REGLEMENTATION_CE\Plans_contrôle et grilles\Grille audit niveau 3\Grille d'audit v1.11\[grille-audit-hvev4-v1.11-vf.xlsx]Surfaces</v>
      </c>
      <c r="E60">
        <f t="shared" ca="1" si="1"/>
        <v>200</v>
      </c>
      <c r="F60">
        <f t="shared" ca="1" si="2"/>
        <v>208</v>
      </c>
      <c r="G60" t="str">
        <f t="shared" ca="1" si="3"/>
        <v>Surfaces</v>
      </c>
      <c r="H60" cm="1">
        <f t="array" aca="1" ref="H60" ca="1">ROW(INDIRECT(A60))</f>
        <v>32</v>
      </c>
      <c r="I60" cm="1">
        <f t="array" aca="1" ref="I60" ca="1">COLUMN(INDIRECT(A60))</f>
        <v>16</v>
      </c>
      <c r="M60" t="str" cm="1">
        <f t="array" aca="1" ref="M60" ca="1">IF(AND(J60="O",ISBLANK(INDIRECT(A60))),"Valeur obligatoire non renseignée","")</f>
        <v/>
      </c>
    </row>
    <row r="61" spans="1:13" x14ac:dyDescent="0.25">
      <c r="A61" s="503" t="s">
        <v>3068</v>
      </c>
      <c r="B61" cm="1">
        <f t="array" aca="1" ref="B61" ca="1">INDIRECT(A61)</f>
        <v>0</v>
      </c>
      <c r="C61">
        <f t="shared" ca="1" si="0"/>
        <v>4</v>
      </c>
      <c r="D61" t="str" cm="1">
        <f t="array" aca="1" ref="D61" ca="1">CELL("nomfichier",INDIRECT(A61))</f>
        <v>G:\SCPE\sdc\bq\6 - Mentions valorisantes\Certification environnementale\TEXTES_REGLEMENTATION_CE\Plans_contrôle et grilles\Grille audit niveau 3\Grille d'audit v1.11\[grille-audit-hvev4-v1.11-vf.xlsx]Surfaces</v>
      </c>
      <c r="E61">
        <f t="shared" ca="1" si="1"/>
        <v>200</v>
      </c>
      <c r="F61">
        <f t="shared" ca="1" si="2"/>
        <v>208</v>
      </c>
      <c r="G61" t="str">
        <f t="shared" ca="1" si="3"/>
        <v>Surfaces</v>
      </c>
      <c r="H61" cm="1">
        <f t="array" aca="1" ref="H61" ca="1">ROW(INDIRECT(A61))</f>
        <v>32</v>
      </c>
      <c r="I61" cm="1">
        <f t="array" aca="1" ref="I61" ca="1">COLUMN(INDIRECT(A61))</f>
        <v>17</v>
      </c>
      <c r="M61" t="str" cm="1">
        <f t="array" aca="1" ref="M61" ca="1">IF(AND(J61="O",ISBLANK(INDIRECT(A61))),"Valeur obligatoire non renseignée","")</f>
        <v/>
      </c>
    </row>
    <row r="62" spans="1:13" x14ac:dyDescent="0.25">
      <c r="A62" s="503" t="s">
        <v>2937</v>
      </c>
      <c r="B62" cm="1">
        <f t="array" aca="1" ref="B62" ca="1">INDIRECT(A62)</f>
        <v>0</v>
      </c>
      <c r="C62">
        <f t="shared" ca="1" si="0"/>
        <v>4</v>
      </c>
      <c r="D62" t="str" cm="1">
        <f t="array" aca="1" ref="D62" ca="1">CELL("nomfichier",INDIRECT(A62))</f>
        <v>G:\SCPE\sdc\bq\6 - Mentions valorisantes\Certification environnementale\TEXTES_REGLEMENTATION_CE\Plans_contrôle et grilles\Grille audit niveau 3\Grille d'audit v1.11\[grille-audit-hvev4-v1.11-vf.xlsx]Surfaces</v>
      </c>
      <c r="E62">
        <f t="shared" ca="1" si="1"/>
        <v>200</v>
      </c>
      <c r="F62">
        <f t="shared" ca="1" si="2"/>
        <v>208</v>
      </c>
      <c r="G62" t="str">
        <f t="shared" ca="1" si="3"/>
        <v>Surfaces</v>
      </c>
      <c r="H62" cm="1">
        <f t="array" aca="1" ref="H62" ca="1">ROW(INDIRECT(A62))</f>
        <v>33</v>
      </c>
      <c r="I62" cm="1">
        <f t="array" aca="1" ref="I62" ca="1">COLUMN(INDIRECT(A62))</f>
        <v>15</v>
      </c>
      <c r="M62" t="str" cm="1">
        <f t="array" aca="1" ref="M62" ca="1">IF(AND(J62="O",ISBLANK(INDIRECT(A62))),"Valeur obligatoire non renseignée","")</f>
        <v/>
      </c>
    </row>
    <row r="63" spans="1:13" x14ac:dyDescent="0.25">
      <c r="A63" s="503" t="s">
        <v>3003</v>
      </c>
      <c r="B63" cm="1">
        <f t="array" aca="1" ref="B63" ca="1">INDIRECT(A63)</f>
        <v>0</v>
      </c>
      <c r="C63">
        <f t="shared" ca="1" si="0"/>
        <v>4</v>
      </c>
      <c r="D63" t="str" cm="1">
        <f t="array" aca="1" ref="D63" ca="1">CELL("nomfichier",INDIRECT(A63))</f>
        <v>G:\SCPE\sdc\bq\6 - Mentions valorisantes\Certification environnementale\TEXTES_REGLEMENTATION_CE\Plans_contrôle et grilles\Grille audit niveau 3\Grille d'audit v1.11\[grille-audit-hvev4-v1.11-vf.xlsx]Surfaces</v>
      </c>
      <c r="E63">
        <f t="shared" ca="1" si="1"/>
        <v>200</v>
      </c>
      <c r="F63">
        <f t="shared" ca="1" si="2"/>
        <v>208</v>
      </c>
      <c r="G63" t="str">
        <f t="shared" ca="1" si="3"/>
        <v>Surfaces</v>
      </c>
      <c r="H63" cm="1">
        <f t="array" aca="1" ref="H63" ca="1">ROW(INDIRECT(A63))</f>
        <v>33</v>
      </c>
      <c r="I63" cm="1">
        <f t="array" aca="1" ref="I63" ca="1">COLUMN(INDIRECT(A63))</f>
        <v>16</v>
      </c>
      <c r="M63" t="str" cm="1">
        <f t="array" aca="1" ref="M63" ca="1">IF(AND(J63="O",ISBLANK(INDIRECT(A63))),"Valeur obligatoire non renseignée","")</f>
        <v/>
      </c>
    </row>
    <row r="64" spans="1:13" x14ac:dyDescent="0.25">
      <c r="A64" s="503" t="s">
        <v>3069</v>
      </c>
      <c r="B64" cm="1">
        <f t="array" aca="1" ref="B64" ca="1">INDIRECT(A64)</f>
        <v>0</v>
      </c>
      <c r="C64">
        <f t="shared" ca="1" si="0"/>
        <v>4</v>
      </c>
      <c r="D64" t="str" cm="1">
        <f t="array" aca="1" ref="D64" ca="1">CELL("nomfichier",INDIRECT(A64))</f>
        <v>G:\SCPE\sdc\bq\6 - Mentions valorisantes\Certification environnementale\TEXTES_REGLEMENTATION_CE\Plans_contrôle et grilles\Grille audit niveau 3\Grille d'audit v1.11\[grille-audit-hvev4-v1.11-vf.xlsx]Surfaces</v>
      </c>
      <c r="E64">
        <f t="shared" ca="1" si="1"/>
        <v>200</v>
      </c>
      <c r="F64">
        <f t="shared" ca="1" si="2"/>
        <v>208</v>
      </c>
      <c r="G64" t="str">
        <f t="shared" ca="1" si="3"/>
        <v>Surfaces</v>
      </c>
      <c r="H64" cm="1">
        <f t="array" aca="1" ref="H64" ca="1">ROW(INDIRECT(A64))</f>
        <v>33</v>
      </c>
      <c r="I64" cm="1">
        <f t="array" aca="1" ref="I64" ca="1">COLUMN(INDIRECT(A64))</f>
        <v>17</v>
      </c>
      <c r="M64" t="str" cm="1">
        <f t="array" aca="1" ref="M64" ca="1">IF(AND(J64="O",ISBLANK(INDIRECT(A64))),"Valeur obligatoire non renseignée","")</f>
        <v/>
      </c>
    </row>
    <row r="65" spans="1:13" x14ac:dyDescent="0.25">
      <c r="A65" s="503" t="s">
        <v>2938</v>
      </c>
      <c r="B65" cm="1">
        <f t="array" aca="1" ref="B65" ca="1">INDIRECT(A65)</f>
        <v>0</v>
      </c>
      <c r="C65">
        <f t="shared" ca="1" si="0"/>
        <v>4</v>
      </c>
      <c r="D65" t="str" cm="1">
        <f t="array" aca="1" ref="D65" ca="1">CELL("nomfichier",INDIRECT(A65))</f>
        <v>G:\SCPE\sdc\bq\6 - Mentions valorisantes\Certification environnementale\TEXTES_REGLEMENTATION_CE\Plans_contrôle et grilles\Grille audit niveau 3\Grille d'audit v1.11\[grille-audit-hvev4-v1.11-vf.xlsx]Surfaces</v>
      </c>
      <c r="E65">
        <f t="shared" ca="1" si="1"/>
        <v>200</v>
      </c>
      <c r="F65">
        <f t="shared" ca="1" si="2"/>
        <v>208</v>
      </c>
      <c r="G65" t="str">
        <f t="shared" ca="1" si="3"/>
        <v>Surfaces</v>
      </c>
      <c r="H65" cm="1">
        <f t="array" aca="1" ref="H65" ca="1">ROW(INDIRECT(A65))</f>
        <v>36</v>
      </c>
      <c r="I65" cm="1">
        <f t="array" aca="1" ref="I65" ca="1">COLUMN(INDIRECT(A65))</f>
        <v>15</v>
      </c>
      <c r="M65" t="str" cm="1">
        <f t="array" aca="1" ref="M65" ca="1">IF(AND(J65="O",ISBLANK(INDIRECT(A65))),"Valeur obligatoire non renseignée","")</f>
        <v/>
      </c>
    </row>
    <row r="66" spans="1:13" x14ac:dyDescent="0.25">
      <c r="A66" s="503" t="s">
        <v>3004</v>
      </c>
      <c r="B66" cm="1">
        <f t="array" aca="1" ref="B66" ca="1">INDIRECT(A66)</f>
        <v>0</v>
      </c>
      <c r="C66">
        <f t="shared" ref="C66:C129" ca="1" si="4">_xlfn.SHEET(INDIRECT(A66))</f>
        <v>4</v>
      </c>
      <c r="D66" t="str" cm="1">
        <f t="array" aca="1" ref="D66" ca="1">CELL("nomfichier",INDIRECT(A66))</f>
        <v>G:\SCPE\sdc\bq\6 - Mentions valorisantes\Certification environnementale\TEXTES_REGLEMENTATION_CE\Plans_contrôle et grilles\Grille audit niveau 3\Grille d'audit v1.11\[grille-audit-hvev4-v1.11-vf.xlsx]Surfaces</v>
      </c>
      <c r="E66">
        <f t="shared" ref="E66:E129" ca="1" si="5">FIND("]",D66)</f>
        <v>200</v>
      </c>
      <c r="F66">
        <f t="shared" ref="F66:F129" ca="1" si="6">LEN(D66)</f>
        <v>208</v>
      </c>
      <c r="G66" t="str">
        <f t="shared" ref="G66:G129" ca="1" si="7">RIGHT(D66,F66-E66)</f>
        <v>Surfaces</v>
      </c>
      <c r="H66" cm="1">
        <f t="array" aca="1" ref="H66" ca="1">ROW(INDIRECT(A66))</f>
        <v>36</v>
      </c>
      <c r="I66" cm="1">
        <f t="array" aca="1" ref="I66" ca="1">COLUMN(INDIRECT(A66))</f>
        <v>16</v>
      </c>
      <c r="M66" t="str" cm="1">
        <f t="array" aca="1" ref="M66" ca="1">IF(AND(J66="O",ISBLANK(INDIRECT(A66))),"Valeur obligatoire non renseignée","")</f>
        <v/>
      </c>
    </row>
    <row r="67" spans="1:13" x14ac:dyDescent="0.25">
      <c r="A67" s="503" t="s">
        <v>3070</v>
      </c>
      <c r="B67" cm="1">
        <f t="array" aca="1" ref="B67" ca="1">INDIRECT(A67)</f>
        <v>0</v>
      </c>
      <c r="C67">
        <f t="shared" ca="1" si="4"/>
        <v>4</v>
      </c>
      <c r="D67" t="str" cm="1">
        <f t="array" aca="1" ref="D67" ca="1">CELL("nomfichier",INDIRECT(A67))</f>
        <v>G:\SCPE\sdc\bq\6 - Mentions valorisantes\Certification environnementale\TEXTES_REGLEMENTATION_CE\Plans_contrôle et grilles\Grille audit niveau 3\Grille d'audit v1.11\[grille-audit-hvev4-v1.11-vf.xlsx]Surfaces</v>
      </c>
      <c r="E67">
        <f t="shared" ca="1" si="5"/>
        <v>200</v>
      </c>
      <c r="F67">
        <f t="shared" ca="1" si="6"/>
        <v>208</v>
      </c>
      <c r="G67" t="str">
        <f t="shared" ca="1" si="7"/>
        <v>Surfaces</v>
      </c>
      <c r="H67" cm="1">
        <f t="array" aca="1" ref="H67" ca="1">ROW(INDIRECT(A67))</f>
        <v>36</v>
      </c>
      <c r="I67" cm="1">
        <f t="array" aca="1" ref="I67" ca="1">COLUMN(INDIRECT(A67))</f>
        <v>17</v>
      </c>
      <c r="M67" t="str" cm="1">
        <f t="array" aca="1" ref="M67" ca="1">IF(AND(J67="O",ISBLANK(INDIRECT(A67))),"Valeur obligatoire non renseignée","")</f>
        <v/>
      </c>
    </row>
    <row r="68" spans="1:13" x14ac:dyDescent="0.25">
      <c r="A68" s="503" t="s">
        <v>2939</v>
      </c>
      <c r="B68" cm="1">
        <f t="array" aca="1" ref="B68" ca="1">INDIRECT(A68)</f>
        <v>0</v>
      </c>
      <c r="C68">
        <f t="shared" ca="1" si="4"/>
        <v>4</v>
      </c>
      <c r="D68" t="str" cm="1">
        <f t="array" aca="1" ref="D68" ca="1">CELL("nomfichier",INDIRECT(A68))</f>
        <v>G:\SCPE\sdc\bq\6 - Mentions valorisantes\Certification environnementale\TEXTES_REGLEMENTATION_CE\Plans_contrôle et grilles\Grille audit niveau 3\Grille d'audit v1.11\[grille-audit-hvev4-v1.11-vf.xlsx]Surfaces</v>
      </c>
      <c r="E68">
        <f t="shared" ca="1" si="5"/>
        <v>200</v>
      </c>
      <c r="F68">
        <f t="shared" ca="1" si="6"/>
        <v>208</v>
      </c>
      <c r="G68" t="str">
        <f t="shared" ca="1" si="7"/>
        <v>Surfaces</v>
      </c>
      <c r="H68" cm="1">
        <f t="array" aca="1" ref="H68" ca="1">ROW(INDIRECT(A68))</f>
        <v>37</v>
      </c>
      <c r="I68" cm="1">
        <f t="array" aca="1" ref="I68" ca="1">COLUMN(INDIRECT(A68))</f>
        <v>15</v>
      </c>
      <c r="M68" t="str" cm="1">
        <f t="array" aca="1" ref="M68" ca="1">IF(AND(J68="O",ISBLANK(INDIRECT(A68))),"Valeur obligatoire non renseignée","")</f>
        <v/>
      </c>
    </row>
    <row r="69" spans="1:13" x14ac:dyDescent="0.25">
      <c r="A69" s="503" t="s">
        <v>3005</v>
      </c>
      <c r="B69" cm="1">
        <f t="array" aca="1" ref="B69" ca="1">INDIRECT(A69)</f>
        <v>0</v>
      </c>
      <c r="C69">
        <f t="shared" ca="1" si="4"/>
        <v>4</v>
      </c>
      <c r="D69" t="str" cm="1">
        <f t="array" aca="1" ref="D69" ca="1">CELL("nomfichier",INDIRECT(A69))</f>
        <v>G:\SCPE\sdc\bq\6 - Mentions valorisantes\Certification environnementale\TEXTES_REGLEMENTATION_CE\Plans_contrôle et grilles\Grille audit niveau 3\Grille d'audit v1.11\[grille-audit-hvev4-v1.11-vf.xlsx]Surfaces</v>
      </c>
      <c r="E69">
        <f t="shared" ca="1" si="5"/>
        <v>200</v>
      </c>
      <c r="F69">
        <f t="shared" ca="1" si="6"/>
        <v>208</v>
      </c>
      <c r="G69" t="str">
        <f t="shared" ca="1" si="7"/>
        <v>Surfaces</v>
      </c>
      <c r="H69" cm="1">
        <f t="array" aca="1" ref="H69" ca="1">ROW(INDIRECT(A69))</f>
        <v>37</v>
      </c>
      <c r="I69" cm="1">
        <f t="array" aca="1" ref="I69" ca="1">COLUMN(INDIRECT(A69))</f>
        <v>16</v>
      </c>
      <c r="M69" t="str" cm="1">
        <f t="array" aca="1" ref="M69" ca="1">IF(AND(J69="O",ISBLANK(INDIRECT(A69))),"Valeur obligatoire non renseignée","")</f>
        <v/>
      </c>
    </row>
    <row r="70" spans="1:13" x14ac:dyDescent="0.25">
      <c r="A70" s="503" t="s">
        <v>3071</v>
      </c>
      <c r="B70" cm="1">
        <f t="array" aca="1" ref="B70" ca="1">INDIRECT(A70)</f>
        <v>0</v>
      </c>
      <c r="C70">
        <f t="shared" ca="1" si="4"/>
        <v>4</v>
      </c>
      <c r="D70" t="str" cm="1">
        <f t="array" aca="1" ref="D70" ca="1">CELL("nomfichier",INDIRECT(A70))</f>
        <v>G:\SCPE\sdc\bq\6 - Mentions valorisantes\Certification environnementale\TEXTES_REGLEMENTATION_CE\Plans_contrôle et grilles\Grille audit niveau 3\Grille d'audit v1.11\[grille-audit-hvev4-v1.11-vf.xlsx]Surfaces</v>
      </c>
      <c r="E70">
        <f t="shared" ca="1" si="5"/>
        <v>200</v>
      </c>
      <c r="F70">
        <f t="shared" ca="1" si="6"/>
        <v>208</v>
      </c>
      <c r="G70" t="str">
        <f t="shared" ca="1" si="7"/>
        <v>Surfaces</v>
      </c>
      <c r="H70" cm="1">
        <f t="array" aca="1" ref="H70" ca="1">ROW(INDIRECT(A70))</f>
        <v>37</v>
      </c>
      <c r="I70" cm="1">
        <f t="array" aca="1" ref="I70" ca="1">COLUMN(INDIRECT(A70))</f>
        <v>17</v>
      </c>
      <c r="M70" t="str" cm="1">
        <f t="array" aca="1" ref="M70" ca="1">IF(AND(J70="O",ISBLANK(INDIRECT(A70))),"Valeur obligatoire non renseignée","")</f>
        <v/>
      </c>
    </row>
    <row r="71" spans="1:13" x14ac:dyDescent="0.25">
      <c r="A71" s="503" t="s">
        <v>2940</v>
      </c>
      <c r="B71" cm="1">
        <f t="array" aca="1" ref="B71" ca="1">INDIRECT(A71)</f>
        <v>0</v>
      </c>
      <c r="C71">
        <f t="shared" ca="1" si="4"/>
        <v>4</v>
      </c>
      <c r="D71" t="str" cm="1">
        <f t="array" aca="1" ref="D71" ca="1">CELL("nomfichier",INDIRECT(A71))</f>
        <v>G:\SCPE\sdc\bq\6 - Mentions valorisantes\Certification environnementale\TEXTES_REGLEMENTATION_CE\Plans_contrôle et grilles\Grille audit niveau 3\Grille d'audit v1.11\[grille-audit-hvev4-v1.11-vf.xlsx]Surfaces</v>
      </c>
      <c r="E71">
        <f t="shared" ca="1" si="5"/>
        <v>200</v>
      </c>
      <c r="F71">
        <f t="shared" ca="1" si="6"/>
        <v>208</v>
      </c>
      <c r="G71" t="str">
        <f t="shared" ca="1" si="7"/>
        <v>Surfaces</v>
      </c>
      <c r="H71" cm="1">
        <f t="array" aca="1" ref="H71" ca="1">ROW(INDIRECT(A71))</f>
        <v>38</v>
      </c>
      <c r="I71" cm="1">
        <f t="array" aca="1" ref="I71" ca="1">COLUMN(INDIRECT(A71))</f>
        <v>15</v>
      </c>
      <c r="M71" t="str" cm="1">
        <f t="array" aca="1" ref="M71" ca="1">IF(AND(J71="O",ISBLANK(INDIRECT(A71))),"Valeur obligatoire non renseignée","")</f>
        <v/>
      </c>
    </row>
    <row r="72" spans="1:13" x14ac:dyDescent="0.25">
      <c r="A72" s="503" t="s">
        <v>3006</v>
      </c>
      <c r="B72" cm="1">
        <f t="array" aca="1" ref="B72" ca="1">INDIRECT(A72)</f>
        <v>0</v>
      </c>
      <c r="C72">
        <f t="shared" ca="1" si="4"/>
        <v>4</v>
      </c>
      <c r="D72" t="str" cm="1">
        <f t="array" aca="1" ref="D72" ca="1">CELL("nomfichier",INDIRECT(A72))</f>
        <v>G:\SCPE\sdc\bq\6 - Mentions valorisantes\Certification environnementale\TEXTES_REGLEMENTATION_CE\Plans_contrôle et grilles\Grille audit niveau 3\Grille d'audit v1.11\[grille-audit-hvev4-v1.11-vf.xlsx]Surfaces</v>
      </c>
      <c r="E72">
        <f t="shared" ca="1" si="5"/>
        <v>200</v>
      </c>
      <c r="F72">
        <f t="shared" ca="1" si="6"/>
        <v>208</v>
      </c>
      <c r="G72" t="str">
        <f t="shared" ca="1" si="7"/>
        <v>Surfaces</v>
      </c>
      <c r="H72" cm="1">
        <f t="array" aca="1" ref="H72" ca="1">ROW(INDIRECT(A72))</f>
        <v>38</v>
      </c>
      <c r="I72" cm="1">
        <f t="array" aca="1" ref="I72" ca="1">COLUMN(INDIRECT(A72))</f>
        <v>16</v>
      </c>
      <c r="M72" t="str" cm="1">
        <f t="array" aca="1" ref="M72" ca="1">IF(AND(J72="O",ISBLANK(INDIRECT(A72))),"Valeur obligatoire non renseignée","")</f>
        <v/>
      </c>
    </row>
    <row r="73" spans="1:13" x14ac:dyDescent="0.25">
      <c r="A73" s="503" t="s">
        <v>3072</v>
      </c>
      <c r="B73" cm="1">
        <f t="array" aca="1" ref="B73" ca="1">INDIRECT(A73)</f>
        <v>0</v>
      </c>
      <c r="C73">
        <f t="shared" ca="1" si="4"/>
        <v>4</v>
      </c>
      <c r="D73" t="str" cm="1">
        <f t="array" aca="1" ref="D73" ca="1">CELL("nomfichier",INDIRECT(A73))</f>
        <v>G:\SCPE\sdc\bq\6 - Mentions valorisantes\Certification environnementale\TEXTES_REGLEMENTATION_CE\Plans_contrôle et grilles\Grille audit niveau 3\Grille d'audit v1.11\[grille-audit-hvev4-v1.11-vf.xlsx]Surfaces</v>
      </c>
      <c r="E73">
        <f t="shared" ca="1" si="5"/>
        <v>200</v>
      </c>
      <c r="F73">
        <f t="shared" ca="1" si="6"/>
        <v>208</v>
      </c>
      <c r="G73" t="str">
        <f t="shared" ca="1" si="7"/>
        <v>Surfaces</v>
      </c>
      <c r="H73" cm="1">
        <f t="array" aca="1" ref="H73" ca="1">ROW(INDIRECT(A73))</f>
        <v>38</v>
      </c>
      <c r="I73" cm="1">
        <f t="array" aca="1" ref="I73" ca="1">COLUMN(INDIRECT(A73))</f>
        <v>17</v>
      </c>
      <c r="M73" t="str" cm="1">
        <f t="array" aca="1" ref="M73" ca="1">IF(AND(J73="O",ISBLANK(INDIRECT(A73))),"Valeur obligatoire non renseignée","")</f>
        <v/>
      </c>
    </row>
    <row r="74" spans="1:13" x14ac:dyDescent="0.25">
      <c r="A74" s="503" t="s">
        <v>2941</v>
      </c>
      <c r="B74" cm="1">
        <f t="array" aca="1" ref="B74" ca="1">INDIRECT(A74)</f>
        <v>0</v>
      </c>
      <c r="C74">
        <f t="shared" ca="1" si="4"/>
        <v>4</v>
      </c>
      <c r="D74" t="str" cm="1">
        <f t="array" aca="1" ref="D74" ca="1">CELL("nomfichier",INDIRECT(A74))</f>
        <v>G:\SCPE\sdc\bq\6 - Mentions valorisantes\Certification environnementale\TEXTES_REGLEMENTATION_CE\Plans_contrôle et grilles\Grille audit niveau 3\Grille d'audit v1.11\[grille-audit-hvev4-v1.11-vf.xlsx]Surfaces</v>
      </c>
      <c r="E74">
        <f t="shared" ca="1" si="5"/>
        <v>200</v>
      </c>
      <c r="F74">
        <f t="shared" ca="1" si="6"/>
        <v>208</v>
      </c>
      <c r="G74" t="str">
        <f t="shared" ca="1" si="7"/>
        <v>Surfaces</v>
      </c>
      <c r="H74" cm="1">
        <f t="array" aca="1" ref="H74" ca="1">ROW(INDIRECT(A74))</f>
        <v>39</v>
      </c>
      <c r="I74" cm="1">
        <f t="array" aca="1" ref="I74" ca="1">COLUMN(INDIRECT(A74))</f>
        <v>15</v>
      </c>
      <c r="M74" t="str" cm="1">
        <f t="array" aca="1" ref="M74" ca="1">IF(AND(J74="O",ISBLANK(INDIRECT(A74))),"Valeur obligatoire non renseignée","")</f>
        <v/>
      </c>
    </row>
    <row r="75" spans="1:13" x14ac:dyDescent="0.25">
      <c r="A75" s="503" t="s">
        <v>3007</v>
      </c>
      <c r="B75" cm="1">
        <f t="array" aca="1" ref="B75" ca="1">INDIRECT(A75)</f>
        <v>0</v>
      </c>
      <c r="C75">
        <f t="shared" ca="1" si="4"/>
        <v>4</v>
      </c>
      <c r="D75" t="str" cm="1">
        <f t="array" aca="1" ref="D75" ca="1">CELL("nomfichier",INDIRECT(A75))</f>
        <v>G:\SCPE\sdc\bq\6 - Mentions valorisantes\Certification environnementale\TEXTES_REGLEMENTATION_CE\Plans_contrôle et grilles\Grille audit niveau 3\Grille d'audit v1.11\[grille-audit-hvev4-v1.11-vf.xlsx]Surfaces</v>
      </c>
      <c r="E75">
        <f t="shared" ca="1" si="5"/>
        <v>200</v>
      </c>
      <c r="F75">
        <f t="shared" ca="1" si="6"/>
        <v>208</v>
      </c>
      <c r="G75" t="str">
        <f t="shared" ca="1" si="7"/>
        <v>Surfaces</v>
      </c>
      <c r="H75" cm="1">
        <f t="array" aca="1" ref="H75" ca="1">ROW(INDIRECT(A75))</f>
        <v>39</v>
      </c>
      <c r="I75" cm="1">
        <f t="array" aca="1" ref="I75" ca="1">COLUMN(INDIRECT(A75))</f>
        <v>16</v>
      </c>
      <c r="M75" t="str" cm="1">
        <f t="array" aca="1" ref="M75" ca="1">IF(AND(J75="O",ISBLANK(INDIRECT(A75))),"Valeur obligatoire non renseignée","")</f>
        <v/>
      </c>
    </row>
    <row r="76" spans="1:13" x14ac:dyDescent="0.25">
      <c r="A76" s="503" t="s">
        <v>3073</v>
      </c>
      <c r="B76" cm="1">
        <f t="array" aca="1" ref="B76" ca="1">INDIRECT(A76)</f>
        <v>0</v>
      </c>
      <c r="C76">
        <f t="shared" ca="1" si="4"/>
        <v>4</v>
      </c>
      <c r="D76" t="str" cm="1">
        <f t="array" aca="1" ref="D76" ca="1">CELL("nomfichier",INDIRECT(A76))</f>
        <v>G:\SCPE\sdc\bq\6 - Mentions valorisantes\Certification environnementale\TEXTES_REGLEMENTATION_CE\Plans_contrôle et grilles\Grille audit niveau 3\Grille d'audit v1.11\[grille-audit-hvev4-v1.11-vf.xlsx]Surfaces</v>
      </c>
      <c r="E76">
        <f t="shared" ca="1" si="5"/>
        <v>200</v>
      </c>
      <c r="F76">
        <f t="shared" ca="1" si="6"/>
        <v>208</v>
      </c>
      <c r="G76" t="str">
        <f t="shared" ca="1" si="7"/>
        <v>Surfaces</v>
      </c>
      <c r="H76" cm="1">
        <f t="array" aca="1" ref="H76" ca="1">ROW(INDIRECT(A76))</f>
        <v>39</v>
      </c>
      <c r="I76" cm="1">
        <f t="array" aca="1" ref="I76" ca="1">COLUMN(INDIRECT(A76))</f>
        <v>17</v>
      </c>
      <c r="M76" t="str" cm="1">
        <f t="array" aca="1" ref="M76" ca="1">IF(AND(J76="O",ISBLANK(INDIRECT(A76))),"Valeur obligatoire non renseignée","")</f>
        <v/>
      </c>
    </row>
    <row r="77" spans="1:13" x14ac:dyDescent="0.25">
      <c r="A77" s="503" t="s">
        <v>2942</v>
      </c>
      <c r="B77" cm="1">
        <f t="array" aca="1" ref="B77" ca="1">INDIRECT(A77)</f>
        <v>0</v>
      </c>
      <c r="C77">
        <f t="shared" ca="1" si="4"/>
        <v>4</v>
      </c>
      <c r="D77" t="str" cm="1">
        <f t="array" aca="1" ref="D77" ca="1">CELL("nomfichier",INDIRECT(A77))</f>
        <v>G:\SCPE\sdc\bq\6 - Mentions valorisantes\Certification environnementale\TEXTES_REGLEMENTATION_CE\Plans_contrôle et grilles\Grille audit niveau 3\Grille d'audit v1.11\[grille-audit-hvev4-v1.11-vf.xlsx]Surfaces</v>
      </c>
      <c r="E77">
        <f t="shared" ca="1" si="5"/>
        <v>200</v>
      </c>
      <c r="F77">
        <f t="shared" ca="1" si="6"/>
        <v>208</v>
      </c>
      <c r="G77" t="str">
        <f t="shared" ca="1" si="7"/>
        <v>Surfaces</v>
      </c>
      <c r="H77" cm="1">
        <f t="array" aca="1" ref="H77" ca="1">ROW(INDIRECT(A77))</f>
        <v>40</v>
      </c>
      <c r="I77" cm="1">
        <f t="array" aca="1" ref="I77" ca="1">COLUMN(INDIRECT(A77))</f>
        <v>15</v>
      </c>
      <c r="M77" t="str" cm="1">
        <f t="array" aca="1" ref="M77" ca="1">IF(AND(J77="O",ISBLANK(INDIRECT(A77))),"Valeur obligatoire non renseignée","")</f>
        <v/>
      </c>
    </row>
    <row r="78" spans="1:13" x14ac:dyDescent="0.25">
      <c r="A78" s="503" t="s">
        <v>3008</v>
      </c>
      <c r="B78" cm="1">
        <f t="array" aca="1" ref="B78" ca="1">INDIRECT(A78)</f>
        <v>0</v>
      </c>
      <c r="C78">
        <f t="shared" ca="1" si="4"/>
        <v>4</v>
      </c>
      <c r="D78" t="str" cm="1">
        <f t="array" aca="1" ref="D78" ca="1">CELL("nomfichier",INDIRECT(A78))</f>
        <v>G:\SCPE\sdc\bq\6 - Mentions valorisantes\Certification environnementale\TEXTES_REGLEMENTATION_CE\Plans_contrôle et grilles\Grille audit niveau 3\Grille d'audit v1.11\[grille-audit-hvev4-v1.11-vf.xlsx]Surfaces</v>
      </c>
      <c r="E78">
        <f t="shared" ca="1" si="5"/>
        <v>200</v>
      </c>
      <c r="F78">
        <f t="shared" ca="1" si="6"/>
        <v>208</v>
      </c>
      <c r="G78" t="str">
        <f t="shared" ca="1" si="7"/>
        <v>Surfaces</v>
      </c>
      <c r="H78" cm="1">
        <f t="array" aca="1" ref="H78" ca="1">ROW(INDIRECT(A78))</f>
        <v>40</v>
      </c>
      <c r="I78" cm="1">
        <f t="array" aca="1" ref="I78" ca="1">COLUMN(INDIRECT(A78))</f>
        <v>16</v>
      </c>
      <c r="M78" t="str" cm="1">
        <f t="array" aca="1" ref="M78" ca="1">IF(AND(J78="O",ISBLANK(INDIRECT(A78))),"Valeur obligatoire non renseignée","")</f>
        <v/>
      </c>
    </row>
    <row r="79" spans="1:13" x14ac:dyDescent="0.25">
      <c r="A79" s="503" t="s">
        <v>3074</v>
      </c>
      <c r="B79" cm="1">
        <f t="array" aca="1" ref="B79" ca="1">INDIRECT(A79)</f>
        <v>0</v>
      </c>
      <c r="C79">
        <f t="shared" ca="1" si="4"/>
        <v>4</v>
      </c>
      <c r="D79" t="str" cm="1">
        <f t="array" aca="1" ref="D79" ca="1">CELL("nomfichier",INDIRECT(A79))</f>
        <v>G:\SCPE\sdc\bq\6 - Mentions valorisantes\Certification environnementale\TEXTES_REGLEMENTATION_CE\Plans_contrôle et grilles\Grille audit niveau 3\Grille d'audit v1.11\[grille-audit-hvev4-v1.11-vf.xlsx]Surfaces</v>
      </c>
      <c r="E79">
        <f t="shared" ca="1" si="5"/>
        <v>200</v>
      </c>
      <c r="F79">
        <f t="shared" ca="1" si="6"/>
        <v>208</v>
      </c>
      <c r="G79" t="str">
        <f t="shared" ca="1" si="7"/>
        <v>Surfaces</v>
      </c>
      <c r="H79" cm="1">
        <f t="array" aca="1" ref="H79" ca="1">ROW(INDIRECT(A79))</f>
        <v>40</v>
      </c>
      <c r="I79" cm="1">
        <f t="array" aca="1" ref="I79" ca="1">COLUMN(INDIRECT(A79))</f>
        <v>17</v>
      </c>
      <c r="M79" t="str" cm="1">
        <f t="array" aca="1" ref="M79" ca="1">IF(AND(J79="O",ISBLANK(INDIRECT(A79))),"Valeur obligatoire non renseignée","")</f>
        <v/>
      </c>
    </row>
    <row r="80" spans="1:13" x14ac:dyDescent="0.25">
      <c r="A80" s="503" t="s">
        <v>2943</v>
      </c>
      <c r="B80" cm="1">
        <f t="array" aca="1" ref="B80" ca="1">INDIRECT(A80)</f>
        <v>0</v>
      </c>
      <c r="C80">
        <f t="shared" ca="1" si="4"/>
        <v>4</v>
      </c>
      <c r="D80" t="str" cm="1">
        <f t="array" aca="1" ref="D80" ca="1">CELL("nomfichier",INDIRECT(A80))</f>
        <v>G:\SCPE\sdc\bq\6 - Mentions valorisantes\Certification environnementale\TEXTES_REGLEMENTATION_CE\Plans_contrôle et grilles\Grille audit niveau 3\Grille d'audit v1.11\[grille-audit-hvev4-v1.11-vf.xlsx]Surfaces</v>
      </c>
      <c r="E80">
        <f t="shared" ca="1" si="5"/>
        <v>200</v>
      </c>
      <c r="F80">
        <f t="shared" ca="1" si="6"/>
        <v>208</v>
      </c>
      <c r="G80" t="str">
        <f t="shared" ca="1" si="7"/>
        <v>Surfaces</v>
      </c>
      <c r="H80" cm="1">
        <f t="array" aca="1" ref="H80" ca="1">ROW(INDIRECT(A80))</f>
        <v>41</v>
      </c>
      <c r="I80" cm="1">
        <f t="array" aca="1" ref="I80" ca="1">COLUMN(INDIRECT(A80))</f>
        <v>15</v>
      </c>
      <c r="M80" t="str" cm="1">
        <f t="array" aca="1" ref="M80" ca="1">IF(AND(J80="O",ISBLANK(INDIRECT(A80))),"Valeur obligatoire non renseignée","")</f>
        <v/>
      </c>
    </row>
    <row r="81" spans="1:13" x14ac:dyDescent="0.25">
      <c r="A81" s="503" t="s">
        <v>3009</v>
      </c>
      <c r="B81" cm="1">
        <f t="array" aca="1" ref="B81" ca="1">INDIRECT(A81)</f>
        <v>0</v>
      </c>
      <c r="C81">
        <f t="shared" ca="1" si="4"/>
        <v>4</v>
      </c>
      <c r="D81" t="str" cm="1">
        <f t="array" aca="1" ref="D81" ca="1">CELL("nomfichier",INDIRECT(A81))</f>
        <v>G:\SCPE\sdc\bq\6 - Mentions valorisantes\Certification environnementale\TEXTES_REGLEMENTATION_CE\Plans_contrôle et grilles\Grille audit niveau 3\Grille d'audit v1.11\[grille-audit-hvev4-v1.11-vf.xlsx]Surfaces</v>
      </c>
      <c r="E81">
        <f t="shared" ca="1" si="5"/>
        <v>200</v>
      </c>
      <c r="F81">
        <f t="shared" ca="1" si="6"/>
        <v>208</v>
      </c>
      <c r="G81" t="str">
        <f t="shared" ca="1" si="7"/>
        <v>Surfaces</v>
      </c>
      <c r="H81" cm="1">
        <f t="array" aca="1" ref="H81" ca="1">ROW(INDIRECT(A81))</f>
        <v>41</v>
      </c>
      <c r="I81" cm="1">
        <f t="array" aca="1" ref="I81" ca="1">COLUMN(INDIRECT(A81))</f>
        <v>16</v>
      </c>
      <c r="M81" t="str" cm="1">
        <f t="array" aca="1" ref="M81" ca="1">IF(AND(J81="O",ISBLANK(INDIRECT(A81))),"Valeur obligatoire non renseignée","")</f>
        <v/>
      </c>
    </row>
    <row r="82" spans="1:13" x14ac:dyDescent="0.25">
      <c r="A82" s="503" t="s">
        <v>3075</v>
      </c>
      <c r="B82" cm="1">
        <f t="array" aca="1" ref="B82" ca="1">INDIRECT(A82)</f>
        <v>0</v>
      </c>
      <c r="C82">
        <f t="shared" ca="1" si="4"/>
        <v>4</v>
      </c>
      <c r="D82" t="str" cm="1">
        <f t="array" aca="1" ref="D82" ca="1">CELL("nomfichier",INDIRECT(A82))</f>
        <v>G:\SCPE\sdc\bq\6 - Mentions valorisantes\Certification environnementale\TEXTES_REGLEMENTATION_CE\Plans_contrôle et grilles\Grille audit niveau 3\Grille d'audit v1.11\[grille-audit-hvev4-v1.11-vf.xlsx]Surfaces</v>
      </c>
      <c r="E82">
        <f t="shared" ca="1" si="5"/>
        <v>200</v>
      </c>
      <c r="F82">
        <f t="shared" ca="1" si="6"/>
        <v>208</v>
      </c>
      <c r="G82" t="str">
        <f t="shared" ca="1" si="7"/>
        <v>Surfaces</v>
      </c>
      <c r="H82" cm="1">
        <f t="array" aca="1" ref="H82" ca="1">ROW(INDIRECT(A82))</f>
        <v>41</v>
      </c>
      <c r="I82" cm="1">
        <f t="array" aca="1" ref="I82" ca="1">COLUMN(INDIRECT(A82))</f>
        <v>17</v>
      </c>
      <c r="M82" t="str" cm="1">
        <f t="array" aca="1" ref="M82" ca="1">IF(AND(J82="O",ISBLANK(INDIRECT(A82))),"Valeur obligatoire non renseignée","")</f>
        <v/>
      </c>
    </row>
    <row r="83" spans="1:13" x14ac:dyDescent="0.25">
      <c r="A83" s="503" t="s">
        <v>2944</v>
      </c>
      <c r="B83" cm="1">
        <f t="array" aca="1" ref="B83" ca="1">INDIRECT(A83)</f>
        <v>0</v>
      </c>
      <c r="C83">
        <f t="shared" ca="1" si="4"/>
        <v>4</v>
      </c>
      <c r="D83" t="str" cm="1">
        <f t="array" aca="1" ref="D83" ca="1">CELL("nomfichier",INDIRECT(A83))</f>
        <v>G:\SCPE\sdc\bq\6 - Mentions valorisantes\Certification environnementale\TEXTES_REGLEMENTATION_CE\Plans_contrôle et grilles\Grille audit niveau 3\Grille d'audit v1.11\[grille-audit-hvev4-v1.11-vf.xlsx]Surfaces</v>
      </c>
      <c r="E83">
        <f t="shared" ca="1" si="5"/>
        <v>200</v>
      </c>
      <c r="F83">
        <f t="shared" ca="1" si="6"/>
        <v>208</v>
      </c>
      <c r="G83" t="str">
        <f t="shared" ca="1" si="7"/>
        <v>Surfaces</v>
      </c>
      <c r="H83" cm="1">
        <f t="array" aca="1" ref="H83" ca="1">ROW(INDIRECT(A83))</f>
        <v>42</v>
      </c>
      <c r="I83" cm="1">
        <f t="array" aca="1" ref="I83" ca="1">COLUMN(INDIRECT(A83))</f>
        <v>15</v>
      </c>
      <c r="M83" t="str" cm="1">
        <f t="array" aca="1" ref="M83" ca="1">IF(AND(J83="O",ISBLANK(INDIRECT(A83))),"Valeur obligatoire non renseignée","")</f>
        <v/>
      </c>
    </row>
    <row r="84" spans="1:13" x14ac:dyDescent="0.25">
      <c r="A84" s="503" t="s">
        <v>3010</v>
      </c>
      <c r="B84" cm="1">
        <f t="array" aca="1" ref="B84" ca="1">INDIRECT(A84)</f>
        <v>0</v>
      </c>
      <c r="C84">
        <f t="shared" ca="1" si="4"/>
        <v>4</v>
      </c>
      <c r="D84" t="str" cm="1">
        <f t="array" aca="1" ref="D84" ca="1">CELL("nomfichier",INDIRECT(A84))</f>
        <v>G:\SCPE\sdc\bq\6 - Mentions valorisantes\Certification environnementale\TEXTES_REGLEMENTATION_CE\Plans_contrôle et grilles\Grille audit niveau 3\Grille d'audit v1.11\[grille-audit-hvev4-v1.11-vf.xlsx]Surfaces</v>
      </c>
      <c r="E84">
        <f t="shared" ca="1" si="5"/>
        <v>200</v>
      </c>
      <c r="F84">
        <f t="shared" ca="1" si="6"/>
        <v>208</v>
      </c>
      <c r="G84" t="str">
        <f t="shared" ca="1" si="7"/>
        <v>Surfaces</v>
      </c>
      <c r="H84" cm="1">
        <f t="array" aca="1" ref="H84" ca="1">ROW(INDIRECT(A84))</f>
        <v>42</v>
      </c>
      <c r="I84" cm="1">
        <f t="array" aca="1" ref="I84" ca="1">COLUMN(INDIRECT(A84))</f>
        <v>16</v>
      </c>
      <c r="M84" t="str" cm="1">
        <f t="array" aca="1" ref="M84" ca="1">IF(AND(J84="O",ISBLANK(INDIRECT(A84))),"Valeur obligatoire non renseignée","")</f>
        <v/>
      </c>
    </row>
    <row r="85" spans="1:13" x14ac:dyDescent="0.25">
      <c r="A85" s="503" t="s">
        <v>3076</v>
      </c>
      <c r="B85" cm="1">
        <f t="array" aca="1" ref="B85" ca="1">INDIRECT(A85)</f>
        <v>0</v>
      </c>
      <c r="C85">
        <f t="shared" ca="1" si="4"/>
        <v>4</v>
      </c>
      <c r="D85" t="str" cm="1">
        <f t="array" aca="1" ref="D85" ca="1">CELL("nomfichier",INDIRECT(A85))</f>
        <v>G:\SCPE\sdc\bq\6 - Mentions valorisantes\Certification environnementale\TEXTES_REGLEMENTATION_CE\Plans_contrôle et grilles\Grille audit niveau 3\Grille d'audit v1.11\[grille-audit-hvev4-v1.11-vf.xlsx]Surfaces</v>
      </c>
      <c r="E85">
        <f t="shared" ca="1" si="5"/>
        <v>200</v>
      </c>
      <c r="F85">
        <f t="shared" ca="1" si="6"/>
        <v>208</v>
      </c>
      <c r="G85" t="str">
        <f t="shared" ca="1" si="7"/>
        <v>Surfaces</v>
      </c>
      <c r="H85" cm="1">
        <f t="array" aca="1" ref="H85" ca="1">ROW(INDIRECT(A85))</f>
        <v>42</v>
      </c>
      <c r="I85" cm="1">
        <f t="array" aca="1" ref="I85" ca="1">COLUMN(INDIRECT(A85))</f>
        <v>17</v>
      </c>
      <c r="M85" t="str" cm="1">
        <f t="array" aca="1" ref="M85" ca="1">IF(AND(J85="O",ISBLANK(INDIRECT(A85))),"Valeur obligatoire non renseignée","")</f>
        <v/>
      </c>
    </row>
    <row r="86" spans="1:13" x14ac:dyDescent="0.25">
      <c r="A86" s="503" t="s">
        <v>2945</v>
      </c>
      <c r="B86" cm="1">
        <f t="array" aca="1" ref="B86" ca="1">INDIRECT(A86)</f>
        <v>0</v>
      </c>
      <c r="C86">
        <f t="shared" ca="1" si="4"/>
        <v>4</v>
      </c>
      <c r="D86" t="str" cm="1">
        <f t="array" aca="1" ref="D86" ca="1">CELL("nomfichier",INDIRECT(A86))</f>
        <v>G:\SCPE\sdc\bq\6 - Mentions valorisantes\Certification environnementale\TEXTES_REGLEMENTATION_CE\Plans_contrôle et grilles\Grille audit niveau 3\Grille d'audit v1.11\[grille-audit-hvev4-v1.11-vf.xlsx]Surfaces</v>
      </c>
      <c r="E86">
        <f t="shared" ca="1" si="5"/>
        <v>200</v>
      </c>
      <c r="F86">
        <f t="shared" ca="1" si="6"/>
        <v>208</v>
      </c>
      <c r="G86" t="str">
        <f t="shared" ca="1" si="7"/>
        <v>Surfaces</v>
      </c>
      <c r="H86" cm="1">
        <f t="array" aca="1" ref="H86" ca="1">ROW(INDIRECT(A86))</f>
        <v>45</v>
      </c>
      <c r="I86" cm="1">
        <f t="array" aca="1" ref="I86" ca="1">COLUMN(INDIRECT(A86))</f>
        <v>15</v>
      </c>
      <c r="M86" t="str" cm="1">
        <f t="array" aca="1" ref="M86" ca="1">IF(AND(J86="O",ISBLANK(INDIRECT(A86))),"Valeur obligatoire non renseignée","")</f>
        <v/>
      </c>
    </row>
    <row r="87" spans="1:13" x14ac:dyDescent="0.25">
      <c r="A87" s="503" t="s">
        <v>3011</v>
      </c>
      <c r="B87" cm="1">
        <f t="array" aca="1" ref="B87" ca="1">INDIRECT(A87)</f>
        <v>0</v>
      </c>
      <c r="C87">
        <f t="shared" ca="1" si="4"/>
        <v>4</v>
      </c>
      <c r="D87" t="str" cm="1">
        <f t="array" aca="1" ref="D87" ca="1">CELL("nomfichier",INDIRECT(A87))</f>
        <v>G:\SCPE\sdc\bq\6 - Mentions valorisantes\Certification environnementale\TEXTES_REGLEMENTATION_CE\Plans_contrôle et grilles\Grille audit niveau 3\Grille d'audit v1.11\[grille-audit-hvev4-v1.11-vf.xlsx]Surfaces</v>
      </c>
      <c r="E87">
        <f t="shared" ca="1" si="5"/>
        <v>200</v>
      </c>
      <c r="F87">
        <f t="shared" ca="1" si="6"/>
        <v>208</v>
      </c>
      <c r="G87" t="str">
        <f t="shared" ca="1" si="7"/>
        <v>Surfaces</v>
      </c>
      <c r="H87" cm="1">
        <f t="array" aca="1" ref="H87" ca="1">ROW(INDIRECT(A87))</f>
        <v>45</v>
      </c>
      <c r="I87" cm="1">
        <f t="array" aca="1" ref="I87" ca="1">COLUMN(INDIRECT(A87))</f>
        <v>16</v>
      </c>
      <c r="M87" t="str" cm="1">
        <f t="array" aca="1" ref="M87" ca="1">IF(AND(J87="O",ISBLANK(INDIRECT(A87))),"Valeur obligatoire non renseignée","")</f>
        <v/>
      </c>
    </row>
    <row r="88" spans="1:13" x14ac:dyDescent="0.25">
      <c r="A88" s="503" t="s">
        <v>3077</v>
      </c>
      <c r="B88" cm="1">
        <f t="array" aca="1" ref="B88" ca="1">INDIRECT(A88)</f>
        <v>0</v>
      </c>
      <c r="C88">
        <f t="shared" ca="1" si="4"/>
        <v>4</v>
      </c>
      <c r="D88" t="str" cm="1">
        <f t="array" aca="1" ref="D88" ca="1">CELL("nomfichier",INDIRECT(A88))</f>
        <v>G:\SCPE\sdc\bq\6 - Mentions valorisantes\Certification environnementale\TEXTES_REGLEMENTATION_CE\Plans_contrôle et grilles\Grille audit niveau 3\Grille d'audit v1.11\[grille-audit-hvev4-v1.11-vf.xlsx]Surfaces</v>
      </c>
      <c r="E88">
        <f t="shared" ca="1" si="5"/>
        <v>200</v>
      </c>
      <c r="F88">
        <f t="shared" ca="1" si="6"/>
        <v>208</v>
      </c>
      <c r="G88" t="str">
        <f t="shared" ca="1" si="7"/>
        <v>Surfaces</v>
      </c>
      <c r="H88" cm="1">
        <f t="array" aca="1" ref="H88" ca="1">ROW(INDIRECT(A88))</f>
        <v>45</v>
      </c>
      <c r="I88" cm="1">
        <f t="array" aca="1" ref="I88" ca="1">COLUMN(INDIRECT(A88))</f>
        <v>17</v>
      </c>
      <c r="M88" t="str" cm="1">
        <f t="array" aca="1" ref="M88" ca="1">IF(AND(J88="O",ISBLANK(INDIRECT(A88))),"Valeur obligatoire non renseignée","")</f>
        <v/>
      </c>
    </row>
    <row r="89" spans="1:13" x14ac:dyDescent="0.25">
      <c r="A89" s="503" t="s">
        <v>2946</v>
      </c>
      <c r="B89" cm="1">
        <f t="array" aca="1" ref="B89" ca="1">INDIRECT(A89)</f>
        <v>0</v>
      </c>
      <c r="C89">
        <f t="shared" ca="1" si="4"/>
        <v>4</v>
      </c>
      <c r="D89" t="str" cm="1">
        <f t="array" aca="1" ref="D89" ca="1">CELL("nomfichier",INDIRECT(A89))</f>
        <v>G:\SCPE\sdc\bq\6 - Mentions valorisantes\Certification environnementale\TEXTES_REGLEMENTATION_CE\Plans_contrôle et grilles\Grille audit niveau 3\Grille d'audit v1.11\[grille-audit-hvev4-v1.11-vf.xlsx]Surfaces</v>
      </c>
      <c r="E89">
        <f t="shared" ca="1" si="5"/>
        <v>200</v>
      </c>
      <c r="F89">
        <f t="shared" ca="1" si="6"/>
        <v>208</v>
      </c>
      <c r="G89" t="str">
        <f t="shared" ca="1" si="7"/>
        <v>Surfaces</v>
      </c>
      <c r="H89" cm="1">
        <f t="array" aca="1" ref="H89" ca="1">ROW(INDIRECT(A89))</f>
        <v>46</v>
      </c>
      <c r="I89" cm="1">
        <f t="array" aca="1" ref="I89" ca="1">COLUMN(INDIRECT(A89))</f>
        <v>15</v>
      </c>
      <c r="M89" t="str" cm="1">
        <f t="array" aca="1" ref="M89" ca="1">IF(AND(J89="O",ISBLANK(INDIRECT(A89))),"Valeur obligatoire non renseignée","")</f>
        <v/>
      </c>
    </row>
    <row r="90" spans="1:13" x14ac:dyDescent="0.25">
      <c r="A90" s="503" t="s">
        <v>3012</v>
      </c>
      <c r="B90" cm="1">
        <f t="array" aca="1" ref="B90" ca="1">INDIRECT(A90)</f>
        <v>0</v>
      </c>
      <c r="C90">
        <f t="shared" ca="1" si="4"/>
        <v>4</v>
      </c>
      <c r="D90" t="str" cm="1">
        <f t="array" aca="1" ref="D90" ca="1">CELL("nomfichier",INDIRECT(A90))</f>
        <v>G:\SCPE\sdc\bq\6 - Mentions valorisantes\Certification environnementale\TEXTES_REGLEMENTATION_CE\Plans_contrôle et grilles\Grille audit niveau 3\Grille d'audit v1.11\[grille-audit-hvev4-v1.11-vf.xlsx]Surfaces</v>
      </c>
      <c r="E90">
        <f t="shared" ca="1" si="5"/>
        <v>200</v>
      </c>
      <c r="F90">
        <f t="shared" ca="1" si="6"/>
        <v>208</v>
      </c>
      <c r="G90" t="str">
        <f t="shared" ca="1" si="7"/>
        <v>Surfaces</v>
      </c>
      <c r="H90" cm="1">
        <f t="array" aca="1" ref="H90" ca="1">ROW(INDIRECT(A90))</f>
        <v>46</v>
      </c>
      <c r="I90" cm="1">
        <f t="array" aca="1" ref="I90" ca="1">COLUMN(INDIRECT(A90))</f>
        <v>16</v>
      </c>
      <c r="M90" t="str" cm="1">
        <f t="array" aca="1" ref="M90" ca="1">IF(AND(J90="O",ISBLANK(INDIRECT(A90))),"Valeur obligatoire non renseignée","")</f>
        <v/>
      </c>
    </row>
    <row r="91" spans="1:13" x14ac:dyDescent="0.25">
      <c r="A91" s="503" t="s">
        <v>3078</v>
      </c>
      <c r="B91" cm="1">
        <f t="array" aca="1" ref="B91" ca="1">INDIRECT(A91)</f>
        <v>0</v>
      </c>
      <c r="C91">
        <f t="shared" ca="1" si="4"/>
        <v>4</v>
      </c>
      <c r="D91" t="str" cm="1">
        <f t="array" aca="1" ref="D91" ca="1">CELL("nomfichier",INDIRECT(A91))</f>
        <v>G:\SCPE\sdc\bq\6 - Mentions valorisantes\Certification environnementale\TEXTES_REGLEMENTATION_CE\Plans_contrôle et grilles\Grille audit niveau 3\Grille d'audit v1.11\[grille-audit-hvev4-v1.11-vf.xlsx]Surfaces</v>
      </c>
      <c r="E91">
        <f t="shared" ca="1" si="5"/>
        <v>200</v>
      </c>
      <c r="F91">
        <f t="shared" ca="1" si="6"/>
        <v>208</v>
      </c>
      <c r="G91" t="str">
        <f t="shared" ca="1" si="7"/>
        <v>Surfaces</v>
      </c>
      <c r="H91" cm="1">
        <f t="array" aca="1" ref="H91" ca="1">ROW(INDIRECT(A91))</f>
        <v>46</v>
      </c>
      <c r="I91" cm="1">
        <f t="array" aca="1" ref="I91" ca="1">COLUMN(INDIRECT(A91))</f>
        <v>17</v>
      </c>
      <c r="M91" t="str" cm="1">
        <f t="array" aca="1" ref="M91" ca="1">IF(AND(J91="O",ISBLANK(INDIRECT(A91))),"Valeur obligatoire non renseignée","")</f>
        <v/>
      </c>
    </row>
    <row r="92" spans="1:13" x14ac:dyDescent="0.25">
      <c r="A92" s="503" t="s">
        <v>2947</v>
      </c>
      <c r="B92" cm="1">
        <f t="array" aca="1" ref="B92" ca="1">INDIRECT(A92)</f>
        <v>0</v>
      </c>
      <c r="C92">
        <f t="shared" ca="1" si="4"/>
        <v>4</v>
      </c>
      <c r="D92" t="str" cm="1">
        <f t="array" aca="1" ref="D92" ca="1">CELL("nomfichier",INDIRECT(A92))</f>
        <v>G:\SCPE\sdc\bq\6 - Mentions valorisantes\Certification environnementale\TEXTES_REGLEMENTATION_CE\Plans_contrôle et grilles\Grille audit niveau 3\Grille d'audit v1.11\[grille-audit-hvev4-v1.11-vf.xlsx]Surfaces</v>
      </c>
      <c r="E92">
        <f t="shared" ca="1" si="5"/>
        <v>200</v>
      </c>
      <c r="F92">
        <f t="shared" ca="1" si="6"/>
        <v>208</v>
      </c>
      <c r="G92" t="str">
        <f t="shared" ca="1" si="7"/>
        <v>Surfaces</v>
      </c>
      <c r="H92" cm="1">
        <f t="array" aca="1" ref="H92" ca="1">ROW(INDIRECT(A92))</f>
        <v>47</v>
      </c>
      <c r="I92" cm="1">
        <f t="array" aca="1" ref="I92" ca="1">COLUMN(INDIRECT(A92))</f>
        <v>15</v>
      </c>
      <c r="M92" t="str" cm="1">
        <f t="array" aca="1" ref="M92" ca="1">IF(AND(J92="O",ISBLANK(INDIRECT(A92))),"Valeur obligatoire non renseignée","")</f>
        <v/>
      </c>
    </row>
    <row r="93" spans="1:13" x14ac:dyDescent="0.25">
      <c r="A93" s="503" t="s">
        <v>3013</v>
      </c>
      <c r="B93" cm="1">
        <f t="array" aca="1" ref="B93" ca="1">INDIRECT(A93)</f>
        <v>0</v>
      </c>
      <c r="C93">
        <f t="shared" ca="1" si="4"/>
        <v>4</v>
      </c>
      <c r="D93" t="str" cm="1">
        <f t="array" aca="1" ref="D93" ca="1">CELL("nomfichier",INDIRECT(A93))</f>
        <v>G:\SCPE\sdc\bq\6 - Mentions valorisantes\Certification environnementale\TEXTES_REGLEMENTATION_CE\Plans_contrôle et grilles\Grille audit niveau 3\Grille d'audit v1.11\[grille-audit-hvev4-v1.11-vf.xlsx]Surfaces</v>
      </c>
      <c r="E93">
        <f t="shared" ca="1" si="5"/>
        <v>200</v>
      </c>
      <c r="F93">
        <f t="shared" ca="1" si="6"/>
        <v>208</v>
      </c>
      <c r="G93" t="str">
        <f t="shared" ca="1" si="7"/>
        <v>Surfaces</v>
      </c>
      <c r="H93" cm="1">
        <f t="array" aca="1" ref="H93" ca="1">ROW(INDIRECT(A93))</f>
        <v>47</v>
      </c>
      <c r="I93" cm="1">
        <f t="array" aca="1" ref="I93" ca="1">COLUMN(INDIRECT(A93))</f>
        <v>16</v>
      </c>
      <c r="M93" t="str" cm="1">
        <f t="array" aca="1" ref="M93" ca="1">IF(AND(J93="O",ISBLANK(INDIRECT(A93))),"Valeur obligatoire non renseignée","")</f>
        <v/>
      </c>
    </row>
    <row r="94" spans="1:13" x14ac:dyDescent="0.25">
      <c r="A94" s="503" t="s">
        <v>3079</v>
      </c>
      <c r="B94" cm="1">
        <f t="array" aca="1" ref="B94" ca="1">INDIRECT(A94)</f>
        <v>0</v>
      </c>
      <c r="C94">
        <f t="shared" ca="1" si="4"/>
        <v>4</v>
      </c>
      <c r="D94" t="str" cm="1">
        <f t="array" aca="1" ref="D94" ca="1">CELL("nomfichier",INDIRECT(A94))</f>
        <v>G:\SCPE\sdc\bq\6 - Mentions valorisantes\Certification environnementale\TEXTES_REGLEMENTATION_CE\Plans_contrôle et grilles\Grille audit niveau 3\Grille d'audit v1.11\[grille-audit-hvev4-v1.11-vf.xlsx]Surfaces</v>
      </c>
      <c r="E94">
        <f t="shared" ca="1" si="5"/>
        <v>200</v>
      </c>
      <c r="F94">
        <f t="shared" ca="1" si="6"/>
        <v>208</v>
      </c>
      <c r="G94" t="str">
        <f t="shared" ca="1" si="7"/>
        <v>Surfaces</v>
      </c>
      <c r="H94" cm="1">
        <f t="array" aca="1" ref="H94" ca="1">ROW(INDIRECT(A94))</f>
        <v>47</v>
      </c>
      <c r="I94" cm="1">
        <f t="array" aca="1" ref="I94" ca="1">COLUMN(INDIRECT(A94))</f>
        <v>17</v>
      </c>
      <c r="M94" t="str" cm="1">
        <f t="array" aca="1" ref="M94" ca="1">IF(AND(J94="O",ISBLANK(INDIRECT(A94))),"Valeur obligatoire non renseignée","")</f>
        <v/>
      </c>
    </row>
    <row r="95" spans="1:13" x14ac:dyDescent="0.25">
      <c r="A95" s="503" t="s">
        <v>2948</v>
      </c>
      <c r="B95" cm="1">
        <f t="array" aca="1" ref="B95" ca="1">INDIRECT(A95)</f>
        <v>0</v>
      </c>
      <c r="C95">
        <f t="shared" ca="1" si="4"/>
        <v>4</v>
      </c>
      <c r="D95" t="str" cm="1">
        <f t="array" aca="1" ref="D95" ca="1">CELL("nomfichier",INDIRECT(A95))</f>
        <v>G:\SCPE\sdc\bq\6 - Mentions valorisantes\Certification environnementale\TEXTES_REGLEMENTATION_CE\Plans_contrôle et grilles\Grille audit niveau 3\Grille d'audit v1.11\[grille-audit-hvev4-v1.11-vf.xlsx]Surfaces</v>
      </c>
      <c r="E95">
        <f t="shared" ca="1" si="5"/>
        <v>200</v>
      </c>
      <c r="F95">
        <f t="shared" ca="1" si="6"/>
        <v>208</v>
      </c>
      <c r="G95" t="str">
        <f t="shared" ca="1" si="7"/>
        <v>Surfaces</v>
      </c>
      <c r="H95" cm="1">
        <f t="array" aca="1" ref="H95" ca="1">ROW(INDIRECT(A95))</f>
        <v>49</v>
      </c>
      <c r="I95" cm="1">
        <f t="array" aca="1" ref="I95" ca="1">COLUMN(INDIRECT(A95))</f>
        <v>15</v>
      </c>
      <c r="M95" t="str" cm="1">
        <f t="array" aca="1" ref="M95" ca="1">IF(AND(J95="O",ISBLANK(INDIRECT(A95))),"Valeur obligatoire non renseignée","")</f>
        <v/>
      </c>
    </row>
    <row r="96" spans="1:13" x14ac:dyDescent="0.25">
      <c r="A96" s="503" t="s">
        <v>3014</v>
      </c>
      <c r="B96" cm="1">
        <f t="array" aca="1" ref="B96" ca="1">INDIRECT(A96)</f>
        <v>0</v>
      </c>
      <c r="C96">
        <f t="shared" ca="1" si="4"/>
        <v>4</v>
      </c>
      <c r="D96" t="str" cm="1">
        <f t="array" aca="1" ref="D96" ca="1">CELL("nomfichier",INDIRECT(A96))</f>
        <v>G:\SCPE\sdc\bq\6 - Mentions valorisantes\Certification environnementale\TEXTES_REGLEMENTATION_CE\Plans_contrôle et grilles\Grille audit niveau 3\Grille d'audit v1.11\[grille-audit-hvev4-v1.11-vf.xlsx]Surfaces</v>
      </c>
      <c r="E96">
        <f t="shared" ca="1" si="5"/>
        <v>200</v>
      </c>
      <c r="F96">
        <f t="shared" ca="1" si="6"/>
        <v>208</v>
      </c>
      <c r="G96" t="str">
        <f t="shared" ca="1" si="7"/>
        <v>Surfaces</v>
      </c>
      <c r="H96" cm="1">
        <f t="array" aca="1" ref="H96" ca="1">ROW(INDIRECT(A96))</f>
        <v>49</v>
      </c>
      <c r="I96" cm="1">
        <f t="array" aca="1" ref="I96" ca="1">COLUMN(INDIRECT(A96))</f>
        <v>16</v>
      </c>
      <c r="M96" t="str" cm="1">
        <f t="array" aca="1" ref="M96" ca="1">IF(AND(J96="O",ISBLANK(INDIRECT(A96))),"Valeur obligatoire non renseignée","")</f>
        <v/>
      </c>
    </row>
    <row r="97" spans="1:13" x14ac:dyDescent="0.25">
      <c r="A97" s="503" t="s">
        <v>3080</v>
      </c>
      <c r="B97" cm="1">
        <f t="array" aca="1" ref="B97" ca="1">INDIRECT(A97)</f>
        <v>0</v>
      </c>
      <c r="C97">
        <f t="shared" ca="1" si="4"/>
        <v>4</v>
      </c>
      <c r="D97" t="str" cm="1">
        <f t="array" aca="1" ref="D97" ca="1">CELL("nomfichier",INDIRECT(A97))</f>
        <v>G:\SCPE\sdc\bq\6 - Mentions valorisantes\Certification environnementale\TEXTES_REGLEMENTATION_CE\Plans_contrôle et grilles\Grille audit niveau 3\Grille d'audit v1.11\[grille-audit-hvev4-v1.11-vf.xlsx]Surfaces</v>
      </c>
      <c r="E97">
        <f t="shared" ca="1" si="5"/>
        <v>200</v>
      </c>
      <c r="F97">
        <f t="shared" ca="1" si="6"/>
        <v>208</v>
      </c>
      <c r="G97" t="str">
        <f t="shared" ca="1" si="7"/>
        <v>Surfaces</v>
      </c>
      <c r="H97" cm="1">
        <f t="array" aca="1" ref="H97" ca="1">ROW(INDIRECT(A97))</f>
        <v>49</v>
      </c>
      <c r="I97" cm="1">
        <f t="array" aca="1" ref="I97" ca="1">COLUMN(INDIRECT(A97))</f>
        <v>17</v>
      </c>
      <c r="M97" t="str" cm="1">
        <f t="array" aca="1" ref="M97" ca="1">IF(AND(J97="O",ISBLANK(INDIRECT(A97))),"Valeur obligatoire non renseignée","")</f>
        <v/>
      </c>
    </row>
    <row r="98" spans="1:13" x14ac:dyDescent="0.25">
      <c r="A98" s="503" t="s">
        <v>2949</v>
      </c>
      <c r="B98" cm="1">
        <f t="array" aca="1" ref="B98" ca="1">INDIRECT(A98)</f>
        <v>0</v>
      </c>
      <c r="C98">
        <f t="shared" ca="1" si="4"/>
        <v>4</v>
      </c>
      <c r="D98" t="str" cm="1">
        <f t="array" aca="1" ref="D98" ca="1">CELL("nomfichier",INDIRECT(A98))</f>
        <v>G:\SCPE\sdc\bq\6 - Mentions valorisantes\Certification environnementale\TEXTES_REGLEMENTATION_CE\Plans_contrôle et grilles\Grille audit niveau 3\Grille d'audit v1.11\[grille-audit-hvev4-v1.11-vf.xlsx]Surfaces</v>
      </c>
      <c r="E98">
        <f t="shared" ca="1" si="5"/>
        <v>200</v>
      </c>
      <c r="F98">
        <f t="shared" ca="1" si="6"/>
        <v>208</v>
      </c>
      <c r="G98" t="str">
        <f t="shared" ca="1" si="7"/>
        <v>Surfaces</v>
      </c>
      <c r="H98" cm="1">
        <f t="array" aca="1" ref="H98" ca="1">ROW(INDIRECT(A98))</f>
        <v>51</v>
      </c>
      <c r="I98" cm="1">
        <f t="array" aca="1" ref="I98" ca="1">COLUMN(INDIRECT(A98))</f>
        <v>15</v>
      </c>
      <c r="M98" t="str" cm="1">
        <f t="array" aca="1" ref="M98" ca="1">IF(AND(J98="O",ISBLANK(INDIRECT(A98))),"Valeur obligatoire non renseignée","")</f>
        <v/>
      </c>
    </row>
    <row r="99" spans="1:13" x14ac:dyDescent="0.25">
      <c r="A99" s="503" t="s">
        <v>3015</v>
      </c>
      <c r="B99" cm="1">
        <f t="array" aca="1" ref="B99" ca="1">INDIRECT(A99)</f>
        <v>0</v>
      </c>
      <c r="C99">
        <f t="shared" ca="1" si="4"/>
        <v>4</v>
      </c>
      <c r="D99" t="str" cm="1">
        <f t="array" aca="1" ref="D99" ca="1">CELL("nomfichier",INDIRECT(A99))</f>
        <v>G:\SCPE\sdc\bq\6 - Mentions valorisantes\Certification environnementale\TEXTES_REGLEMENTATION_CE\Plans_contrôle et grilles\Grille audit niveau 3\Grille d'audit v1.11\[grille-audit-hvev4-v1.11-vf.xlsx]Surfaces</v>
      </c>
      <c r="E99">
        <f t="shared" ca="1" si="5"/>
        <v>200</v>
      </c>
      <c r="F99">
        <f t="shared" ca="1" si="6"/>
        <v>208</v>
      </c>
      <c r="G99" t="str">
        <f t="shared" ca="1" si="7"/>
        <v>Surfaces</v>
      </c>
      <c r="H99" cm="1">
        <f t="array" aca="1" ref="H99" ca="1">ROW(INDIRECT(A99))</f>
        <v>51</v>
      </c>
      <c r="I99" cm="1">
        <f t="array" aca="1" ref="I99" ca="1">COLUMN(INDIRECT(A99))</f>
        <v>16</v>
      </c>
      <c r="M99" t="str" cm="1">
        <f t="array" aca="1" ref="M99" ca="1">IF(AND(J99="O",ISBLANK(INDIRECT(A99))),"Valeur obligatoire non renseignée","")</f>
        <v/>
      </c>
    </row>
    <row r="100" spans="1:13" x14ac:dyDescent="0.25">
      <c r="A100" s="503" t="s">
        <v>3081</v>
      </c>
      <c r="B100" cm="1">
        <f t="array" aca="1" ref="B100" ca="1">INDIRECT(A100)</f>
        <v>0</v>
      </c>
      <c r="C100">
        <f t="shared" ca="1" si="4"/>
        <v>4</v>
      </c>
      <c r="D100" t="str" cm="1">
        <f t="array" aca="1" ref="D100" ca="1">CELL("nomfichier",INDIRECT(A100))</f>
        <v>G:\SCPE\sdc\bq\6 - Mentions valorisantes\Certification environnementale\TEXTES_REGLEMENTATION_CE\Plans_contrôle et grilles\Grille audit niveau 3\Grille d'audit v1.11\[grille-audit-hvev4-v1.11-vf.xlsx]Surfaces</v>
      </c>
      <c r="E100">
        <f t="shared" ca="1" si="5"/>
        <v>200</v>
      </c>
      <c r="F100">
        <f t="shared" ca="1" si="6"/>
        <v>208</v>
      </c>
      <c r="G100" t="str">
        <f t="shared" ca="1" si="7"/>
        <v>Surfaces</v>
      </c>
      <c r="H100" cm="1">
        <f t="array" aca="1" ref="H100" ca="1">ROW(INDIRECT(A100))</f>
        <v>51</v>
      </c>
      <c r="I100" cm="1">
        <f t="array" aca="1" ref="I100" ca="1">COLUMN(INDIRECT(A100))</f>
        <v>17</v>
      </c>
      <c r="M100" t="str" cm="1">
        <f t="array" aca="1" ref="M100" ca="1">IF(AND(J100="O",ISBLANK(INDIRECT(A100))),"Valeur obligatoire non renseignée","")</f>
        <v/>
      </c>
    </row>
    <row r="101" spans="1:13" x14ac:dyDescent="0.25">
      <c r="A101" s="503" t="s">
        <v>2950</v>
      </c>
      <c r="B101" cm="1">
        <f t="array" aca="1" ref="B101" ca="1">INDIRECT(A101)</f>
        <v>0</v>
      </c>
      <c r="C101">
        <f t="shared" ca="1" si="4"/>
        <v>4</v>
      </c>
      <c r="D101" t="str" cm="1">
        <f t="array" aca="1" ref="D101" ca="1">CELL("nomfichier",INDIRECT(A101))</f>
        <v>G:\SCPE\sdc\bq\6 - Mentions valorisantes\Certification environnementale\TEXTES_REGLEMENTATION_CE\Plans_contrôle et grilles\Grille audit niveau 3\Grille d'audit v1.11\[grille-audit-hvev4-v1.11-vf.xlsx]Surfaces</v>
      </c>
      <c r="E101">
        <f t="shared" ca="1" si="5"/>
        <v>200</v>
      </c>
      <c r="F101">
        <f t="shared" ca="1" si="6"/>
        <v>208</v>
      </c>
      <c r="G101" t="str">
        <f t="shared" ca="1" si="7"/>
        <v>Surfaces</v>
      </c>
      <c r="H101" cm="1">
        <f t="array" aca="1" ref="H101" ca="1">ROW(INDIRECT(A101))</f>
        <v>53</v>
      </c>
      <c r="I101" cm="1">
        <f t="array" aca="1" ref="I101" ca="1">COLUMN(INDIRECT(A101))</f>
        <v>15</v>
      </c>
      <c r="M101" t="str" cm="1">
        <f t="array" aca="1" ref="M101" ca="1">IF(AND(J101="O",ISBLANK(INDIRECT(A101))),"Valeur obligatoire non renseignée","")</f>
        <v/>
      </c>
    </row>
    <row r="102" spans="1:13" x14ac:dyDescent="0.25">
      <c r="A102" s="503" t="s">
        <v>3016</v>
      </c>
      <c r="B102" cm="1">
        <f t="array" aca="1" ref="B102" ca="1">INDIRECT(A102)</f>
        <v>0</v>
      </c>
      <c r="C102">
        <f t="shared" ca="1" si="4"/>
        <v>4</v>
      </c>
      <c r="D102" t="str" cm="1">
        <f t="array" aca="1" ref="D102" ca="1">CELL("nomfichier",INDIRECT(A102))</f>
        <v>G:\SCPE\sdc\bq\6 - Mentions valorisantes\Certification environnementale\TEXTES_REGLEMENTATION_CE\Plans_contrôle et grilles\Grille audit niveau 3\Grille d'audit v1.11\[grille-audit-hvev4-v1.11-vf.xlsx]Surfaces</v>
      </c>
      <c r="E102">
        <f t="shared" ca="1" si="5"/>
        <v>200</v>
      </c>
      <c r="F102">
        <f t="shared" ca="1" si="6"/>
        <v>208</v>
      </c>
      <c r="G102" t="str">
        <f t="shared" ca="1" si="7"/>
        <v>Surfaces</v>
      </c>
      <c r="H102" cm="1">
        <f t="array" aca="1" ref="H102" ca="1">ROW(INDIRECT(A102))</f>
        <v>53</v>
      </c>
      <c r="I102" cm="1">
        <f t="array" aca="1" ref="I102" ca="1">COLUMN(INDIRECT(A102))</f>
        <v>16</v>
      </c>
      <c r="M102" t="str" cm="1">
        <f t="array" aca="1" ref="M102" ca="1">IF(AND(J102="O",ISBLANK(INDIRECT(A102))),"Valeur obligatoire non renseignée","")</f>
        <v/>
      </c>
    </row>
    <row r="103" spans="1:13" x14ac:dyDescent="0.25">
      <c r="A103" s="503" t="s">
        <v>3082</v>
      </c>
      <c r="B103" cm="1">
        <f t="array" aca="1" ref="B103" ca="1">INDIRECT(A103)</f>
        <v>0</v>
      </c>
      <c r="C103">
        <f t="shared" ca="1" si="4"/>
        <v>4</v>
      </c>
      <c r="D103" t="str" cm="1">
        <f t="array" aca="1" ref="D103" ca="1">CELL("nomfichier",INDIRECT(A103))</f>
        <v>G:\SCPE\sdc\bq\6 - Mentions valorisantes\Certification environnementale\TEXTES_REGLEMENTATION_CE\Plans_contrôle et grilles\Grille audit niveau 3\Grille d'audit v1.11\[grille-audit-hvev4-v1.11-vf.xlsx]Surfaces</v>
      </c>
      <c r="E103">
        <f t="shared" ca="1" si="5"/>
        <v>200</v>
      </c>
      <c r="F103">
        <f t="shared" ca="1" si="6"/>
        <v>208</v>
      </c>
      <c r="G103" t="str">
        <f t="shared" ca="1" si="7"/>
        <v>Surfaces</v>
      </c>
      <c r="H103" cm="1">
        <f t="array" aca="1" ref="H103" ca="1">ROW(INDIRECT(A103))</f>
        <v>53</v>
      </c>
      <c r="I103" cm="1">
        <f t="array" aca="1" ref="I103" ca="1">COLUMN(INDIRECT(A103))</f>
        <v>17</v>
      </c>
      <c r="M103" t="str" cm="1">
        <f t="array" aca="1" ref="M103" ca="1">IF(AND(J103="O",ISBLANK(INDIRECT(A103))),"Valeur obligatoire non renseignée","")</f>
        <v/>
      </c>
    </row>
    <row r="104" spans="1:13" x14ac:dyDescent="0.25">
      <c r="A104" s="503" t="s">
        <v>2951</v>
      </c>
      <c r="B104" cm="1">
        <f t="array" aca="1" ref="B104" ca="1">INDIRECT(A104)</f>
        <v>0</v>
      </c>
      <c r="C104">
        <f t="shared" ca="1" si="4"/>
        <v>4</v>
      </c>
      <c r="D104" t="str" cm="1">
        <f t="array" aca="1" ref="D104" ca="1">CELL("nomfichier",INDIRECT(A104))</f>
        <v>G:\SCPE\sdc\bq\6 - Mentions valorisantes\Certification environnementale\TEXTES_REGLEMENTATION_CE\Plans_contrôle et grilles\Grille audit niveau 3\Grille d'audit v1.11\[grille-audit-hvev4-v1.11-vf.xlsx]Surfaces</v>
      </c>
      <c r="E104">
        <f t="shared" ca="1" si="5"/>
        <v>200</v>
      </c>
      <c r="F104">
        <f t="shared" ca="1" si="6"/>
        <v>208</v>
      </c>
      <c r="G104" t="str">
        <f t="shared" ca="1" si="7"/>
        <v>Surfaces</v>
      </c>
      <c r="H104" cm="1">
        <f t="array" aca="1" ref="H104" ca="1">ROW(INDIRECT(A104))</f>
        <v>54</v>
      </c>
      <c r="I104" cm="1">
        <f t="array" aca="1" ref="I104" ca="1">COLUMN(INDIRECT(A104))</f>
        <v>15</v>
      </c>
      <c r="M104" t="str" cm="1">
        <f t="array" aca="1" ref="M104" ca="1">IF(AND(J104="O",ISBLANK(INDIRECT(A104))),"Valeur obligatoire non renseignée","")</f>
        <v/>
      </c>
    </row>
    <row r="105" spans="1:13" x14ac:dyDescent="0.25">
      <c r="A105" s="503" t="s">
        <v>3017</v>
      </c>
      <c r="B105" cm="1">
        <f t="array" aca="1" ref="B105" ca="1">INDIRECT(A105)</f>
        <v>0</v>
      </c>
      <c r="C105">
        <f t="shared" ca="1" si="4"/>
        <v>4</v>
      </c>
      <c r="D105" t="str" cm="1">
        <f t="array" aca="1" ref="D105" ca="1">CELL("nomfichier",INDIRECT(A105))</f>
        <v>G:\SCPE\sdc\bq\6 - Mentions valorisantes\Certification environnementale\TEXTES_REGLEMENTATION_CE\Plans_contrôle et grilles\Grille audit niveau 3\Grille d'audit v1.11\[grille-audit-hvev4-v1.11-vf.xlsx]Surfaces</v>
      </c>
      <c r="E105">
        <f t="shared" ca="1" si="5"/>
        <v>200</v>
      </c>
      <c r="F105">
        <f t="shared" ca="1" si="6"/>
        <v>208</v>
      </c>
      <c r="G105" t="str">
        <f t="shared" ca="1" si="7"/>
        <v>Surfaces</v>
      </c>
      <c r="H105" cm="1">
        <f t="array" aca="1" ref="H105" ca="1">ROW(INDIRECT(A105))</f>
        <v>54</v>
      </c>
      <c r="I105" cm="1">
        <f t="array" aca="1" ref="I105" ca="1">COLUMN(INDIRECT(A105))</f>
        <v>16</v>
      </c>
      <c r="M105" t="str" cm="1">
        <f t="array" aca="1" ref="M105" ca="1">IF(AND(J105="O",ISBLANK(INDIRECT(A105))),"Valeur obligatoire non renseignée","")</f>
        <v/>
      </c>
    </row>
    <row r="106" spans="1:13" x14ac:dyDescent="0.25">
      <c r="A106" s="503" t="s">
        <v>3083</v>
      </c>
      <c r="B106" cm="1">
        <f t="array" aca="1" ref="B106" ca="1">INDIRECT(A106)</f>
        <v>0</v>
      </c>
      <c r="C106">
        <f t="shared" ca="1" si="4"/>
        <v>4</v>
      </c>
      <c r="D106" t="str" cm="1">
        <f t="array" aca="1" ref="D106" ca="1">CELL("nomfichier",INDIRECT(A106))</f>
        <v>G:\SCPE\sdc\bq\6 - Mentions valorisantes\Certification environnementale\TEXTES_REGLEMENTATION_CE\Plans_contrôle et grilles\Grille audit niveau 3\Grille d'audit v1.11\[grille-audit-hvev4-v1.11-vf.xlsx]Surfaces</v>
      </c>
      <c r="E106">
        <f t="shared" ca="1" si="5"/>
        <v>200</v>
      </c>
      <c r="F106">
        <f t="shared" ca="1" si="6"/>
        <v>208</v>
      </c>
      <c r="G106" t="str">
        <f t="shared" ca="1" si="7"/>
        <v>Surfaces</v>
      </c>
      <c r="H106" cm="1">
        <f t="array" aca="1" ref="H106" ca="1">ROW(INDIRECT(A106))</f>
        <v>54</v>
      </c>
      <c r="I106" cm="1">
        <f t="array" aca="1" ref="I106" ca="1">COLUMN(INDIRECT(A106))</f>
        <v>17</v>
      </c>
      <c r="M106" t="str" cm="1">
        <f t="array" aca="1" ref="M106" ca="1">IF(AND(J106="O",ISBLANK(INDIRECT(A106))),"Valeur obligatoire non renseignée","")</f>
        <v/>
      </c>
    </row>
    <row r="107" spans="1:13" x14ac:dyDescent="0.25">
      <c r="A107" s="503" t="s">
        <v>2952</v>
      </c>
      <c r="B107" cm="1">
        <f t="array" aca="1" ref="B107" ca="1">INDIRECT(A107)</f>
        <v>0</v>
      </c>
      <c r="C107">
        <f t="shared" ca="1" si="4"/>
        <v>4</v>
      </c>
      <c r="D107" t="str" cm="1">
        <f t="array" aca="1" ref="D107" ca="1">CELL("nomfichier",INDIRECT(A107))</f>
        <v>G:\SCPE\sdc\bq\6 - Mentions valorisantes\Certification environnementale\TEXTES_REGLEMENTATION_CE\Plans_contrôle et grilles\Grille audit niveau 3\Grille d'audit v1.11\[grille-audit-hvev4-v1.11-vf.xlsx]Surfaces</v>
      </c>
      <c r="E107">
        <f t="shared" ca="1" si="5"/>
        <v>200</v>
      </c>
      <c r="F107">
        <f t="shared" ca="1" si="6"/>
        <v>208</v>
      </c>
      <c r="G107" t="str">
        <f t="shared" ca="1" si="7"/>
        <v>Surfaces</v>
      </c>
      <c r="H107" cm="1">
        <f t="array" aca="1" ref="H107" ca="1">ROW(INDIRECT(A107))</f>
        <v>55</v>
      </c>
      <c r="I107" cm="1">
        <f t="array" aca="1" ref="I107" ca="1">COLUMN(INDIRECT(A107))</f>
        <v>15</v>
      </c>
      <c r="M107" t="str" cm="1">
        <f t="array" aca="1" ref="M107" ca="1">IF(AND(J107="O",ISBLANK(INDIRECT(A107))),"Valeur obligatoire non renseignée","")</f>
        <v/>
      </c>
    </row>
    <row r="108" spans="1:13" x14ac:dyDescent="0.25">
      <c r="A108" s="503" t="s">
        <v>3018</v>
      </c>
      <c r="B108" cm="1">
        <f t="array" aca="1" ref="B108" ca="1">INDIRECT(A108)</f>
        <v>0</v>
      </c>
      <c r="C108">
        <f t="shared" ca="1" si="4"/>
        <v>4</v>
      </c>
      <c r="D108" t="str" cm="1">
        <f t="array" aca="1" ref="D108" ca="1">CELL("nomfichier",INDIRECT(A108))</f>
        <v>G:\SCPE\sdc\bq\6 - Mentions valorisantes\Certification environnementale\TEXTES_REGLEMENTATION_CE\Plans_contrôle et grilles\Grille audit niveau 3\Grille d'audit v1.11\[grille-audit-hvev4-v1.11-vf.xlsx]Surfaces</v>
      </c>
      <c r="E108">
        <f t="shared" ca="1" si="5"/>
        <v>200</v>
      </c>
      <c r="F108">
        <f t="shared" ca="1" si="6"/>
        <v>208</v>
      </c>
      <c r="G108" t="str">
        <f t="shared" ca="1" si="7"/>
        <v>Surfaces</v>
      </c>
      <c r="H108" cm="1">
        <f t="array" aca="1" ref="H108" ca="1">ROW(INDIRECT(A108))</f>
        <v>55</v>
      </c>
      <c r="I108" cm="1">
        <f t="array" aca="1" ref="I108" ca="1">COLUMN(INDIRECT(A108))</f>
        <v>16</v>
      </c>
      <c r="M108" t="str" cm="1">
        <f t="array" aca="1" ref="M108" ca="1">IF(AND(J108="O",ISBLANK(INDIRECT(A108))),"Valeur obligatoire non renseignée","")</f>
        <v/>
      </c>
    </row>
    <row r="109" spans="1:13" x14ac:dyDescent="0.25">
      <c r="A109" s="503" t="s">
        <v>3084</v>
      </c>
      <c r="B109" cm="1">
        <f t="array" aca="1" ref="B109" ca="1">INDIRECT(A109)</f>
        <v>0</v>
      </c>
      <c r="C109">
        <f t="shared" ca="1" si="4"/>
        <v>4</v>
      </c>
      <c r="D109" t="str" cm="1">
        <f t="array" aca="1" ref="D109" ca="1">CELL("nomfichier",INDIRECT(A109))</f>
        <v>G:\SCPE\sdc\bq\6 - Mentions valorisantes\Certification environnementale\TEXTES_REGLEMENTATION_CE\Plans_contrôle et grilles\Grille audit niveau 3\Grille d'audit v1.11\[grille-audit-hvev4-v1.11-vf.xlsx]Surfaces</v>
      </c>
      <c r="E109">
        <f t="shared" ca="1" si="5"/>
        <v>200</v>
      </c>
      <c r="F109">
        <f t="shared" ca="1" si="6"/>
        <v>208</v>
      </c>
      <c r="G109" t="str">
        <f t="shared" ca="1" si="7"/>
        <v>Surfaces</v>
      </c>
      <c r="H109" cm="1">
        <f t="array" aca="1" ref="H109" ca="1">ROW(INDIRECT(A109))</f>
        <v>55</v>
      </c>
      <c r="I109" cm="1">
        <f t="array" aca="1" ref="I109" ca="1">COLUMN(INDIRECT(A109))</f>
        <v>17</v>
      </c>
      <c r="M109" t="str" cm="1">
        <f t="array" aca="1" ref="M109" ca="1">IF(AND(J109="O",ISBLANK(INDIRECT(A109))),"Valeur obligatoire non renseignée","")</f>
        <v/>
      </c>
    </row>
    <row r="110" spans="1:13" x14ac:dyDescent="0.25">
      <c r="A110" s="503" t="s">
        <v>2953</v>
      </c>
      <c r="B110" cm="1">
        <f t="array" aca="1" ref="B110" ca="1">INDIRECT(A110)</f>
        <v>0</v>
      </c>
      <c r="C110">
        <f t="shared" ca="1" si="4"/>
        <v>4</v>
      </c>
      <c r="D110" t="str" cm="1">
        <f t="array" aca="1" ref="D110" ca="1">CELL("nomfichier",INDIRECT(A110))</f>
        <v>G:\SCPE\sdc\bq\6 - Mentions valorisantes\Certification environnementale\TEXTES_REGLEMENTATION_CE\Plans_contrôle et grilles\Grille audit niveau 3\Grille d'audit v1.11\[grille-audit-hvev4-v1.11-vf.xlsx]Surfaces</v>
      </c>
      <c r="E110">
        <f t="shared" ca="1" si="5"/>
        <v>200</v>
      </c>
      <c r="F110">
        <f t="shared" ca="1" si="6"/>
        <v>208</v>
      </c>
      <c r="G110" t="str">
        <f t="shared" ca="1" si="7"/>
        <v>Surfaces</v>
      </c>
      <c r="H110" cm="1">
        <f t="array" aca="1" ref="H110" ca="1">ROW(INDIRECT(A110))</f>
        <v>57</v>
      </c>
      <c r="I110" cm="1">
        <f t="array" aca="1" ref="I110" ca="1">COLUMN(INDIRECT(A110))</f>
        <v>15</v>
      </c>
      <c r="M110" t="str" cm="1">
        <f t="array" aca="1" ref="M110" ca="1">IF(AND(J110="O",ISBLANK(INDIRECT(A110))),"Valeur obligatoire non renseignée","")</f>
        <v/>
      </c>
    </row>
    <row r="111" spans="1:13" x14ac:dyDescent="0.25">
      <c r="A111" s="503" t="s">
        <v>3019</v>
      </c>
      <c r="B111" cm="1">
        <f t="array" aca="1" ref="B111" ca="1">INDIRECT(A111)</f>
        <v>0</v>
      </c>
      <c r="C111">
        <f t="shared" ca="1" si="4"/>
        <v>4</v>
      </c>
      <c r="D111" t="str" cm="1">
        <f t="array" aca="1" ref="D111" ca="1">CELL("nomfichier",INDIRECT(A111))</f>
        <v>G:\SCPE\sdc\bq\6 - Mentions valorisantes\Certification environnementale\TEXTES_REGLEMENTATION_CE\Plans_contrôle et grilles\Grille audit niveau 3\Grille d'audit v1.11\[grille-audit-hvev4-v1.11-vf.xlsx]Surfaces</v>
      </c>
      <c r="E111">
        <f t="shared" ca="1" si="5"/>
        <v>200</v>
      </c>
      <c r="F111">
        <f t="shared" ca="1" si="6"/>
        <v>208</v>
      </c>
      <c r="G111" t="str">
        <f t="shared" ca="1" si="7"/>
        <v>Surfaces</v>
      </c>
      <c r="H111" cm="1">
        <f t="array" aca="1" ref="H111" ca="1">ROW(INDIRECT(A111))</f>
        <v>57</v>
      </c>
      <c r="I111" cm="1">
        <f t="array" aca="1" ref="I111" ca="1">COLUMN(INDIRECT(A111))</f>
        <v>16</v>
      </c>
      <c r="M111" t="str" cm="1">
        <f t="array" aca="1" ref="M111" ca="1">IF(AND(J111="O",ISBLANK(INDIRECT(A111))),"Valeur obligatoire non renseignée","")</f>
        <v/>
      </c>
    </row>
    <row r="112" spans="1:13" x14ac:dyDescent="0.25">
      <c r="A112" s="503" t="s">
        <v>3085</v>
      </c>
      <c r="B112" cm="1">
        <f t="array" aca="1" ref="B112" ca="1">INDIRECT(A112)</f>
        <v>0</v>
      </c>
      <c r="C112">
        <f t="shared" ca="1" si="4"/>
        <v>4</v>
      </c>
      <c r="D112" t="str" cm="1">
        <f t="array" aca="1" ref="D112" ca="1">CELL("nomfichier",INDIRECT(A112))</f>
        <v>G:\SCPE\sdc\bq\6 - Mentions valorisantes\Certification environnementale\TEXTES_REGLEMENTATION_CE\Plans_contrôle et grilles\Grille audit niveau 3\Grille d'audit v1.11\[grille-audit-hvev4-v1.11-vf.xlsx]Surfaces</v>
      </c>
      <c r="E112">
        <f t="shared" ca="1" si="5"/>
        <v>200</v>
      </c>
      <c r="F112">
        <f t="shared" ca="1" si="6"/>
        <v>208</v>
      </c>
      <c r="G112" t="str">
        <f t="shared" ca="1" si="7"/>
        <v>Surfaces</v>
      </c>
      <c r="H112" cm="1">
        <f t="array" aca="1" ref="H112" ca="1">ROW(INDIRECT(A112))</f>
        <v>57</v>
      </c>
      <c r="I112" cm="1">
        <f t="array" aca="1" ref="I112" ca="1">COLUMN(INDIRECT(A112))</f>
        <v>17</v>
      </c>
      <c r="M112" t="str" cm="1">
        <f t="array" aca="1" ref="M112" ca="1">IF(AND(J112="O",ISBLANK(INDIRECT(A112))),"Valeur obligatoire non renseignée","")</f>
        <v/>
      </c>
    </row>
    <row r="113" spans="1:13" x14ac:dyDescent="0.25">
      <c r="A113" s="503" t="s">
        <v>2954</v>
      </c>
      <c r="B113" cm="1">
        <f t="array" aca="1" ref="B113" ca="1">INDIRECT(A113)</f>
        <v>0</v>
      </c>
      <c r="C113">
        <f t="shared" ca="1" si="4"/>
        <v>4</v>
      </c>
      <c r="D113" t="str" cm="1">
        <f t="array" aca="1" ref="D113" ca="1">CELL("nomfichier",INDIRECT(A113))</f>
        <v>G:\SCPE\sdc\bq\6 - Mentions valorisantes\Certification environnementale\TEXTES_REGLEMENTATION_CE\Plans_contrôle et grilles\Grille audit niveau 3\Grille d'audit v1.11\[grille-audit-hvev4-v1.11-vf.xlsx]Surfaces</v>
      </c>
      <c r="E113">
        <f t="shared" ca="1" si="5"/>
        <v>200</v>
      </c>
      <c r="F113">
        <f t="shared" ca="1" si="6"/>
        <v>208</v>
      </c>
      <c r="G113" t="str">
        <f t="shared" ca="1" si="7"/>
        <v>Surfaces</v>
      </c>
      <c r="H113" cm="1">
        <f t="array" aca="1" ref="H113" ca="1">ROW(INDIRECT(A113))</f>
        <v>59</v>
      </c>
      <c r="I113" cm="1">
        <f t="array" aca="1" ref="I113" ca="1">COLUMN(INDIRECT(A113))</f>
        <v>15</v>
      </c>
      <c r="M113" t="str" cm="1">
        <f t="array" aca="1" ref="M113" ca="1">IF(AND(J113="O",ISBLANK(INDIRECT(A113))),"Valeur obligatoire non renseignée","")</f>
        <v/>
      </c>
    </row>
    <row r="114" spans="1:13" x14ac:dyDescent="0.25">
      <c r="A114" s="503" t="s">
        <v>3020</v>
      </c>
      <c r="B114" cm="1">
        <f t="array" aca="1" ref="B114" ca="1">INDIRECT(A114)</f>
        <v>0</v>
      </c>
      <c r="C114">
        <f t="shared" ca="1" si="4"/>
        <v>4</v>
      </c>
      <c r="D114" t="str" cm="1">
        <f t="array" aca="1" ref="D114" ca="1">CELL("nomfichier",INDIRECT(A114))</f>
        <v>G:\SCPE\sdc\bq\6 - Mentions valorisantes\Certification environnementale\TEXTES_REGLEMENTATION_CE\Plans_contrôle et grilles\Grille audit niveau 3\Grille d'audit v1.11\[grille-audit-hvev4-v1.11-vf.xlsx]Surfaces</v>
      </c>
      <c r="E114">
        <f t="shared" ca="1" si="5"/>
        <v>200</v>
      </c>
      <c r="F114">
        <f t="shared" ca="1" si="6"/>
        <v>208</v>
      </c>
      <c r="G114" t="str">
        <f t="shared" ca="1" si="7"/>
        <v>Surfaces</v>
      </c>
      <c r="H114" cm="1">
        <f t="array" aca="1" ref="H114" ca="1">ROW(INDIRECT(A114))</f>
        <v>59</v>
      </c>
      <c r="I114" cm="1">
        <f t="array" aca="1" ref="I114" ca="1">COLUMN(INDIRECT(A114))</f>
        <v>16</v>
      </c>
      <c r="M114" t="str" cm="1">
        <f t="array" aca="1" ref="M114" ca="1">IF(AND(J114="O",ISBLANK(INDIRECT(A114))),"Valeur obligatoire non renseignée","")</f>
        <v/>
      </c>
    </row>
    <row r="115" spans="1:13" x14ac:dyDescent="0.25">
      <c r="A115" s="503" t="s">
        <v>3086</v>
      </c>
      <c r="B115" cm="1">
        <f t="array" aca="1" ref="B115" ca="1">INDIRECT(A115)</f>
        <v>0</v>
      </c>
      <c r="C115">
        <f t="shared" ca="1" si="4"/>
        <v>4</v>
      </c>
      <c r="D115" t="str" cm="1">
        <f t="array" aca="1" ref="D115" ca="1">CELL("nomfichier",INDIRECT(A115))</f>
        <v>G:\SCPE\sdc\bq\6 - Mentions valorisantes\Certification environnementale\TEXTES_REGLEMENTATION_CE\Plans_contrôle et grilles\Grille audit niveau 3\Grille d'audit v1.11\[grille-audit-hvev4-v1.11-vf.xlsx]Surfaces</v>
      </c>
      <c r="E115">
        <f t="shared" ca="1" si="5"/>
        <v>200</v>
      </c>
      <c r="F115">
        <f t="shared" ca="1" si="6"/>
        <v>208</v>
      </c>
      <c r="G115" t="str">
        <f t="shared" ca="1" si="7"/>
        <v>Surfaces</v>
      </c>
      <c r="H115" cm="1">
        <f t="array" aca="1" ref="H115" ca="1">ROW(INDIRECT(A115))</f>
        <v>59</v>
      </c>
      <c r="I115" cm="1">
        <f t="array" aca="1" ref="I115" ca="1">COLUMN(INDIRECT(A115))</f>
        <v>17</v>
      </c>
      <c r="M115" t="str" cm="1">
        <f t="array" aca="1" ref="M115" ca="1">IF(AND(J115="O",ISBLANK(INDIRECT(A115))),"Valeur obligatoire non renseignée","")</f>
        <v/>
      </c>
    </row>
    <row r="116" spans="1:13" x14ac:dyDescent="0.25">
      <c r="A116" s="503" t="s">
        <v>2955</v>
      </c>
      <c r="B116" cm="1">
        <f t="array" aca="1" ref="B116" ca="1">INDIRECT(A116)</f>
        <v>0</v>
      </c>
      <c r="C116">
        <f t="shared" ca="1" si="4"/>
        <v>4</v>
      </c>
      <c r="D116" t="str" cm="1">
        <f t="array" aca="1" ref="D116" ca="1">CELL("nomfichier",INDIRECT(A116))</f>
        <v>G:\SCPE\sdc\bq\6 - Mentions valorisantes\Certification environnementale\TEXTES_REGLEMENTATION_CE\Plans_contrôle et grilles\Grille audit niveau 3\Grille d'audit v1.11\[grille-audit-hvev4-v1.11-vf.xlsx]Surfaces</v>
      </c>
      <c r="E116">
        <f t="shared" ca="1" si="5"/>
        <v>200</v>
      </c>
      <c r="F116">
        <f t="shared" ca="1" si="6"/>
        <v>208</v>
      </c>
      <c r="G116" t="str">
        <f t="shared" ca="1" si="7"/>
        <v>Surfaces</v>
      </c>
      <c r="H116" cm="1">
        <f t="array" aca="1" ref="H116" ca="1">ROW(INDIRECT(A116))</f>
        <v>76</v>
      </c>
      <c r="I116" cm="1">
        <f t="array" aca="1" ref="I116" ca="1">COLUMN(INDIRECT(A116))</f>
        <v>15</v>
      </c>
      <c r="M116" t="str" cm="1">
        <f t="array" aca="1" ref="M116" ca="1">IF(AND(J116="O",ISBLANK(INDIRECT(A116))),"Valeur obligatoire non renseignée","")</f>
        <v/>
      </c>
    </row>
    <row r="117" spans="1:13" x14ac:dyDescent="0.25">
      <c r="A117" s="503" t="s">
        <v>3021</v>
      </c>
      <c r="B117" cm="1">
        <f t="array" aca="1" ref="B117" ca="1">INDIRECT(A117)</f>
        <v>0</v>
      </c>
      <c r="C117">
        <f t="shared" ca="1" si="4"/>
        <v>4</v>
      </c>
      <c r="D117" t="str" cm="1">
        <f t="array" aca="1" ref="D117" ca="1">CELL("nomfichier",INDIRECT(A117))</f>
        <v>G:\SCPE\sdc\bq\6 - Mentions valorisantes\Certification environnementale\TEXTES_REGLEMENTATION_CE\Plans_contrôle et grilles\Grille audit niveau 3\Grille d'audit v1.11\[grille-audit-hvev4-v1.11-vf.xlsx]Surfaces</v>
      </c>
      <c r="E117">
        <f t="shared" ca="1" si="5"/>
        <v>200</v>
      </c>
      <c r="F117">
        <f t="shared" ca="1" si="6"/>
        <v>208</v>
      </c>
      <c r="G117" t="str">
        <f t="shared" ca="1" si="7"/>
        <v>Surfaces</v>
      </c>
      <c r="H117" cm="1">
        <f t="array" aca="1" ref="H117" ca="1">ROW(INDIRECT(A117))</f>
        <v>76</v>
      </c>
      <c r="I117" cm="1">
        <f t="array" aca="1" ref="I117" ca="1">COLUMN(INDIRECT(A117))</f>
        <v>16</v>
      </c>
      <c r="M117" t="str" cm="1">
        <f t="array" aca="1" ref="M117" ca="1">IF(AND(J117="O",ISBLANK(INDIRECT(A117))),"Valeur obligatoire non renseignée","")</f>
        <v/>
      </c>
    </row>
    <row r="118" spans="1:13" x14ac:dyDescent="0.25">
      <c r="A118" s="503" t="s">
        <v>3087</v>
      </c>
      <c r="B118" cm="1">
        <f t="array" aca="1" ref="B118" ca="1">INDIRECT(A118)</f>
        <v>0</v>
      </c>
      <c r="C118">
        <f t="shared" ca="1" si="4"/>
        <v>4</v>
      </c>
      <c r="D118" t="str" cm="1">
        <f t="array" aca="1" ref="D118" ca="1">CELL("nomfichier",INDIRECT(A118))</f>
        <v>G:\SCPE\sdc\bq\6 - Mentions valorisantes\Certification environnementale\TEXTES_REGLEMENTATION_CE\Plans_contrôle et grilles\Grille audit niveau 3\Grille d'audit v1.11\[grille-audit-hvev4-v1.11-vf.xlsx]Surfaces</v>
      </c>
      <c r="E118">
        <f t="shared" ca="1" si="5"/>
        <v>200</v>
      </c>
      <c r="F118">
        <f t="shared" ca="1" si="6"/>
        <v>208</v>
      </c>
      <c r="G118" t="str">
        <f t="shared" ca="1" si="7"/>
        <v>Surfaces</v>
      </c>
      <c r="H118" cm="1">
        <f t="array" aca="1" ref="H118" ca="1">ROW(INDIRECT(A118))</f>
        <v>76</v>
      </c>
      <c r="I118" cm="1">
        <f t="array" aca="1" ref="I118" ca="1">COLUMN(INDIRECT(A118))</f>
        <v>17</v>
      </c>
      <c r="M118" t="str" cm="1">
        <f t="array" aca="1" ref="M118" ca="1">IF(AND(J118="O",ISBLANK(INDIRECT(A118))),"Valeur obligatoire non renseignée","")</f>
        <v/>
      </c>
    </row>
    <row r="119" spans="1:13" x14ac:dyDescent="0.25">
      <c r="A119" s="503" t="s">
        <v>2956</v>
      </c>
      <c r="B119" cm="1">
        <f t="array" aca="1" ref="B119" ca="1">INDIRECT(A119)</f>
        <v>0</v>
      </c>
      <c r="C119">
        <f t="shared" ca="1" si="4"/>
        <v>4</v>
      </c>
      <c r="D119" t="str" cm="1">
        <f t="array" aca="1" ref="D119" ca="1">CELL("nomfichier",INDIRECT(A119))</f>
        <v>G:\SCPE\sdc\bq\6 - Mentions valorisantes\Certification environnementale\TEXTES_REGLEMENTATION_CE\Plans_contrôle et grilles\Grille audit niveau 3\Grille d'audit v1.11\[grille-audit-hvev4-v1.11-vf.xlsx]Surfaces</v>
      </c>
      <c r="E119">
        <f t="shared" ca="1" si="5"/>
        <v>200</v>
      </c>
      <c r="F119">
        <f t="shared" ca="1" si="6"/>
        <v>208</v>
      </c>
      <c r="G119" t="str">
        <f t="shared" ca="1" si="7"/>
        <v>Surfaces</v>
      </c>
      <c r="H119" cm="1">
        <f t="array" aca="1" ref="H119" ca="1">ROW(INDIRECT(A119))</f>
        <v>77</v>
      </c>
      <c r="I119" cm="1">
        <f t="array" aca="1" ref="I119" ca="1">COLUMN(INDIRECT(A119))</f>
        <v>15</v>
      </c>
      <c r="M119" t="str" cm="1">
        <f t="array" aca="1" ref="M119" ca="1">IF(AND(J119="O",ISBLANK(INDIRECT(A119))),"Valeur obligatoire non renseignée","")</f>
        <v/>
      </c>
    </row>
    <row r="120" spans="1:13" x14ac:dyDescent="0.25">
      <c r="A120" s="503" t="s">
        <v>3022</v>
      </c>
      <c r="B120" cm="1">
        <f t="array" aca="1" ref="B120" ca="1">INDIRECT(A120)</f>
        <v>0</v>
      </c>
      <c r="C120">
        <f t="shared" ca="1" si="4"/>
        <v>4</v>
      </c>
      <c r="D120" t="str" cm="1">
        <f t="array" aca="1" ref="D120" ca="1">CELL("nomfichier",INDIRECT(A120))</f>
        <v>G:\SCPE\sdc\bq\6 - Mentions valorisantes\Certification environnementale\TEXTES_REGLEMENTATION_CE\Plans_contrôle et grilles\Grille audit niveau 3\Grille d'audit v1.11\[grille-audit-hvev4-v1.11-vf.xlsx]Surfaces</v>
      </c>
      <c r="E120">
        <f t="shared" ca="1" si="5"/>
        <v>200</v>
      </c>
      <c r="F120">
        <f t="shared" ca="1" si="6"/>
        <v>208</v>
      </c>
      <c r="G120" t="str">
        <f t="shared" ca="1" si="7"/>
        <v>Surfaces</v>
      </c>
      <c r="H120" cm="1">
        <f t="array" aca="1" ref="H120" ca="1">ROW(INDIRECT(A120))</f>
        <v>77</v>
      </c>
      <c r="I120" cm="1">
        <f t="array" aca="1" ref="I120" ca="1">COLUMN(INDIRECT(A120))</f>
        <v>16</v>
      </c>
      <c r="M120" t="str" cm="1">
        <f t="array" aca="1" ref="M120" ca="1">IF(AND(J120="O",ISBLANK(INDIRECT(A120))),"Valeur obligatoire non renseignée","")</f>
        <v/>
      </c>
    </row>
    <row r="121" spans="1:13" x14ac:dyDescent="0.25">
      <c r="A121" s="503" t="s">
        <v>3088</v>
      </c>
      <c r="B121" cm="1">
        <f t="array" aca="1" ref="B121" ca="1">INDIRECT(A121)</f>
        <v>0</v>
      </c>
      <c r="C121">
        <f t="shared" ca="1" si="4"/>
        <v>4</v>
      </c>
      <c r="D121" t="str" cm="1">
        <f t="array" aca="1" ref="D121" ca="1">CELL("nomfichier",INDIRECT(A121))</f>
        <v>G:\SCPE\sdc\bq\6 - Mentions valorisantes\Certification environnementale\TEXTES_REGLEMENTATION_CE\Plans_contrôle et grilles\Grille audit niveau 3\Grille d'audit v1.11\[grille-audit-hvev4-v1.11-vf.xlsx]Surfaces</v>
      </c>
      <c r="E121">
        <f t="shared" ca="1" si="5"/>
        <v>200</v>
      </c>
      <c r="F121">
        <f t="shared" ca="1" si="6"/>
        <v>208</v>
      </c>
      <c r="G121" t="str">
        <f t="shared" ca="1" si="7"/>
        <v>Surfaces</v>
      </c>
      <c r="H121" cm="1">
        <f t="array" aca="1" ref="H121" ca="1">ROW(INDIRECT(A121))</f>
        <v>77</v>
      </c>
      <c r="I121" cm="1">
        <f t="array" aca="1" ref="I121" ca="1">COLUMN(INDIRECT(A121))</f>
        <v>17</v>
      </c>
      <c r="M121" t="str" cm="1">
        <f t="array" aca="1" ref="M121" ca="1">IF(AND(J121="O",ISBLANK(INDIRECT(A121))),"Valeur obligatoire non renseignée","")</f>
        <v/>
      </c>
    </row>
    <row r="122" spans="1:13" x14ac:dyDescent="0.25">
      <c r="A122" s="503" t="s">
        <v>2957</v>
      </c>
      <c r="B122" cm="1">
        <f t="array" aca="1" ref="B122" ca="1">INDIRECT(A122)</f>
        <v>0</v>
      </c>
      <c r="C122">
        <f t="shared" ca="1" si="4"/>
        <v>4</v>
      </c>
      <c r="D122" t="str" cm="1">
        <f t="array" aca="1" ref="D122" ca="1">CELL("nomfichier",INDIRECT(A122))</f>
        <v>G:\SCPE\sdc\bq\6 - Mentions valorisantes\Certification environnementale\TEXTES_REGLEMENTATION_CE\Plans_contrôle et grilles\Grille audit niveau 3\Grille d'audit v1.11\[grille-audit-hvev4-v1.11-vf.xlsx]Surfaces</v>
      </c>
      <c r="E122">
        <f t="shared" ca="1" si="5"/>
        <v>200</v>
      </c>
      <c r="F122">
        <f t="shared" ca="1" si="6"/>
        <v>208</v>
      </c>
      <c r="G122" t="str">
        <f t="shared" ca="1" si="7"/>
        <v>Surfaces</v>
      </c>
      <c r="H122" cm="1">
        <f t="array" aca="1" ref="H122" ca="1">ROW(INDIRECT(A122))</f>
        <v>78</v>
      </c>
      <c r="I122" cm="1">
        <f t="array" aca="1" ref="I122" ca="1">COLUMN(INDIRECT(A122))</f>
        <v>15</v>
      </c>
      <c r="M122" t="str" cm="1">
        <f t="array" aca="1" ref="M122" ca="1">IF(AND(J122="O",ISBLANK(INDIRECT(A122))),"Valeur obligatoire non renseignée","")</f>
        <v/>
      </c>
    </row>
    <row r="123" spans="1:13" x14ac:dyDescent="0.25">
      <c r="A123" s="503" t="s">
        <v>3023</v>
      </c>
      <c r="B123" cm="1">
        <f t="array" aca="1" ref="B123" ca="1">INDIRECT(A123)</f>
        <v>0</v>
      </c>
      <c r="C123">
        <f t="shared" ca="1" si="4"/>
        <v>4</v>
      </c>
      <c r="D123" t="str" cm="1">
        <f t="array" aca="1" ref="D123" ca="1">CELL("nomfichier",INDIRECT(A123))</f>
        <v>G:\SCPE\sdc\bq\6 - Mentions valorisantes\Certification environnementale\TEXTES_REGLEMENTATION_CE\Plans_contrôle et grilles\Grille audit niveau 3\Grille d'audit v1.11\[grille-audit-hvev4-v1.11-vf.xlsx]Surfaces</v>
      </c>
      <c r="E123">
        <f t="shared" ca="1" si="5"/>
        <v>200</v>
      </c>
      <c r="F123">
        <f t="shared" ca="1" si="6"/>
        <v>208</v>
      </c>
      <c r="G123" t="str">
        <f t="shared" ca="1" si="7"/>
        <v>Surfaces</v>
      </c>
      <c r="H123" cm="1">
        <f t="array" aca="1" ref="H123" ca="1">ROW(INDIRECT(A123))</f>
        <v>78</v>
      </c>
      <c r="I123" cm="1">
        <f t="array" aca="1" ref="I123" ca="1">COLUMN(INDIRECT(A123))</f>
        <v>16</v>
      </c>
      <c r="M123" t="str" cm="1">
        <f t="array" aca="1" ref="M123" ca="1">IF(AND(J123="O",ISBLANK(INDIRECT(A123))),"Valeur obligatoire non renseignée","")</f>
        <v/>
      </c>
    </row>
    <row r="124" spans="1:13" x14ac:dyDescent="0.25">
      <c r="A124" s="503" t="s">
        <v>3089</v>
      </c>
      <c r="B124" cm="1">
        <f t="array" aca="1" ref="B124" ca="1">INDIRECT(A124)</f>
        <v>0</v>
      </c>
      <c r="C124">
        <f t="shared" ca="1" si="4"/>
        <v>4</v>
      </c>
      <c r="D124" t="str" cm="1">
        <f t="array" aca="1" ref="D124" ca="1">CELL("nomfichier",INDIRECT(A124))</f>
        <v>G:\SCPE\sdc\bq\6 - Mentions valorisantes\Certification environnementale\TEXTES_REGLEMENTATION_CE\Plans_contrôle et grilles\Grille audit niveau 3\Grille d'audit v1.11\[grille-audit-hvev4-v1.11-vf.xlsx]Surfaces</v>
      </c>
      <c r="E124">
        <f t="shared" ca="1" si="5"/>
        <v>200</v>
      </c>
      <c r="F124">
        <f t="shared" ca="1" si="6"/>
        <v>208</v>
      </c>
      <c r="G124" t="str">
        <f t="shared" ca="1" si="7"/>
        <v>Surfaces</v>
      </c>
      <c r="H124" cm="1">
        <f t="array" aca="1" ref="H124" ca="1">ROW(INDIRECT(A124))</f>
        <v>78</v>
      </c>
      <c r="I124" cm="1">
        <f t="array" aca="1" ref="I124" ca="1">COLUMN(INDIRECT(A124))</f>
        <v>17</v>
      </c>
      <c r="M124" t="str" cm="1">
        <f t="array" aca="1" ref="M124" ca="1">IF(AND(J124="O",ISBLANK(INDIRECT(A124))),"Valeur obligatoire non renseignée","")</f>
        <v/>
      </c>
    </row>
    <row r="125" spans="1:13" x14ac:dyDescent="0.25">
      <c r="A125" s="503" t="s">
        <v>2958</v>
      </c>
      <c r="B125" cm="1">
        <f t="array" aca="1" ref="B125" ca="1">INDIRECT(A125)</f>
        <v>0</v>
      </c>
      <c r="C125">
        <f t="shared" ca="1" si="4"/>
        <v>4</v>
      </c>
      <c r="D125" t="str" cm="1">
        <f t="array" aca="1" ref="D125" ca="1">CELL("nomfichier",INDIRECT(A125))</f>
        <v>G:\SCPE\sdc\bq\6 - Mentions valorisantes\Certification environnementale\TEXTES_REGLEMENTATION_CE\Plans_contrôle et grilles\Grille audit niveau 3\Grille d'audit v1.11\[grille-audit-hvev4-v1.11-vf.xlsx]Surfaces</v>
      </c>
      <c r="E125">
        <f t="shared" ca="1" si="5"/>
        <v>200</v>
      </c>
      <c r="F125">
        <f t="shared" ca="1" si="6"/>
        <v>208</v>
      </c>
      <c r="G125" t="str">
        <f t="shared" ca="1" si="7"/>
        <v>Surfaces</v>
      </c>
      <c r="H125" cm="1">
        <f t="array" aca="1" ref="H125" ca="1">ROW(INDIRECT(A125))</f>
        <v>79</v>
      </c>
      <c r="I125" cm="1">
        <f t="array" aca="1" ref="I125" ca="1">COLUMN(INDIRECT(A125))</f>
        <v>15</v>
      </c>
      <c r="M125" t="str" cm="1">
        <f t="array" aca="1" ref="M125" ca="1">IF(AND(J125="O",ISBLANK(INDIRECT(A125))),"Valeur obligatoire non renseignée","")</f>
        <v/>
      </c>
    </row>
    <row r="126" spans="1:13" x14ac:dyDescent="0.25">
      <c r="A126" s="503" t="s">
        <v>3024</v>
      </c>
      <c r="B126" cm="1">
        <f t="array" aca="1" ref="B126" ca="1">INDIRECT(A126)</f>
        <v>0</v>
      </c>
      <c r="C126">
        <f t="shared" ca="1" si="4"/>
        <v>4</v>
      </c>
      <c r="D126" t="str" cm="1">
        <f t="array" aca="1" ref="D126" ca="1">CELL("nomfichier",INDIRECT(A126))</f>
        <v>G:\SCPE\sdc\bq\6 - Mentions valorisantes\Certification environnementale\TEXTES_REGLEMENTATION_CE\Plans_contrôle et grilles\Grille audit niveau 3\Grille d'audit v1.11\[grille-audit-hvev4-v1.11-vf.xlsx]Surfaces</v>
      </c>
      <c r="E126">
        <f t="shared" ca="1" si="5"/>
        <v>200</v>
      </c>
      <c r="F126">
        <f t="shared" ca="1" si="6"/>
        <v>208</v>
      </c>
      <c r="G126" t="str">
        <f t="shared" ca="1" si="7"/>
        <v>Surfaces</v>
      </c>
      <c r="H126" cm="1">
        <f t="array" aca="1" ref="H126" ca="1">ROW(INDIRECT(A126))</f>
        <v>79</v>
      </c>
      <c r="I126" cm="1">
        <f t="array" aca="1" ref="I126" ca="1">COLUMN(INDIRECT(A126))</f>
        <v>16</v>
      </c>
      <c r="M126" t="str" cm="1">
        <f t="array" aca="1" ref="M126" ca="1">IF(AND(J126="O",ISBLANK(INDIRECT(A126))),"Valeur obligatoire non renseignée","")</f>
        <v/>
      </c>
    </row>
    <row r="127" spans="1:13" x14ac:dyDescent="0.25">
      <c r="A127" s="503" t="s">
        <v>3090</v>
      </c>
      <c r="B127" cm="1">
        <f t="array" aca="1" ref="B127" ca="1">INDIRECT(A127)</f>
        <v>0</v>
      </c>
      <c r="C127">
        <f t="shared" ca="1" si="4"/>
        <v>4</v>
      </c>
      <c r="D127" t="str" cm="1">
        <f t="array" aca="1" ref="D127" ca="1">CELL("nomfichier",INDIRECT(A127))</f>
        <v>G:\SCPE\sdc\bq\6 - Mentions valorisantes\Certification environnementale\TEXTES_REGLEMENTATION_CE\Plans_contrôle et grilles\Grille audit niveau 3\Grille d'audit v1.11\[grille-audit-hvev4-v1.11-vf.xlsx]Surfaces</v>
      </c>
      <c r="E127">
        <f t="shared" ca="1" si="5"/>
        <v>200</v>
      </c>
      <c r="F127">
        <f t="shared" ca="1" si="6"/>
        <v>208</v>
      </c>
      <c r="G127" t="str">
        <f t="shared" ca="1" si="7"/>
        <v>Surfaces</v>
      </c>
      <c r="H127" cm="1">
        <f t="array" aca="1" ref="H127" ca="1">ROW(INDIRECT(A127))</f>
        <v>79</v>
      </c>
      <c r="I127" cm="1">
        <f t="array" aca="1" ref="I127" ca="1">COLUMN(INDIRECT(A127))</f>
        <v>17</v>
      </c>
      <c r="M127" t="str" cm="1">
        <f t="array" aca="1" ref="M127" ca="1">IF(AND(J127="O",ISBLANK(INDIRECT(A127))),"Valeur obligatoire non renseignée","")</f>
        <v/>
      </c>
    </row>
    <row r="128" spans="1:13" x14ac:dyDescent="0.25">
      <c r="A128" s="503" t="s">
        <v>2959</v>
      </c>
      <c r="B128" cm="1">
        <f t="array" aca="1" ref="B128" ca="1">INDIRECT(A128)</f>
        <v>0</v>
      </c>
      <c r="C128">
        <f t="shared" ca="1" si="4"/>
        <v>4</v>
      </c>
      <c r="D128" t="str" cm="1">
        <f t="array" aca="1" ref="D128" ca="1">CELL("nomfichier",INDIRECT(A128))</f>
        <v>G:\SCPE\sdc\bq\6 - Mentions valorisantes\Certification environnementale\TEXTES_REGLEMENTATION_CE\Plans_contrôle et grilles\Grille audit niveau 3\Grille d'audit v1.11\[grille-audit-hvev4-v1.11-vf.xlsx]Surfaces</v>
      </c>
      <c r="E128">
        <f t="shared" ca="1" si="5"/>
        <v>200</v>
      </c>
      <c r="F128">
        <f t="shared" ca="1" si="6"/>
        <v>208</v>
      </c>
      <c r="G128" t="str">
        <f t="shared" ca="1" si="7"/>
        <v>Surfaces</v>
      </c>
      <c r="H128" cm="1">
        <f t="array" aca="1" ref="H128" ca="1">ROW(INDIRECT(A128))</f>
        <v>80</v>
      </c>
      <c r="I128" cm="1">
        <f t="array" aca="1" ref="I128" ca="1">COLUMN(INDIRECT(A128))</f>
        <v>15</v>
      </c>
      <c r="M128" t="str" cm="1">
        <f t="array" aca="1" ref="M128" ca="1">IF(AND(J128="O",ISBLANK(INDIRECT(A128))),"Valeur obligatoire non renseignée","")</f>
        <v/>
      </c>
    </row>
    <row r="129" spans="1:13" x14ac:dyDescent="0.25">
      <c r="A129" s="503" t="s">
        <v>3025</v>
      </c>
      <c r="B129" cm="1">
        <f t="array" aca="1" ref="B129" ca="1">INDIRECT(A129)</f>
        <v>0</v>
      </c>
      <c r="C129">
        <f t="shared" ca="1" si="4"/>
        <v>4</v>
      </c>
      <c r="D129" t="str" cm="1">
        <f t="array" aca="1" ref="D129" ca="1">CELL("nomfichier",INDIRECT(A129))</f>
        <v>G:\SCPE\sdc\bq\6 - Mentions valorisantes\Certification environnementale\TEXTES_REGLEMENTATION_CE\Plans_contrôle et grilles\Grille audit niveau 3\Grille d'audit v1.11\[grille-audit-hvev4-v1.11-vf.xlsx]Surfaces</v>
      </c>
      <c r="E129">
        <f t="shared" ca="1" si="5"/>
        <v>200</v>
      </c>
      <c r="F129">
        <f t="shared" ca="1" si="6"/>
        <v>208</v>
      </c>
      <c r="G129" t="str">
        <f t="shared" ca="1" si="7"/>
        <v>Surfaces</v>
      </c>
      <c r="H129" cm="1">
        <f t="array" aca="1" ref="H129" ca="1">ROW(INDIRECT(A129))</f>
        <v>80</v>
      </c>
      <c r="I129" cm="1">
        <f t="array" aca="1" ref="I129" ca="1">COLUMN(INDIRECT(A129))</f>
        <v>16</v>
      </c>
      <c r="M129" t="str" cm="1">
        <f t="array" aca="1" ref="M129" ca="1">IF(AND(J129="O",ISBLANK(INDIRECT(A129))),"Valeur obligatoire non renseignée","")</f>
        <v/>
      </c>
    </row>
    <row r="130" spans="1:13" x14ac:dyDescent="0.25">
      <c r="A130" s="503" t="s">
        <v>3091</v>
      </c>
      <c r="B130" cm="1">
        <f t="array" aca="1" ref="B130" ca="1">INDIRECT(A130)</f>
        <v>0</v>
      </c>
      <c r="C130">
        <f t="shared" ref="C130:C193" ca="1" si="8">_xlfn.SHEET(INDIRECT(A130))</f>
        <v>4</v>
      </c>
      <c r="D130" t="str" cm="1">
        <f t="array" aca="1" ref="D130" ca="1">CELL("nomfichier",INDIRECT(A130))</f>
        <v>G:\SCPE\sdc\bq\6 - Mentions valorisantes\Certification environnementale\TEXTES_REGLEMENTATION_CE\Plans_contrôle et grilles\Grille audit niveau 3\Grille d'audit v1.11\[grille-audit-hvev4-v1.11-vf.xlsx]Surfaces</v>
      </c>
      <c r="E130">
        <f t="shared" ref="E130:E193" ca="1" si="9">FIND("]",D130)</f>
        <v>200</v>
      </c>
      <c r="F130">
        <f t="shared" ref="F130:F193" ca="1" si="10">LEN(D130)</f>
        <v>208</v>
      </c>
      <c r="G130" t="str">
        <f t="shared" ref="G130:G193" ca="1" si="11">RIGHT(D130,F130-E130)</f>
        <v>Surfaces</v>
      </c>
      <c r="H130" cm="1">
        <f t="array" aca="1" ref="H130" ca="1">ROW(INDIRECT(A130))</f>
        <v>80</v>
      </c>
      <c r="I130" cm="1">
        <f t="array" aca="1" ref="I130" ca="1">COLUMN(INDIRECT(A130))</f>
        <v>17</v>
      </c>
      <c r="M130" t="str" cm="1">
        <f t="array" aca="1" ref="M130" ca="1">IF(AND(J130="O",ISBLANK(INDIRECT(A130))),"Valeur obligatoire non renseignée","")</f>
        <v/>
      </c>
    </row>
    <row r="131" spans="1:13" x14ac:dyDescent="0.25">
      <c r="A131" s="503" t="s">
        <v>2960</v>
      </c>
      <c r="B131" cm="1">
        <f t="array" aca="1" ref="B131" ca="1">INDIRECT(A131)</f>
        <v>0</v>
      </c>
      <c r="C131">
        <f t="shared" ca="1" si="8"/>
        <v>4</v>
      </c>
      <c r="D131" t="str" cm="1">
        <f t="array" aca="1" ref="D131" ca="1">CELL("nomfichier",INDIRECT(A131))</f>
        <v>G:\SCPE\sdc\bq\6 - Mentions valorisantes\Certification environnementale\TEXTES_REGLEMENTATION_CE\Plans_contrôle et grilles\Grille audit niveau 3\Grille d'audit v1.11\[grille-audit-hvev4-v1.11-vf.xlsx]Surfaces</v>
      </c>
      <c r="E131">
        <f t="shared" ca="1" si="9"/>
        <v>200</v>
      </c>
      <c r="F131">
        <f t="shared" ca="1" si="10"/>
        <v>208</v>
      </c>
      <c r="G131" t="str">
        <f t="shared" ca="1" si="11"/>
        <v>Surfaces</v>
      </c>
      <c r="H131" cm="1">
        <f t="array" aca="1" ref="H131" ca="1">ROW(INDIRECT(A131))</f>
        <v>81</v>
      </c>
      <c r="I131" cm="1">
        <f t="array" aca="1" ref="I131" ca="1">COLUMN(INDIRECT(A131))</f>
        <v>15</v>
      </c>
      <c r="M131" t="str" cm="1">
        <f t="array" aca="1" ref="M131" ca="1">IF(AND(J131="O",ISBLANK(INDIRECT(A131))),"Valeur obligatoire non renseignée","")</f>
        <v/>
      </c>
    </row>
    <row r="132" spans="1:13" x14ac:dyDescent="0.25">
      <c r="A132" s="503" t="s">
        <v>3026</v>
      </c>
      <c r="B132" cm="1">
        <f t="array" aca="1" ref="B132" ca="1">INDIRECT(A132)</f>
        <v>0</v>
      </c>
      <c r="C132">
        <f t="shared" ca="1" si="8"/>
        <v>4</v>
      </c>
      <c r="D132" t="str" cm="1">
        <f t="array" aca="1" ref="D132" ca="1">CELL("nomfichier",INDIRECT(A132))</f>
        <v>G:\SCPE\sdc\bq\6 - Mentions valorisantes\Certification environnementale\TEXTES_REGLEMENTATION_CE\Plans_contrôle et grilles\Grille audit niveau 3\Grille d'audit v1.11\[grille-audit-hvev4-v1.11-vf.xlsx]Surfaces</v>
      </c>
      <c r="E132">
        <f t="shared" ca="1" si="9"/>
        <v>200</v>
      </c>
      <c r="F132">
        <f t="shared" ca="1" si="10"/>
        <v>208</v>
      </c>
      <c r="G132" t="str">
        <f t="shared" ca="1" si="11"/>
        <v>Surfaces</v>
      </c>
      <c r="H132" cm="1">
        <f t="array" aca="1" ref="H132" ca="1">ROW(INDIRECT(A132))</f>
        <v>81</v>
      </c>
      <c r="I132" cm="1">
        <f t="array" aca="1" ref="I132" ca="1">COLUMN(INDIRECT(A132))</f>
        <v>16</v>
      </c>
      <c r="M132" t="str" cm="1">
        <f t="array" aca="1" ref="M132" ca="1">IF(AND(J132="O",ISBLANK(INDIRECT(A132))),"Valeur obligatoire non renseignée","")</f>
        <v/>
      </c>
    </row>
    <row r="133" spans="1:13" x14ac:dyDescent="0.25">
      <c r="A133" s="503" t="s">
        <v>3092</v>
      </c>
      <c r="B133" cm="1">
        <f t="array" aca="1" ref="B133" ca="1">INDIRECT(A133)</f>
        <v>0</v>
      </c>
      <c r="C133">
        <f t="shared" ca="1" si="8"/>
        <v>4</v>
      </c>
      <c r="D133" t="str" cm="1">
        <f t="array" aca="1" ref="D133" ca="1">CELL("nomfichier",INDIRECT(A133))</f>
        <v>G:\SCPE\sdc\bq\6 - Mentions valorisantes\Certification environnementale\TEXTES_REGLEMENTATION_CE\Plans_contrôle et grilles\Grille audit niveau 3\Grille d'audit v1.11\[grille-audit-hvev4-v1.11-vf.xlsx]Surfaces</v>
      </c>
      <c r="E133">
        <f t="shared" ca="1" si="9"/>
        <v>200</v>
      </c>
      <c r="F133">
        <f t="shared" ca="1" si="10"/>
        <v>208</v>
      </c>
      <c r="G133" t="str">
        <f t="shared" ca="1" si="11"/>
        <v>Surfaces</v>
      </c>
      <c r="H133" cm="1">
        <f t="array" aca="1" ref="H133" ca="1">ROW(INDIRECT(A133))</f>
        <v>81</v>
      </c>
      <c r="I133" cm="1">
        <f t="array" aca="1" ref="I133" ca="1">COLUMN(INDIRECT(A133))</f>
        <v>17</v>
      </c>
      <c r="M133" t="str" cm="1">
        <f t="array" aca="1" ref="M133" ca="1">IF(AND(J133="O",ISBLANK(INDIRECT(A133))),"Valeur obligatoire non renseignée","")</f>
        <v/>
      </c>
    </row>
    <row r="134" spans="1:13" x14ac:dyDescent="0.25">
      <c r="A134" s="503" t="s">
        <v>2961</v>
      </c>
      <c r="B134" cm="1">
        <f t="array" aca="1" ref="B134" ca="1">INDIRECT(A134)</f>
        <v>0</v>
      </c>
      <c r="C134">
        <f t="shared" ca="1" si="8"/>
        <v>4</v>
      </c>
      <c r="D134" t="str" cm="1">
        <f t="array" aca="1" ref="D134" ca="1">CELL("nomfichier",INDIRECT(A134))</f>
        <v>G:\SCPE\sdc\bq\6 - Mentions valorisantes\Certification environnementale\TEXTES_REGLEMENTATION_CE\Plans_contrôle et grilles\Grille audit niveau 3\Grille d'audit v1.11\[grille-audit-hvev4-v1.11-vf.xlsx]Surfaces</v>
      </c>
      <c r="E134">
        <f t="shared" ca="1" si="9"/>
        <v>200</v>
      </c>
      <c r="F134">
        <f t="shared" ca="1" si="10"/>
        <v>208</v>
      </c>
      <c r="G134" t="str">
        <f t="shared" ca="1" si="11"/>
        <v>Surfaces</v>
      </c>
      <c r="H134" cm="1">
        <f t="array" aca="1" ref="H134" ca="1">ROW(INDIRECT(A134))</f>
        <v>82</v>
      </c>
      <c r="I134" cm="1">
        <f t="array" aca="1" ref="I134" ca="1">COLUMN(INDIRECT(A134))</f>
        <v>15</v>
      </c>
      <c r="M134" t="str" cm="1">
        <f t="array" aca="1" ref="M134" ca="1">IF(AND(J134="O",ISBLANK(INDIRECT(A134))),"Valeur obligatoire non renseignée","")</f>
        <v/>
      </c>
    </row>
    <row r="135" spans="1:13" x14ac:dyDescent="0.25">
      <c r="A135" s="503" t="s">
        <v>3027</v>
      </c>
      <c r="B135" cm="1">
        <f t="array" aca="1" ref="B135" ca="1">INDIRECT(A135)</f>
        <v>0</v>
      </c>
      <c r="C135">
        <f t="shared" ca="1" si="8"/>
        <v>4</v>
      </c>
      <c r="D135" t="str" cm="1">
        <f t="array" aca="1" ref="D135" ca="1">CELL("nomfichier",INDIRECT(A135))</f>
        <v>G:\SCPE\sdc\bq\6 - Mentions valorisantes\Certification environnementale\TEXTES_REGLEMENTATION_CE\Plans_contrôle et grilles\Grille audit niveau 3\Grille d'audit v1.11\[grille-audit-hvev4-v1.11-vf.xlsx]Surfaces</v>
      </c>
      <c r="E135">
        <f t="shared" ca="1" si="9"/>
        <v>200</v>
      </c>
      <c r="F135">
        <f t="shared" ca="1" si="10"/>
        <v>208</v>
      </c>
      <c r="G135" t="str">
        <f t="shared" ca="1" si="11"/>
        <v>Surfaces</v>
      </c>
      <c r="H135" cm="1">
        <f t="array" aca="1" ref="H135" ca="1">ROW(INDIRECT(A135))</f>
        <v>82</v>
      </c>
      <c r="I135" cm="1">
        <f t="array" aca="1" ref="I135" ca="1">COLUMN(INDIRECT(A135))</f>
        <v>16</v>
      </c>
      <c r="M135" t="str" cm="1">
        <f t="array" aca="1" ref="M135" ca="1">IF(AND(J135="O",ISBLANK(INDIRECT(A135))),"Valeur obligatoire non renseignée","")</f>
        <v/>
      </c>
    </row>
    <row r="136" spans="1:13" x14ac:dyDescent="0.25">
      <c r="A136" s="503" t="s">
        <v>3093</v>
      </c>
      <c r="B136" cm="1">
        <f t="array" aca="1" ref="B136" ca="1">INDIRECT(A136)</f>
        <v>0</v>
      </c>
      <c r="C136">
        <f t="shared" ca="1" si="8"/>
        <v>4</v>
      </c>
      <c r="D136" t="str" cm="1">
        <f t="array" aca="1" ref="D136" ca="1">CELL("nomfichier",INDIRECT(A136))</f>
        <v>G:\SCPE\sdc\bq\6 - Mentions valorisantes\Certification environnementale\TEXTES_REGLEMENTATION_CE\Plans_contrôle et grilles\Grille audit niveau 3\Grille d'audit v1.11\[grille-audit-hvev4-v1.11-vf.xlsx]Surfaces</v>
      </c>
      <c r="E136">
        <f t="shared" ca="1" si="9"/>
        <v>200</v>
      </c>
      <c r="F136">
        <f t="shared" ca="1" si="10"/>
        <v>208</v>
      </c>
      <c r="G136" t="str">
        <f t="shared" ca="1" si="11"/>
        <v>Surfaces</v>
      </c>
      <c r="H136" cm="1">
        <f t="array" aca="1" ref="H136" ca="1">ROW(INDIRECT(A136))</f>
        <v>82</v>
      </c>
      <c r="I136" cm="1">
        <f t="array" aca="1" ref="I136" ca="1">COLUMN(INDIRECT(A136))</f>
        <v>17</v>
      </c>
      <c r="M136" t="str" cm="1">
        <f t="array" aca="1" ref="M136" ca="1">IF(AND(J136="O",ISBLANK(INDIRECT(A136))),"Valeur obligatoire non renseignée","")</f>
        <v/>
      </c>
    </row>
    <row r="137" spans="1:13" x14ac:dyDescent="0.25">
      <c r="A137" s="503" t="s">
        <v>2962</v>
      </c>
      <c r="B137" cm="1">
        <f t="array" aca="1" ref="B137" ca="1">INDIRECT(A137)</f>
        <v>0</v>
      </c>
      <c r="C137">
        <f t="shared" ca="1" si="8"/>
        <v>4</v>
      </c>
      <c r="D137" t="str" cm="1">
        <f t="array" aca="1" ref="D137" ca="1">CELL("nomfichier",INDIRECT(A137))</f>
        <v>G:\SCPE\sdc\bq\6 - Mentions valorisantes\Certification environnementale\TEXTES_REGLEMENTATION_CE\Plans_contrôle et grilles\Grille audit niveau 3\Grille d'audit v1.11\[grille-audit-hvev4-v1.11-vf.xlsx]Surfaces</v>
      </c>
      <c r="E137">
        <f t="shared" ca="1" si="9"/>
        <v>200</v>
      </c>
      <c r="F137">
        <f t="shared" ca="1" si="10"/>
        <v>208</v>
      </c>
      <c r="G137" t="str">
        <f t="shared" ca="1" si="11"/>
        <v>Surfaces</v>
      </c>
      <c r="H137" cm="1">
        <f t="array" aca="1" ref="H137" ca="1">ROW(INDIRECT(A137))</f>
        <v>86</v>
      </c>
      <c r="I137" cm="1">
        <f t="array" aca="1" ref="I137" ca="1">COLUMN(INDIRECT(A137))</f>
        <v>15</v>
      </c>
      <c r="M137" t="str" cm="1">
        <f t="array" aca="1" ref="M137" ca="1">IF(AND(J137="O",ISBLANK(INDIRECT(A137))),"Valeur obligatoire non renseignée","")</f>
        <v/>
      </c>
    </row>
    <row r="138" spans="1:13" x14ac:dyDescent="0.25">
      <c r="A138" s="503" t="s">
        <v>3028</v>
      </c>
      <c r="B138" cm="1">
        <f t="array" aca="1" ref="B138" ca="1">INDIRECT(A138)</f>
        <v>0</v>
      </c>
      <c r="C138">
        <f t="shared" ca="1" si="8"/>
        <v>4</v>
      </c>
      <c r="D138" t="str" cm="1">
        <f t="array" aca="1" ref="D138" ca="1">CELL("nomfichier",INDIRECT(A138))</f>
        <v>G:\SCPE\sdc\bq\6 - Mentions valorisantes\Certification environnementale\TEXTES_REGLEMENTATION_CE\Plans_contrôle et grilles\Grille audit niveau 3\Grille d'audit v1.11\[grille-audit-hvev4-v1.11-vf.xlsx]Surfaces</v>
      </c>
      <c r="E138">
        <f t="shared" ca="1" si="9"/>
        <v>200</v>
      </c>
      <c r="F138">
        <f t="shared" ca="1" si="10"/>
        <v>208</v>
      </c>
      <c r="G138" t="str">
        <f t="shared" ca="1" si="11"/>
        <v>Surfaces</v>
      </c>
      <c r="H138" cm="1">
        <f t="array" aca="1" ref="H138" ca="1">ROW(INDIRECT(A138))</f>
        <v>86</v>
      </c>
      <c r="I138" cm="1">
        <f t="array" aca="1" ref="I138" ca="1">COLUMN(INDIRECT(A138))</f>
        <v>16</v>
      </c>
      <c r="M138" t="str" cm="1">
        <f t="array" aca="1" ref="M138" ca="1">IF(AND(J138="O",ISBLANK(INDIRECT(A138))),"Valeur obligatoire non renseignée","")</f>
        <v/>
      </c>
    </row>
    <row r="139" spans="1:13" x14ac:dyDescent="0.25">
      <c r="A139" s="503" t="s">
        <v>3094</v>
      </c>
      <c r="B139" cm="1">
        <f t="array" aca="1" ref="B139" ca="1">INDIRECT(A139)</f>
        <v>0</v>
      </c>
      <c r="C139">
        <f t="shared" ca="1" si="8"/>
        <v>4</v>
      </c>
      <c r="D139" t="str" cm="1">
        <f t="array" aca="1" ref="D139" ca="1">CELL("nomfichier",INDIRECT(A139))</f>
        <v>G:\SCPE\sdc\bq\6 - Mentions valorisantes\Certification environnementale\TEXTES_REGLEMENTATION_CE\Plans_contrôle et grilles\Grille audit niveau 3\Grille d'audit v1.11\[grille-audit-hvev4-v1.11-vf.xlsx]Surfaces</v>
      </c>
      <c r="E139">
        <f t="shared" ca="1" si="9"/>
        <v>200</v>
      </c>
      <c r="F139">
        <f t="shared" ca="1" si="10"/>
        <v>208</v>
      </c>
      <c r="G139" t="str">
        <f t="shared" ca="1" si="11"/>
        <v>Surfaces</v>
      </c>
      <c r="H139" cm="1">
        <f t="array" aca="1" ref="H139" ca="1">ROW(INDIRECT(A139))</f>
        <v>86</v>
      </c>
      <c r="I139" cm="1">
        <f t="array" aca="1" ref="I139" ca="1">COLUMN(INDIRECT(A139))</f>
        <v>17</v>
      </c>
      <c r="M139" t="str" cm="1">
        <f t="array" aca="1" ref="M139" ca="1">IF(AND(J139="O",ISBLANK(INDIRECT(A139))),"Valeur obligatoire non renseignée","")</f>
        <v/>
      </c>
    </row>
    <row r="140" spans="1:13" x14ac:dyDescent="0.25">
      <c r="A140" s="503" t="s">
        <v>2963</v>
      </c>
      <c r="B140" cm="1">
        <f t="array" aca="1" ref="B140" ca="1">INDIRECT(A140)</f>
        <v>0</v>
      </c>
      <c r="C140">
        <f t="shared" ca="1" si="8"/>
        <v>4</v>
      </c>
      <c r="D140" t="str" cm="1">
        <f t="array" aca="1" ref="D140" ca="1">CELL("nomfichier",INDIRECT(A140))</f>
        <v>G:\SCPE\sdc\bq\6 - Mentions valorisantes\Certification environnementale\TEXTES_REGLEMENTATION_CE\Plans_contrôle et grilles\Grille audit niveau 3\Grille d'audit v1.11\[grille-audit-hvev4-v1.11-vf.xlsx]Surfaces</v>
      </c>
      <c r="E140">
        <f t="shared" ca="1" si="9"/>
        <v>200</v>
      </c>
      <c r="F140">
        <f t="shared" ca="1" si="10"/>
        <v>208</v>
      </c>
      <c r="G140" t="str">
        <f t="shared" ca="1" si="11"/>
        <v>Surfaces</v>
      </c>
      <c r="H140" cm="1">
        <f t="array" aca="1" ref="H140" ca="1">ROW(INDIRECT(A140))</f>
        <v>87</v>
      </c>
      <c r="I140" cm="1">
        <f t="array" aca="1" ref="I140" ca="1">COLUMN(INDIRECT(A140))</f>
        <v>15</v>
      </c>
      <c r="M140" t="str" cm="1">
        <f t="array" aca="1" ref="M140" ca="1">IF(AND(J140="O",ISBLANK(INDIRECT(A140))),"Valeur obligatoire non renseignée","")</f>
        <v/>
      </c>
    </row>
    <row r="141" spans="1:13" x14ac:dyDescent="0.25">
      <c r="A141" s="503" t="s">
        <v>3029</v>
      </c>
      <c r="B141" cm="1">
        <f t="array" aca="1" ref="B141" ca="1">INDIRECT(A141)</f>
        <v>0</v>
      </c>
      <c r="C141">
        <f t="shared" ca="1" si="8"/>
        <v>4</v>
      </c>
      <c r="D141" t="str" cm="1">
        <f t="array" aca="1" ref="D141" ca="1">CELL("nomfichier",INDIRECT(A141))</f>
        <v>G:\SCPE\sdc\bq\6 - Mentions valorisantes\Certification environnementale\TEXTES_REGLEMENTATION_CE\Plans_contrôle et grilles\Grille audit niveau 3\Grille d'audit v1.11\[grille-audit-hvev4-v1.11-vf.xlsx]Surfaces</v>
      </c>
      <c r="E141">
        <f t="shared" ca="1" si="9"/>
        <v>200</v>
      </c>
      <c r="F141">
        <f t="shared" ca="1" si="10"/>
        <v>208</v>
      </c>
      <c r="G141" t="str">
        <f t="shared" ca="1" si="11"/>
        <v>Surfaces</v>
      </c>
      <c r="H141" cm="1">
        <f t="array" aca="1" ref="H141" ca="1">ROW(INDIRECT(A141))</f>
        <v>87</v>
      </c>
      <c r="I141" cm="1">
        <f t="array" aca="1" ref="I141" ca="1">COLUMN(INDIRECT(A141))</f>
        <v>16</v>
      </c>
      <c r="M141" t="str" cm="1">
        <f t="array" aca="1" ref="M141" ca="1">IF(AND(J141="O",ISBLANK(INDIRECT(A141))),"Valeur obligatoire non renseignée","")</f>
        <v/>
      </c>
    </row>
    <row r="142" spans="1:13" x14ac:dyDescent="0.25">
      <c r="A142" s="503" t="s">
        <v>3095</v>
      </c>
      <c r="B142" cm="1">
        <f t="array" aca="1" ref="B142" ca="1">INDIRECT(A142)</f>
        <v>0</v>
      </c>
      <c r="C142">
        <f t="shared" ca="1" si="8"/>
        <v>4</v>
      </c>
      <c r="D142" t="str" cm="1">
        <f t="array" aca="1" ref="D142" ca="1">CELL("nomfichier",INDIRECT(A142))</f>
        <v>G:\SCPE\sdc\bq\6 - Mentions valorisantes\Certification environnementale\TEXTES_REGLEMENTATION_CE\Plans_contrôle et grilles\Grille audit niveau 3\Grille d'audit v1.11\[grille-audit-hvev4-v1.11-vf.xlsx]Surfaces</v>
      </c>
      <c r="E142">
        <f t="shared" ca="1" si="9"/>
        <v>200</v>
      </c>
      <c r="F142">
        <f t="shared" ca="1" si="10"/>
        <v>208</v>
      </c>
      <c r="G142" t="str">
        <f t="shared" ca="1" si="11"/>
        <v>Surfaces</v>
      </c>
      <c r="H142" cm="1">
        <f t="array" aca="1" ref="H142" ca="1">ROW(INDIRECT(A142))</f>
        <v>87</v>
      </c>
      <c r="I142" cm="1">
        <f t="array" aca="1" ref="I142" ca="1">COLUMN(INDIRECT(A142))</f>
        <v>17</v>
      </c>
      <c r="M142" t="str" cm="1">
        <f t="array" aca="1" ref="M142" ca="1">IF(AND(J142="O",ISBLANK(INDIRECT(A142))),"Valeur obligatoire non renseignée","")</f>
        <v/>
      </c>
    </row>
    <row r="143" spans="1:13" x14ac:dyDescent="0.25">
      <c r="A143" s="503" t="s">
        <v>2964</v>
      </c>
      <c r="B143" cm="1">
        <f t="array" aca="1" ref="B143" ca="1">INDIRECT(A143)</f>
        <v>0</v>
      </c>
      <c r="C143">
        <f t="shared" ca="1" si="8"/>
        <v>4</v>
      </c>
      <c r="D143" t="str" cm="1">
        <f t="array" aca="1" ref="D143" ca="1">CELL("nomfichier",INDIRECT(A143))</f>
        <v>G:\SCPE\sdc\bq\6 - Mentions valorisantes\Certification environnementale\TEXTES_REGLEMENTATION_CE\Plans_contrôle et grilles\Grille audit niveau 3\Grille d'audit v1.11\[grille-audit-hvev4-v1.11-vf.xlsx]Surfaces</v>
      </c>
      <c r="E143">
        <f t="shared" ca="1" si="9"/>
        <v>200</v>
      </c>
      <c r="F143">
        <f t="shared" ca="1" si="10"/>
        <v>208</v>
      </c>
      <c r="G143" t="str">
        <f t="shared" ca="1" si="11"/>
        <v>Surfaces</v>
      </c>
      <c r="H143" cm="1">
        <f t="array" aca="1" ref="H143" ca="1">ROW(INDIRECT(A143))</f>
        <v>88</v>
      </c>
      <c r="I143" cm="1">
        <f t="array" aca="1" ref="I143" ca="1">COLUMN(INDIRECT(A143))</f>
        <v>15</v>
      </c>
      <c r="M143" t="str" cm="1">
        <f t="array" aca="1" ref="M143" ca="1">IF(AND(J143="O",ISBLANK(INDIRECT(A143))),"Valeur obligatoire non renseignée","")</f>
        <v/>
      </c>
    </row>
    <row r="144" spans="1:13" x14ac:dyDescent="0.25">
      <c r="A144" s="503" t="s">
        <v>3030</v>
      </c>
      <c r="B144" cm="1">
        <f t="array" aca="1" ref="B144" ca="1">INDIRECT(A144)</f>
        <v>0</v>
      </c>
      <c r="C144">
        <f t="shared" ca="1" si="8"/>
        <v>4</v>
      </c>
      <c r="D144" t="str" cm="1">
        <f t="array" aca="1" ref="D144" ca="1">CELL("nomfichier",INDIRECT(A144))</f>
        <v>G:\SCPE\sdc\bq\6 - Mentions valorisantes\Certification environnementale\TEXTES_REGLEMENTATION_CE\Plans_contrôle et grilles\Grille audit niveau 3\Grille d'audit v1.11\[grille-audit-hvev4-v1.11-vf.xlsx]Surfaces</v>
      </c>
      <c r="E144">
        <f t="shared" ca="1" si="9"/>
        <v>200</v>
      </c>
      <c r="F144">
        <f t="shared" ca="1" si="10"/>
        <v>208</v>
      </c>
      <c r="G144" t="str">
        <f t="shared" ca="1" si="11"/>
        <v>Surfaces</v>
      </c>
      <c r="H144" cm="1">
        <f t="array" aca="1" ref="H144" ca="1">ROW(INDIRECT(A144))</f>
        <v>88</v>
      </c>
      <c r="I144" cm="1">
        <f t="array" aca="1" ref="I144" ca="1">COLUMN(INDIRECT(A144))</f>
        <v>16</v>
      </c>
      <c r="M144" t="str" cm="1">
        <f t="array" aca="1" ref="M144" ca="1">IF(AND(J144="O",ISBLANK(INDIRECT(A144))),"Valeur obligatoire non renseignée","")</f>
        <v/>
      </c>
    </row>
    <row r="145" spans="1:13" x14ac:dyDescent="0.25">
      <c r="A145" s="503" t="s">
        <v>3096</v>
      </c>
      <c r="B145" cm="1">
        <f t="array" aca="1" ref="B145" ca="1">INDIRECT(A145)</f>
        <v>0</v>
      </c>
      <c r="C145">
        <f t="shared" ca="1" si="8"/>
        <v>4</v>
      </c>
      <c r="D145" t="str" cm="1">
        <f t="array" aca="1" ref="D145" ca="1">CELL("nomfichier",INDIRECT(A145))</f>
        <v>G:\SCPE\sdc\bq\6 - Mentions valorisantes\Certification environnementale\TEXTES_REGLEMENTATION_CE\Plans_contrôle et grilles\Grille audit niveau 3\Grille d'audit v1.11\[grille-audit-hvev4-v1.11-vf.xlsx]Surfaces</v>
      </c>
      <c r="E145">
        <f t="shared" ca="1" si="9"/>
        <v>200</v>
      </c>
      <c r="F145">
        <f t="shared" ca="1" si="10"/>
        <v>208</v>
      </c>
      <c r="G145" t="str">
        <f t="shared" ca="1" si="11"/>
        <v>Surfaces</v>
      </c>
      <c r="H145" cm="1">
        <f t="array" aca="1" ref="H145" ca="1">ROW(INDIRECT(A145))</f>
        <v>88</v>
      </c>
      <c r="I145" cm="1">
        <f t="array" aca="1" ref="I145" ca="1">COLUMN(INDIRECT(A145))</f>
        <v>17</v>
      </c>
      <c r="M145" t="str" cm="1">
        <f t="array" aca="1" ref="M145" ca="1">IF(AND(J145="O",ISBLANK(INDIRECT(A145))),"Valeur obligatoire non renseignée","")</f>
        <v/>
      </c>
    </row>
    <row r="146" spans="1:13" x14ac:dyDescent="0.25">
      <c r="A146" s="503" t="s">
        <v>2965</v>
      </c>
      <c r="B146" cm="1">
        <f t="array" aca="1" ref="B146" ca="1">INDIRECT(A146)</f>
        <v>0</v>
      </c>
      <c r="C146">
        <f t="shared" ca="1" si="8"/>
        <v>4</v>
      </c>
      <c r="D146" t="str" cm="1">
        <f t="array" aca="1" ref="D146" ca="1">CELL("nomfichier",INDIRECT(A146))</f>
        <v>G:\SCPE\sdc\bq\6 - Mentions valorisantes\Certification environnementale\TEXTES_REGLEMENTATION_CE\Plans_contrôle et grilles\Grille audit niveau 3\Grille d'audit v1.11\[grille-audit-hvev4-v1.11-vf.xlsx]Surfaces</v>
      </c>
      <c r="E146">
        <f t="shared" ca="1" si="9"/>
        <v>200</v>
      </c>
      <c r="F146">
        <f t="shared" ca="1" si="10"/>
        <v>208</v>
      </c>
      <c r="G146" t="str">
        <f t="shared" ca="1" si="11"/>
        <v>Surfaces</v>
      </c>
      <c r="H146" cm="1">
        <f t="array" aca="1" ref="H146" ca="1">ROW(INDIRECT(A146))</f>
        <v>89</v>
      </c>
      <c r="I146" cm="1">
        <f t="array" aca="1" ref="I146" ca="1">COLUMN(INDIRECT(A146))</f>
        <v>15</v>
      </c>
      <c r="M146" t="str" cm="1">
        <f t="array" aca="1" ref="M146" ca="1">IF(AND(J146="O",ISBLANK(INDIRECT(A146))),"Valeur obligatoire non renseignée","")</f>
        <v/>
      </c>
    </row>
    <row r="147" spans="1:13" x14ac:dyDescent="0.25">
      <c r="A147" s="503" t="s">
        <v>3031</v>
      </c>
      <c r="B147" cm="1">
        <f t="array" aca="1" ref="B147" ca="1">INDIRECT(A147)</f>
        <v>0</v>
      </c>
      <c r="C147">
        <f t="shared" ca="1" si="8"/>
        <v>4</v>
      </c>
      <c r="D147" t="str" cm="1">
        <f t="array" aca="1" ref="D147" ca="1">CELL("nomfichier",INDIRECT(A147))</f>
        <v>G:\SCPE\sdc\bq\6 - Mentions valorisantes\Certification environnementale\TEXTES_REGLEMENTATION_CE\Plans_contrôle et grilles\Grille audit niveau 3\Grille d'audit v1.11\[grille-audit-hvev4-v1.11-vf.xlsx]Surfaces</v>
      </c>
      <c r="E147">
        <f t="shared" ca="1" si="9"/>
        <v>200</v>
      </c>
      <c r="F147">
        <f t="shared" ca="1" si="10"/>
        <v>208</v>
      </c>
      <c r="G147" t="str">
        <f t="shared" ca="1" si="11"/>
        <v>Surfaces</v>
      </c>
      <c r="H147" cm="1">
        <f t="array" aca="1" ref="H147" ca="1">ROW(INDIRECT(A147))</f>
        <v>89</v>
      </c>
      <c r="I147" cm="1">
        <f t="array" aca="1" ref="I147" ca="1">COLUMN(INDIRECT(A147))</f>
        <v>16</v>
      </c>
      <c r="M147" t="str" cm="1">
        <f t="array" aca="1" ref="M147" ca="1">IF(AND(J147="O",ISBLANK(INDIRECT(A147))),"Valeur obligatoire non renseignée","")</f>
        <v/>
      </c>
    </row>
    <row r="148" spans="1:13" x14ac:dyDescent="0.25">
      <c r="A148" s="503" t="s">
        <v>3097</v>
      </c>
      <c r="B148" cm="1">
        <f t="array" aca="1" ref="B148" ca="1">INDIRECT(A148)</f>
        <v>0</v>
      </c>
      <c r="C148">
        <f t="shared" ca="1" si="8"/>
        <v>4</v>
      </c>
      <c r="D148" t="str" cm="1">
        <f t="array" aca="1" ref="D148" ca="1">CELL("nomfichier",INDIRECT(A148))</f>
        <v>G:\SCPE\sdc\bq\6 - Mentions valorisantes\Certification environnementale\TEXTES_REGLEMENTATION_CE\Plans_contrôle et grilles\Grille audit niveau 3\Grille d'audit v1.11\[grille-audit-hvev4-v1.11-vf.xlsx]Surfaces</v>
      </c>
      <c r="E148">
        <f t="shared" ca="1" si="9"/>
        <v>200</v>
      </c>
      <c r="F148">
        <f t="shared" ca="1" si="10"/>
        <v>208</v>
      </c>
      <c r="G148" t="str">
        <f t="shared" ca="1" si="11"/>
        <v>Surfaces</v>
      </c>
      <c r="H148" cm="1">
        <f t="array" aca="1" ref="H148" ca="1">ROW(INDIRECT(A148))</f>
        <v>89</v>
      </c>
      <c r="I148" cm="1">
        <f t="array" aca="1" ref="I148" ca="1">COLUMN(INDIRECT(A148))</f>
        <v>17</v>
      </c>
      <c r="M148" t="str" cm="1">
        <f t="array" aca="1" ref="M148" ca="1">IF(AND(J148="O",ISBLANK(INDIRECT(A148))),"Valeur obligatoire non renseignée","")</f>
        <v/>
      </c>
    </row>
    <row r="149" spans="1:13" x14ac:dyDescent="0.25">
      <c r="A149" s="503" t="s">
        <v>2966</v>
      </c>
      <c r="B149" cm="1">
        <f t="array" aca="1" ref="B149" ca="1">INDIRECT(A149)</f>
        <v>0</v>
      </c>
      <c r="C149">
        <f t="shared" ca="1" si="8"/>
        <v>4</v>
      </c>
      <c r="D149" t="str" cm="1">
        <f t="array" aca="1" ref="D149" ca="1">CELL("nomfichier",INDIRECT(A149))</f>
        <v>G:\SCPE\sdc\bq\6 - Mentions valorisantes\Certification environnementale\TEXTES_REGLEMENTATION_CE\Plans_contrôle et grilles\Grille audit niveau 3\Grille d'audit v1.11\[grille-audit-hvev4-v1.11-vf.xlsx]Surfaces</v>
      </c>
      <c r="E149">
        <f t="shared" ca="1" si="9"/>
        <v>200</v>
      </c>
      <c r="F149">
        <f t="shared" ca="1" si="10"/>
        <v>208</v>
      </c>
      <c r="G149" t="str">
        <f t="shared" ca="1" si="11"/>
        <v>Surfaces</v>
      </c>
      <c r="H149" cm="1">
        <f t="array" aca="1" ref="H149" ca="1">ROW(INDIRECT(A149))</f>
        <v>93</v>
      </c>
      <c r="I149" cm="1">
        <f t="array" aca="1" ref="I149" ca="1">COLUMN(INDIRECT(A149))</f>
        <v>15</v>
      </c>
      <c r="M149" t="str" cm="1">
        <f t="array" aca="1" ref="M149" ca="1">IF(AND(J149="O",ISBLANK(INDIRECT(A149))),"Valeur obligatoire non renseignée","")</f>
        <v/>
      </c>
    </row>
    <row r="150" spans="1:13" x14ac:dyDescent="0.25">
      <c r="A150" s="503" t="s">
        <v>3032</v>
      </c>
      <c r="B150" cm="1">
        <f t="array" aca="1" ref="B150" ca="1">INDIRECT(A150)</f>
        <v>0</v>
      </c>
      <c r="C150">
        <f t="shared" ca="1" si="8"/>
        <v>4</v>
      </c>
      <c r="D150" t="str" cm="1">
        <f t="array" aca="1" ref="D150" ca="1">CELL("nomfichier",INDIRECT(A150))</f>
        <v>G:\SCPE\sdc\bq\6 - Mentions valorisantes\Certification environnementale\TEXTES_REGLEMENTATION_CE\Plans_contrôle et grilles\Grille audit niveau 3\Grille d'audit v1.11\[grille-audit-hvev4-v1.11-vf.xlsx]Surfaces</v>
      </c>
      <c r="E150">
        <f t="shared" ca="1" si="9"/>
        <v>200</v>
      </c>
      <c r="F150">
        <f t="shared" ca="1" si="10"/>
        <v>208</v>
      </c>
      <c r="G150" t="str">
        <f t="shared" ca="1" si="11"/>
        <v>Surfaces</v>
      </c>
      <c r="H150" cm="1">
        <f t="array" aca="1" ref="H150" ca="1">ROW(INDIRECT(A150))</f>
        <v>93</v>
      </c>
      <c r="I150" cm="1">
        <f t="array" aca="1" ref="I150" ca="1">COLUMN(INDIRECT(A150))</f>
        <v>16</v>
      </c>
      <c r="M150" t="str" cm="1">
        <f t="array" aca="1" ref="M150" ca="1">IF(AND(J150="O",ISBLANK(INDIRECT(A150))),"Valeur obligatoire non renseignée","")</f>
        <v/>
      </c>
    </row>
    <row r="151" spans="1:13" x14ac:dyDescent="0.25">
      <c r="A151" s="503" t="s">
        <v>3098</v>
      </c>
      <c r="B151" cm="1">
        <f t="array" aca="1" ref="B151" ca="1">INDIRECT(A151)</f>
        <v>0</v>
      </c>
      <c r="C151">
        <f t="shared" ca="1" si="8"/>
        <v>4</v>
      </c>
      <c r="D151" t="str" cm="1">
        <f t="array" aca="1" ref="D151" ca="1">CELL("nomfichier",INDIRECT(A151))</f>
        <v>G:\SCPE\sdc\bq\6 - Mentions valorisantes\Certification environnementale\TEXTES_REGLEMENTATION_CE\Plans_contrôle et grilles\Grille audit niveau 3\Grille d'audit v1.11\[grille-audit-hvev4-v1.11-vf.xlsx]Surfaces</v>
      </c>
      <c r="E151">
        <f t="shared" ca="1" si="9"/>
        <v>200</v>
      </c>
      <c r="F151">
        <f t="shared" ca="1" si="10"/>
        <v>208</v>
      </c>
      <c r="G151" t="str">
        <f t="shared" ca="1" si="11"/>
        <v>Surfaces</v>
      </c>
      <c r="H151" cm="1">
        <f t="array" aca="1" ref="H151" ca="1">ROW(INDIRECT(A151))</f>
        <v>93</v>
      </c>
      <c r="I151" cm="1">
        <f t="array" aca="1" ref="I151" ca="1">COLUMN(INDIRECT(A151))</f>
        <v>17</v>
      </c>
      <c r="M151" t="str" cm="1">
        <f t="array" aca="1" ref="M151" ca="1">IF(AND(J151="O",ISBLANK(INDIRECT(A151))),"Valeur obligatoire non renseignée","")</f>
        <v/>
      </c>
    </row>
    <row r="152" spans="1:13" x14ac:dyDescent="0.25">
      <c r="A152" s="503" t="s">
        <v>2967</v>
      </c>
      <c r="B152" cm="1">
        <f t="array" aca="1" ref="B152" ca="1">INDIRECT(A152)</f>
        <v>0</v>
      </c>
      <c r="C152">
        <f t="shared" ca="1" si="8"/>
        <v>4</v>
      </c>
      <c r="D152" t="str" cm="1">
        <f t="array" aca="1" ref="D152" ca="1">CELL("nomfichier",INDIRECT(A152))</f>
        <v>G:\SCPE\sdc\bq\6 - Mentions valorisantes\Certification environnementale\TEXTES_REGLEMENTATION_CE\Plans_contrôle et grilles\Grille audit niveau 3\Grille d'audit v1.11\[grille-audit-hvev4-v1.11-vf.xlsx]Surfaces</v>
      </c>
      <c r="E152">
        <f t="shared" ca="1" si="9"/>
        <v>200</v>
      </c>
      <c r="F152">
        <f t="shared" ca="1" si="10"/>
        <v>208</v>
      </c>
      <c r="G152" t="str">
        <f t="shared" ca="1" si="11"/>
        <v>Surfaces</v>
      </c>
      <c r="H152" cm="1">
        <f t="array" aca="1" ref="H152" ca="1">ROW(INDIRECT(A152))</f>
        <v>94</v>
      </c>
      <c r="I152" cm="1">
        <f t="array" aca="1" ref="I152" ca="1">COLUMN(INDIRECT(A152))</f>
        <v>15</v>
      </c>
      <c r="M152" t="str" cm="1">
        <f t="array" aca="1" ref="M152" ca="1">IF(AND(J152="O",ISBLANK(INDIRECT(A152))),"Valeur obligatoire non renseignée","")</f>
        <v/>
      </c>
    </row>
    <row r="153" spans="1:13" x14ac:dyDescent="0.25">
      <c r="A153" s="503" t="s">
        <v>3033</v>
      </c>
      <c r="B153" cm="1">
        <f t="array" aca="1" ref="B153" ca="1">INDIRECT(A153)</f>
        <v>0</v>
      </c>
      <c r="C153">
        <f t="shared" ca="1" si="8"/>
        <v>4</v>
      </c>
      <c r="D153" t="str" cm="1">
        <f t="array" aca="1" ref="D153" ca="1">CELL("nomfichier",INDIRECT(A153))</f>
        <v>G:\SCPE\sdc\bq\6 - Mentions valorisantes\Certification environnementale\TEXTES_REGLEMENTATION_CE\Plans_contrôle et grilles\Grille audit niveau 3\Grille d'audit v1.11\[grille-audit-hvev4-v1.11-vf.xlsx]Surfaces</v>
      </c>
      <c r="E153">
        <f t="shared" ca="1" si="9"/>
        <v>200</v>
      </c>
      <c r="F153">
        <f t="shared" ca="1" si="10"/>
        <v>208</v>
      </c>
      <c r="G153" t="str">
        <f t="shared" ca="1" si="11"/>
        <v>Surfaces</v>
      </c>
      <c r="H153" cm="1">
        <f t="array" aca="1" ref="H153" ca="1">ROW(INDIRECT(A153))</f>
        <v>94</v>
      </c>
      <c r="I153" cm="1">
        <f t="array" aca="1" ref="I153" ca="1">COLUMN(INDIRECT(A153))</f>
        <v>16</v>
      </c>
      <c r="M153" t="str" cm="1">
        <f t="array" aca="1" ref="M153" ca="1">IF(AND(J153="O",ISBLANK(INDIRECT(A153))),"Valeur obligatoire non renseignée","")</f>
        <v/>
      </c>
    </row>
    <row r="154" spans="1:13" x14ac:dyDescent="0.25">
      <c r="A154" s="503" t="s">
        <v>3099</v>
      </c>
      <c r="B154" cm="1">
        <f t="array" aca="1" ref="B154" ca="1">INDIRECT(A154)</f>
        <v>0</v>
      </c>
      <c r="C154">
        <f t="shared" ca="1" si="8"/>
        <v>4</v>
      </c>
      <c r="D154" t="str" cm="1">
        <f t="array" aca="1" ref="D154" ca="1">CELL("nomfichier",INDIRECT(A154))</f>
        <v>G:\SCPE\sdc\bq\6 - Mentions valorisantes\Certification environnementale\TEXTES_REGLEMENTATION_CE\Plans_contrôle et grilles\Grille audit niveau 3\Grille d'audit v1.11\[grille-audit-hvev4-v1.11-vf.xlsx]Surfaces</v>
      </c>
      <c r="E154">
        <f t="shared" ca="1" si="9"/>
        <v>200</v>
      </c>
      <c r="F154">
        <f t="shared" ca="1" si="10"/>
        <v>208</v>
      </c>
      <c r="G154" t="str">
        <f t="shared" ca="1" si="11"/>
        <v>Surfaces</v>
      </c>
      <c r="H154" cm="1">
        <f t="array" aca="1" ref="H154" ca="1">ROW(INDIRECT(A154))</f>
        <v>94</v>
      </c>
      <c r="I154" cm="1">
        <f t="array" aca="1" ref="I154" ca="1">COLUMN(INDIRECT(A154))</f>
        <v>17</v>
      </c>
      <c r="M154" t="str" cm="1">
        <f t="array" aca="1" ref="M154" ca="1">IF(AND(J154="O",ISBLANK(INDIRECT(A154))),"Valeur obligatoire non renseignée","")</f>
        <v/>
      </c>
    </row>
    <row r="155" spans="1:13" x14ac:dyDescent="0.25">
      <c r="A155" s="503" t="s">
        <v>2968</v>
      </c>
      <c r="B155" cm="1">
        <f t="array" aca="1" ref="B155" ca="1">INDIRECT(A155)</f>
        <v>0</v>
      </c>
      <c r="C155">
        <f t="shared" ca="1" si="8"/>
        <v>4</v>
      </c>
      <c r="D155" t="str" cm="1">
        <f t="array" aca="1" ref="D155" ca="1">CELL("nomfichier",INDIRECT(A155))</f>
        <v>G:\SCPE\sdc\bq\6 - Mentions valorisantes\Certification environnementale\TEXTES_REGLEMENTATION_CE\Plans_contrôle et grilles\Grille audit niveau 3\Grille d'audit v1.11\[grille-audit-hvev4-v1.11-vf.xlsx]Surfaces</v>
      </c>
      <c r="E155">
        <f t="shared" ca="1" si="9"/>
        <v>200</v>
      </c>
      <c r="F155">
        <f t="shared" ca="1" si="10"/>
        <v>208</v>
      </c>
      <c r="G155" t="str">
        <f t="shared" ca="1" si="11"/>
        <v>Surfaces</v>
      </c>
      <c r="H155" cm="1">
        <f t="array" aca="1" ref="H155" ca="1">ROW(INDIRECT(A155))</f>
        <v>95</v>
      </c>
      <c r="I155" cm="1">
        <f t="array" aca="1" ref="I155" ca="1">COLUMN(INDIRECT(A155))</f>
        <v>15</v>
      </c>
      <c r="M155" t="str" cm="1">
        <f t="array" aca="1" ref="M155" ca="1">IF(AND(J155="O",ISBLANK(INDIRECT(A155))),"Valeur obligatoire non renseignée","")</f>
        <v/>
      </c>
    </row>
    <row r="156" spans="1:13" x14ac:dyDescent="0.25">
      <c r="A156" s="503" t="s">
        <v>3034</v>
      </c>
      <c r="B156" cm="1">
        <f t="array" aca="1" ref="B156" ca="1">INDIRECT(A156)</f>
        <v>0</v>
      </c>
      <c r="C156">
        <f t="shared" ca="1" si="8"/>
        <v>4</v>
      </c>
      <c r="D156" t="str" cm="1">
        <f t="array" aca="1" ref="D156" ca="1">CELL("nomfichier",INDIRECT(A156))</f>
        <v>G:\SCPE\sdc\bq\6 - Mentions valorisantes\Certification environnementale\TEXTES_REGLEMENTATION_CE\Plans_contrôle et grilles\Grille audit niveau 3\Grille d'audit v1.11\[grille-audit-hvev4-v1.11-vf.xlsx]Surfaces</v>
      </c>
      <c r="E156">
        <f t="shared" ca="1" si="9"/>
        <v>200</v>
      </c>
      <c r="F156">
        <f t="shared" ca="1" si="10"/>
        <v>208</v>
      </c>
      <c r="G156" t="str">
        <f t="shared" ca="1" si="11"/>
        <v>Surfaces</v>
      </c>
      <c r="H156" cm="1">
        <f t="array" aca="1" ref="H156" ca="1">ROW(INDIRECT(A156))</f>
        <v>95</v>
      </c>
      <c r="I156" cm="1">
        <f t="array" aca="1" ref="I156" ca="1">COLUMN(INDIRECT(A156))</f>
        <v>16</v>
      </c>
      <c r="M156" t="str" cm="1">
        <f t="array" aca="1" ref="M156" ca="1">IF(AND(J156="O",ISBLANK(INDIRECT(A156))),"Valeur obligatoire non renseignée","")</f>
        <v/>
      </c>
    </row>
    <row r="157" spans="1:13" x14ac:dyDescent="0.25">
      <c r="A157" s="503" t="s">
        <v>3100</v>
      </c>
      <c r="B157" cm="1">
        <f t="array" aca="1" ref="B157" ca="1">INDIRECT(A157)</f>
        <v>0</v>
      </c>
      <c r="C157">
        <f t="shared" ca="1" si="8"/>
        <v>4</v>
      </c>
      <c r="D157" t="str" cm="1">
        <f t="array" aca="1" ref="D157" ca="1">CELL("nomfichier",INDIRECT(A157))</f>
        <v>G:\SCPE\sdc\bq\6 - Mentions valorisantes\Certification environnementale\TEXTES_REGLEMENTATION_CE\Plans_contrôle et grilles\Grille audit niveau 3\Grille d'audit v1.11\[grille-audit-hvev4-v1.11-vf.xlsx]Surfaces</v>
      </c>
      <c r="E157">
        <f t="shared" ca="1" si="9"/>
        <v>200</v>
      </c>
      <c r="F157">
        <f t="shared" ca="1" si="10"/>
        <v>208</v>
      </c>
      <c r="G157" t="str">
        <f t="shared" ca="1" si="11"/>
        <v>Surfaces</v>
      </c>
      <c r="H157" cm="1">
        <f t="array" aca="1" ref="H157" ca="1">ROW(INDIRECT(A157))</f>
        <v>95</v>
      </c>
      <c r="I157" cm="1">
        <f t="array" aca="1" ref="I157" ca="1">COLUMN(INDIRECT(A157))</f>
        <v>17</v>
      </c>
      <c r="M157" t="str" cm="1">
        <f t="array" aca="1" ref="M157" ca="1">IF(AND(J157="O",ISBLANK(INDIRECT(A157))),"Valeur obligatoire non renseignée","")</f>
        <v/>
      </c>
    </row>
    <row r="158" spans="1:13" x14ac:dyDescent="0.25">
      <c r="A158" s="503" t="s">
        <v>2969</v>
      </c>
      <c r="B158" cm="1">
        <f t="array" aca="1" ref="B158" ca="1">INDIRECT(A158)</f>
        <v>0</v>
      </c>
      <c r="C158">
        <f t="shared" ca="1" si="8"/>
        <v>4</v>
      </c>
      <c r="D158" t="str" cm="1">
        <f t="array" aca="1" ref="D158" ca="1">CELL("nomfichier",INDIRECT(A158))</f>
        <v>G:\SCPE\sdc\bq\6 - Mentions valorisantes\Certification environnementale\TEXTES_REGLEMENTATION_CE\Plans_contrôle et grilles\Grille audit niveau 3\Grille d'audit v1.11\[grille-audit-hvev4-v1.11-vf.xlsx]Surfaces</v>
      </c>
      <c r="E158">
        <f t="shared" ca="1" si="9"/>
        <v>200</v>
      </c>
      <c r="F158">
        <f t="shared" ca="1" si="10"/>
        <v>208</v>
      </c>
      <c r="G158" t="str">
        <f t="shared" ca="1" si="11"/>
        <v>Surfaces</v>
      </c>
      <c r="H158" cm="1">
        <f t="array" aca="1" ref="H158" ca="1">ROW(INDIRECT(A158))</f>
        <v>96</v>
      </c>
      <c r="I158" cm="1">
        <f t="array" aca="1" ref="I158" ca="1">COLUMN(INDIRECT(A158))</f>
        <v>15</v>
      </c>
      <c r="M158" t="str" cm="1">
        <f t="array" aca="1" ref="M158" ca="1">IF(AND(J158="O",ISBLANK(INDIRECT(A158))),"Valeur obligatoire non renseignée","")</f>
        <v/>
      </c>
    </row>
    <row r="159" spans="1:13" x14ac:dyDescent="0.25">
      <c r="A159" s="503" t="s">
        <v>3035</v>
      </c>
      <c r="B159" cm="1">
        <f t="array" aca="1" ref="B159" ca="1">INDIRECT(A159)</f>
        <v>0</v>
      </c>
      <c r="C159">
        <f t="shared" ca="1" si="8"/>
        <v>4</v>
      </c>
      <c r="D159" t="str" cm="1">
        <f t="array" aca="1" ref="D159" ca="1">CELL("nomfichier",INDIRECT(A159))</f>
        <v>G:\SCPE\sdc\bq\6 - Mentions valorisantes\Certification environnementale\TEXTES_REGLEMENTATION_CE\Plans_contrôle et grilles\Grille audit niveau 3\Grille d'audit v1.11\[grille-audit-hvev4-v1.11-vf.xlsx]Surfaces</v>
      </c>
      <c r="E159">
        <f t="shared" ca="1" si="9"/>
        <v>200</v>
      </c>
      <c r="F159">
        <f t="shared" ca="1" si="10"/>
        <v>208</v>
      </c>
      <c r="G159" t="str">
        <f t="shared" ca="1" si="11"/>
        <v>Surfaces</v>
      </c>
      <c r="H159" cm="1">
        <f t="array" aca="1" ref="H159" ca="1">ROW(INDIRECT(A159))</f>
        <v>96</v>
      </c>
      <c r="I159" cm="1">
        <f t="array" aca="1" ref="I159" ca="1">COLUMN(INDIRECT(A159))</f>
        <v>16</v>
      </c>
      <c r="M159" t="str" cm="1">
        <f t="array" aca="1" ref="M159" ca="1">IF(AND(J159="O",ISBLANK(INDIRECT(A159))),"Valeur obligatoire non renseignée","")</f>
        <v/>
      </c>
    </row>
    <row r="160" spans="1:13" x14ac:dyDescent="0.25">
      <c r="A160" s="503" t="s">
        <v>3101</v>
      </c>
      <c r="B160" cm="1">
        <f t="array" aca="1" ref="B160" ca="1">INDIRECT(A160)</f>
        <v>0</v>
      </c>
      <c r="C160">
        <f t="shared" ca="1" si="8"/>
        <v>4</v>
      </c>
      <c r="D160" t="str" cm="1">
        <f t="array" aca="1" ref="D160" ca="1">CELL("nomfichier",INDIRECT(A160))</f>
        <v>G:\SCPE\sdc\bq\6 - Mentions valorisantes\Certification environnementale\TEXTES_REGLEMENTATION_CE\Plans_contrôle et grilles\Grille audit niveau 3\Grille d'audit v1.11\[grille-audit-hvev4-v1.11-vf.xlsx]Surfaces</v>
      </c>
      <c r="E160">
        <f t="shared" ca="1" si="9"/>
        <v>200</v>
      </c>
      <c r="F160">
        <f t="shared" ca="1" si="10"/>
        <v>208</v>
      </c>
      <c r="G160" t="str">
        <f t="shared" ca="1" si="11"/>
        <v>Surfaces</v>
      </c>
      <c r="H160" cm="1">
        <f t="array" aca="1" ref="H160" ca="1">ROW(INDIRECT(A160))</f>
        <v>96</v>
      </c>
      <c r="I160" cm="1">
        <f t="array" aca="1" ref="I160" ca="1">COLUMN(INDIRECT(A160))</f>
        <v>17</v>
      </c>
      <c r="M160" t="str" cm="1">
        <f t="array" aca="1" ref="M160" ca="1">IF(AND(J160="O",ISBLANK(INDIRECT(A160))),"Valeur obligatoire non renseignée","")</f>
        <v/>
      </c>
    </row>
    <row r="161" spans="1:13" x14ac:dyDescent="0.25">
      <c r="A161" s="503" t="s">
        <v>2970</v>
      </c>
      <c r="B161" cm="1">
        <f t="array" aca="1" ref="B161" ca="1">INDIRECT(A161)</f>
        <v>0</v>
      </c>
      <c r="C161">
        <f t="shared" ca="1" si="8"/>
        <v>4</v>
      </c>
      <c r="D161" t="str" cm="1">
        <f t="array" aca="1" ref="D161" ca="1">CELL("nomfichier",INDIRECT(A161))</f>
        <v>G:\SCPE\sdc\bq\6 - Mentions valorisantes\Certification environnementale\TEXTES_REGLEMENTATION_CE\Plans_contrôle et grilles\Grille audit niveau 3\Grille d'audit v1.11\[grille-audit-hvev4-v1.11-vf.xlsx]Surfaces</v>
      </c>
      <c r="E161">
        <f t="shared" ca="1" si="9"/>
        <v>200</v>
      </c>
      <c r="F161">
        <f t="shared" ca="1" si="10"/>
        <v>208</v>
      </c>
      <c r="G161" t="str">
        <f t="shared" ca="1" si="11"/>
        <v>Surfaces</v>
      </c>
      <c r="H161" cm="1">
        <f t="array" aca="1" ref="H161" ca="1">ROW(INDIRECT(A161))</f>
        <v>100</v>
      </c>
      <c r="I161" cm="1">
        <f t="array" aca="1" ref="I161" ca="1">COLUMN(INDIRECT(A161))</f>
        <v>15</v>
      </c>
      <c r="M161" t="str" cm="1">
        <f t="array" aca="1" ref="M161" ca="1">IF(AND(J161="O",ISBLANK(INDIRECT(A161))),"Valeur obligatoire non renseignée","")</f>
        <v/>
      </c>
    </row>
    <row r="162" spans="1:13" x14ac:dyDescent="0.25">
      <c r="A162" s="503" t="s">
        <v>3036</v>
      </c>
      <c r="B162" cm="1">
        <f t="array" aca="1" ref="B162" ca="1">INDIRECT(A162)</f>
        <v>0</v>
      </c>
      <c r="C162">
        <f t="shared" ca="1" si="8"/>
        <v>4</v>
      </c>
      <c r="D162" t="str" cm="1">
        <f t="array" aca="1" ref="D162" ca="1">CELL("nomfichier",INDIRECT(A162))</f>
        <v>G:\SCPE\sdc\bq\6 - Mentions valorisantes\Certification environnementale\TEXTES_REGLEMENTATION_CE\Plans_contrôle et grilles\Grille audit niveau 3\Grille d'audit v1.11\[grille-audit-hvev4-v1.11-vf.xlsx]Surfaces</v>
      </c>
      <c r="E162">
        <f t="shared" ca="1" si="9"/>
        <v>200</v>
      </c>
      <c r="F162">
        <f t="shared" ca="1" si="10"/>
        <v>208</v>
      </c>
      <c r="G162" t="str">
        <f t="shared" ca="1" si="11"/>
        <v>Surfaces</v>
      </c>
      <c r="H162" cm="1">
        <f t="array" aca="1" ref="H162" ca="1">ROW(INDIRECT(A162))</f>
        <v>100</v>
      </c>
      <c r="I162" cm="1">
        <f t="array" aca="1" ref="I162" ca="1">COLUMN(INDIRECT(A162))</f>
        <v>16</v>
      </c>
      <c r="M162" t="str" cm="1">
        <f t="array" aca="1" ref="M162" ca="1">IF(AND(J162="O",ISBLANK(INDIRECT(A162))),"Valeur obligatoire non renseignée","")</f>
        <v/>
      </c>
    </row>
    <row r="163" spans="1:13" x14ac:dyDescent="0.25">
      <c r="A163" s="503" t="s">
        <v>3102</v>
      </c>
      <c r="B163" cm="1">
        <f t="array" aca="1" ref="B163" ca="1">INDIRECT(A163)</f>
        <v>0</v>
      </c>
      <c r="C163">
        <f t="shared" ca="1" si="8"/>
        <v>4</v>
      </c>
      <c r="D163" t="str" cm="1">
        <f t="array" aca="1" ref="D163" ca="1">CELL("nomfichier",INDIRECT(A163))</f>
        <v>G:\SCPE\sdc\bq\6 - Mentions valorisantes\Certification environnementale\TEXTES_REGLEMENTATION_CE\Plans_contrôle et grilles\Grille audit niveau 3\Grille d'audit v1.11\[grille-audit-hvev4-v1.11-vf.xlsx]Surfaces</v>
      </c>
      <c r="E163">
        <f t="shared" ca="1" si="9"/>
        <v>200</v>
      </c>
      <c r="F163">
        <f t="shared" ca="1" si="10"/>
        <v>208</v>
      </c>
      <c r="G163" t="str">
        <f t="shared" ca="1" si="11"/>
        <v>Surfaces</v>
      </c>
      <c r="H163" cm="1">
        <f t="array" aca="1" ref="H163" ca="1">ROW(INDIRECT(A163))</f>
        <v>100</v>
      </c>
      <c r="I163" cm="1">
        <f t="array" aca="1" ref="I163" ca="1">COLUMN(INDIRECT(A163))</f>
        <v>17</v>
      </c>
      <c r="M163" t="str" cm="1">
        <f t="array" aca="1" ref="M163" ca="1">IF(AND(J163="O",ISBLANK(INDIRECT(A163))),"Valeur obligatoire non renseignée","")</f>
        <v/>
      </c>
    </row>
    <row r="164" spans="1:13" x14ac:dyDescent="0.25">
      <c r="A164" s="503" t="s">
        <v>2971</v>
      </c>
      <c r="B164" cm="1">
        <f t="array" aca="1" ref="B164" ca="1">INDIRECT(A164)</f>
        <v>0</v>
      </c>
      <c r="C164">
        <f t="shared" ca="1" si="8"/>
        <v>4</v>
      </c>
      <c r="D164" t="str" cm="1">
        <f t="array" aca="1" ref="D164" ca="1">CELL("nomfichier",INDIRECT(A164))</f>
        <v>G:\SCPE\sdc\bq\6 - Mentions valorisantes\Certification environnementale\TEXTES_REGLEMENTATION_CE\Plans_contrôle et grilles\Grille audit niveau 3\Grille d'audit v1.11\[grille-audit-hvev4-v1.11-vf.xlsx]Surfaces</v>
      </c>
      <c r="E164">
        <f t="shared" ca="1" si="9"/>
        <v>200</v>
      </c>
      <c r="F164">
        <f t="shared" ca="1" si="10"/>
        <v>208</v>
      </c>
      <c r="G164" t="str">
        <f t="shared" ca="1" si="11"/>
        <v>Surfaces</v>
      </c>
      <c r="H164" cm="1">
        <f t="array" aca="1" ref="H164" ca="1">ROW(INDIRECT(A164))</f>
        <v>102</v>
      </c>
      <c r="I164" cm="1">
        <f t="array" aca="1" ref="I164" ca="1">COLUMN(INDIRECT(A164))</f>
        <v>15</v>
      </c>
      <c r="M164" t="str" cm="1">
        <f t="array" aca="1" ref="M164" ca="1">IF(AND(J164="O",ISBLANK(INDIRECT(A164))),"Valeur obligatoire non renseignée","")</f>
        <v/>
      </c>
    </row>
    <row r="165" spans="1:13" x14ac:dyDescent="0.25">
      <c r="A165" s="503" t="s">
        <v>3037</v>
      </c>
      <c r="B165" cm="1">
        <f t="array" aca="1" ref="B165" ca="1">INDIRECT(A165)</f>
        <v>0</v>
      </c>
      <c r="C165">
        <f t="shared" ca="1" si="8"/>
        <v>4</v>
      </c>
      <c r="D165" t="str" cm="1">
        <f t="array" aca="1" ref="D165" ca="1">CELL("nomfichier",INDIRECT(A165))</f>
        <v>G:\SCPE\sdc\bq\6 - Mentions valorisantes\Certification environnementale\TEXTES_REGLEMENTATION_CE\Plans_contrôle et grilles\Grille audit niveau 3\Grille d'audit v1.11\[grille-audit-hvev4-v1.11-vf.xlsx]Surfaces</v>
      </c>
      <c r="E165">
        <f t="shared" ca="1" si="9"/>
        <v>200</v>
      </c>
      <c r="F165">
        <f t="shared" ca="1" si="10"/>
        <v>208</v>
      </c>
      <c r="G165" t="str">
        <f t="shared" ca="1" si="11"/>
        <v>Surfaces</v>
      </c>
      <c r="H165" cm="1">
        <f t="array" aca="1" ref="H165" ca="1">ROW(INDIRECT(A165))</f>
        <v>102</v>
      </c>
      <c r="I165" cm="1">
        <f t="array" aca="1" ref="I165" ca="1">COLUMN(INDIRECT(A165))</f>
        <v>16</v>
      </c>
      <c r="M165" t="str" cm="1">
        <f t="array" aca="1" ref="M165" ca="1">IF(AND(J165="O",ISBLANK(INDIRECT(A165))),"Valeur obligatoire non renseignée","")</f>
        <v/>
      </c>
    </row>
    <row r="166" spans="1:13" x14ac:dyDescent="0.25">
      <c r="A166" s="503" t="s">
        <v>3103</v>
      </c>
      <c r="B166" cm="1">
        <f t="array" aca="1" ref="B166" ca="1">INDIRECT(A166)</f>
        <v>0</v>
      </c>
      <c r="C166">
        <f t="shared" ca="1" si="8"/>
        <v>4</v>
      </c>
      <c r="D166" t="str" cm="1">
        <f t="array" aca="1" ref="D166" ca="1">CELL("nomfichier",INDIRECT(A166))</f>
        <v>G:\SCPE\sdc\bq\6 - Mentions valorisantes\Certification environnementale\TEXTES_REGLEMENTATION_CE\Plans_contrôle et grilles\Grille audit niveau 3\Grille d'audit v1.11\[grille-audit-hvev4-v1.11-vf.xlsx]Surfaces</v>
      </c>
      <c r="E166">
        <f t="shared" ca="1" si="9"/>
        <v>200</v>
      </c>
      <c r="F166">
        <f t="shared" ca="1" si="10"/>
        <v>208</v>
      </c>
      <c r="G166" t="str">
        <f t="shared" ca="1" si="11"/>
        <v>Surfaces</v>
      </c>
      <c r="H166" cm="1">
        <f t="array" aca="1" ref="H166" ca="1">ROW(INDIRECT(A166))</f>
        <v>102</v>
      </c>
      <c r="I166" cm="1">
        <f t="array" aca="1" ref="I166" ca="1">COLUMN(INDIRECT(A166))</f>
        <v>17</v>
      </c>
      <c r="M166" t="str" cm="1">
        <f t="array" aca="1" ref="M166" ca="1">IF(AND(J166="O",ISBLANK(INDIRECT(A166))),"Valeur obligatoire non renseignée","")</f>
        <v/>
      </c>
    </row>
    <row r="167" spans="1:13" x14ac:dyDescent="0.25">
      <c r="A167" s="503" t="s">
        <v>2972</v>
      </c>
      <c r="B167" cm="1">
        <f t="array" aca="1" ref="B167" ca="1">INDIRECT(A167)</f>
        <v>0</v>
      </c>
      <c r="C167">
        <f t="shared" ca="1" si="8"/>
        <v>4</v>
      </c>
      <c r="D167" t="str" cm="1">
        <f t="array" aca="1" ref="D167" ca="1">CELL("nomfichier",INDIRECT(A167))</f>
        <v>G:\SCPE\sdc\bq\6 - Mentions valorisantes\Certification environnementale\TEXTES_REGLEMENTATION_CE\Plans_contrôle et grilles\Grille audit niveau 3\Grille d'audit v1.11\[grille-audit-hvev4-v1.11-vf.xlsx]Surfaces</v>
      </c>
      <c r="E167">
        <f t="shared" ca="1" si="9"/>
        <v>200</v>
      </c>
      <c r="F167">
        <f t="shared" ca="1" si="10"/>
        <v>208</v>
      </c>
      <c r="G167" t="str">
        <f t="shared" ca="1" si="11"/>
        <v>Surfaces</v>
      </c>
      <c r="H167" cm="1">
        <f t="array" aca="1" ref="H167" ca="1">ROW(INDIRECT(A167))</f>
        <v>103</v>
      </c>
      <c r="I167" cm="1">
        <f t="array" aca="1" ref="I167" ca="1">COLUMN(INDIRECT(A167))</f>
        <v>15</v>
      </c>
      <c r="M167" t="str" cm="1">
        <f t="array" aca="1" ref="M167" ca="1">IF(AND(J167="O",ISBLANK(INDIRECT(A167))),"Valeur obligatoire non renseignée","")</f>
        <v/>
      </c>
    </row>
    <row r="168" spans="1:13" x14ac:dyDescent="0.25">
      <c r="A168" s="503" t="s">
        <v>3038</v>
      </c>
      <c r="B168" cm="1">
        <f t="array" aca="1" ref="B168" ca="1">INDIRECT(A168)</f>
        <v>0</v>
      </c>
      <c r="C168">
        <f t="shared" ca="1" si="8"/>
        <v>4</v>
      </c>
      <c r="D168" t="str" cm="1">
        <f t="array" aca="1" ref="D168" ca="1">CELL("nomfichier",INDIRECT(A168))</f>
        <v>G:\SCPE\sdc\bq\6 - Mentions valorisantes\Certification environnementale\TEXTES_REGLEMENTATION_CE\Plans_contrôle et grilles\Grille audit niveau 3\Grille d'audit v1.11\[grille-audit-hvev4-v1.11-vf.xlsx]Surfaces</v>
      </c>
      <c r="E168">
        <f t="shared" ca="1" si="9"/>
        <v>200</v>
      </c>
      <c r="F168">
        <f t="shared" ca="1" si="10"/>
        <v>208</v>
      </c>
      <c r="G168" t="str">
        <f t="shared" ca="1" si="11"/>
        <v>Surfaces</v>
      </c>
      <c r="H168" cm="1">
        <f t="array" aca="1" ref="H168" ca="1">ROW(INDIRECT(A168))</f>
        <v>103</v>
      </c>
      <c r="I168" cm="1">
        <f t="array" aca="1" ref="I168" ca="1">COLUMN(INDIRECT(A168))</f>
        <v>16</v>
      </c>
      <c r="M168" t="str" cm="1">
        <f t="array" aca="1" ref="M168" ca="1">IF(AND(J168="O",ISBLANK(INDIRECT(A168))),"Valeur obligatoire non renseignée","")</f>
        <v/>
      </c>
    </row>
    <row r="169" spans="1:13" x14ac:dyDescent="0.25">
      <c r="A169" s="503" t="s">
        <v>3104</v>
      </c>
      <c r="B169" cm="1">
        <f t="array" aca="1" ref="B169" ca="1">INDIRECT(A169)</f>
        <v>0</v>
      </c>
      <c r="C169">
        <f t="shared" ca="1" si="8"/>
        <v>4</v>
      </c>
      <c r="D169" t="str" cm="1">
        <f t="array" aca="1" ref="D169" ca="1">CELL("nomfichier",INDIRECT(A169))</f>
        <v>G:\SCPE\sdc\bq\6 - Mentions valorisantes\Certification environnementale\TEXTES_REGLEMENTATION_CE\Plans_contrôle et grilles\Grille audit niveau 3\Grille d'audit v1.11\[grille-audit-hvev4-v1.11-vf.xlsx]Surfaces</v>
      </c>
      <c r="E169">
        <f t="shared" ca="1" si="9"/>
        <v>200</v>
      </c>
      <c r="F169">
        <f t="shared" ca="1" si="10"/>
        <v>208</v>
      </c>
      <c r="G169" t="str">
        <f t="shared" ca="1" si="11"/>
        <v>Surfaces</v>
      </c>
      <c r="H169" cm="1">
        <f t="array" aca="1" ref="H169" ca="1">ROW(INDIRECT(A169))</f>
        <v>103</v>
      </c>
      <c r="I169" cm="1">
        <f t="array" aca="1" ref="I169" ca="1">COLUMN(INDIRECT(A169))</f>
        <v>17</v>
      </c>
      <c r="M169" t="str" cm="1">
        <f t="array" aca="1" ref="M169" ca="1">IF(AND(J169="O",ISBLANK(INDIRECT(A169))),"Valeur obligatoire non renseignée","")</f>
        <v/>
      </c>
    </row>
    <row r="170" spans="1:13" x14ac:dyDescent="0.25">
      <c r="A170" s="503" t="s">
        <v>2973</v>
      </c>
      <c r="B170" cm="1">
        <f t="array" aca="1" ref="B170" ca="1">INDIRECT(A170)</f>
        <v>0</v>
      </c>
      <c r="C170">
        <f t="shared" ca="1" si="8"/>
        <v>4</v>
      </c>
      <c r="D170" t="str" cm="1">
        <f t="array" aca="1" ref="D170" ca="1">CELL("nomfichier",INDIRECT(A170))</f>
        <v>G:\SCPE\sdc\bq\6 - Mentions valorisantes\Certification environnementale\TEXTES_REGLEMENTATION_CE\Plans_contrôle et grilles\Grille audit niveau 3\Grille d'audit v1.11\[grille-audit-hvev4-v1.11-vf.xlsx]Surfaces</v>
      </c>
      <c r="E170">
        <f t="shared" ca="1" si="9"/>
        <v>200</v>
      </c>
      <c r="F170">
        <f t="shared" ca="1" si="10"/>
        <v>208</v>
      </c>
      <c r="G170" t="str">
        <f t="shared" ca="1" si="11"/>
        <v>Surfaces</v>
      </c>
      <c r="H170" cm="1">
        <f t="array" aca="1" ref="H170" ca="1">ROW(INDIRECT(A170))</f>
        <v>104</v>
      </c>
      <c r="I170" cm="1">
        <f t="array" aca="1" ref="I170" ca="1">COLUMN(INDIRECT(A170))</f>
        <v>15</v>
      </c>
      <c r="M170" t="str" cm="1">
        <f t="array" aca="1" ref="M170" ca="1">IF(AND(J170="O",ISBLANK(INDIRECT(A170))),"Valeur obligatoire non renseignée","")</f>
        <v/>
      </c>
    </row>
    <row r="171" spans="1:13" x14ac:dyDescent="0.25">
      <c r="A171" s="503" t="s">
        <v>3039</v>
      </c>
      <c r="B171" cm="1">
        <f t="array" aca="1" ref="B171" ca="1">INDIRECT(A171)</f>
        <v>0</v>
      </c>
      <c r="C171">
        <f t="shared" ca="1" si="8"/>
        <v>4</v>
      </c>
      <c r="D171" t="str" cm="1">
        <f t="array" aca="1" ref="D171" ca="1">CELL("nomfichier",INDIRECT(A171))</f>
        <v>G:\SCPE\sdc\bq\6 - Mentions valorisantes\Certification environnementale\TEXTES_REGLEMENTATION_CE\Plans_contrôle et grilles\Grille audit niveau 3\Grille d'audit v1.11\[grille-audit-hvev4-v1.11-vf.xlsx]Surfaces</v>
      </c>
      <c r="E171">
        <f t="shared" ca="1" si="9"/>
        <v>200</v>
      </c>
      <c r="F171">
        <f t="shared" ca="1" si="10"/>
        <v>208</v>
      </c>
      <c r="G171" t="str">
        <f t="shared" ca="1" si="11"/>
        <v>Surfaces</v>
      </c>
      <c r="H171" cm="1">
        <f t="array" aca="1" ref="H171" ca="1">ROW(INDIRECT(A171))</f>
        <v>104</v>
      </c>
      <c r="I171" cm="1">
        <f t="array" aca="1" ref="I171" ca="1">COLUMN(INDIRECT(A171))</f>
        <v>16</v>
      </c>
      <c r="M171" t="str" cm="1">
        <f t="array" aca="1" ref="M171" ca="1">IF(AND(J171="O",ISBLANK(INDIRECT(A171))),"Valeur obligatoire non renseignée","")</f>
        <v/>
      </c>
    </row>
    <row r="172" spans="1:13" x14ac:dyDescent="0.25">
      <c r="A172" s="503" t="s">
        <v>3105</v>
      </c>
      <c r="B172" cm="1">
        <f t="array" aca="1" ref="B172" ca="1">INDIRECT(A172)</f>
        <v>0</v>
      </c>
      <c r="C172">
        <f t="shared" ca="1" si="8"/>
        <v>4</v>
      </c>
      <c r="D172" t="str" cm="1">
        <f t="array" aca="1" ref="D172" ca="1">CELL("nomfichier",INDIRECT(A172))</f>
        <v>G:\SCPE\sdc\bq\6 - Mentions valorisantes\Certification environnementale\TEXTES_REGLEMENTATION_CE\Plans_contrôle et grilles\Grille audit niveau 3\Grille d'audit v1.11\[grille-audit-hvev4-v1.11-vf.xlsx]Surfaces</v>
      </c>
      <c r="E172">
        <f t="shared" ca="1" si="9"/>
        <v>200</v>
      </c>
      <c r="F172">
        <f t="shared" ca="1" si="10"/>
        <v>208</v>
      </c>
      <c r="G172" t="str">
        <f t="shared" ca="1" si="11"/>
        <v>Surfaces</v>
      </c>
      <c r="H172" cm="1">
        <f t="array" aca="1" ref="H172" ca="1">ROW(INDIRECT(A172))</f>
        <v>104</v>
      </c>
      <c r="I172" cm="1">
        <f t="array" aca="1" ref="I172" ca="1">COLUMN(INDIRECT(A172))</f>
        <v>17</v>
      </c>
      <c r="M172" t="str" cm="1">
        <f t="array" aca="1" ref="M172" ca="1">IF(AND(J172="O",ISBLANK(INDIRECT(A172))),"Valeur obligatoire non renseignée","")</f>
        <v/>
      </c>
    </row>
    <row r="173" spans="1:13" x14ac:dyDescent="0.25">
      <c r="A173" s="503" t="s">
        <v>2974</v>
      </c>
      <c r="B173" cm="1">
        <f t="array" aca="1" ref="B173" ca="1">INDIRECT(A173)</f>
        <v>0</v>
      </c>
      <c r="C173">
        <f t="shared" ca="1" si="8"/>
        <v>4</v>
      </c>
      <c r="D173" t="str" cm="1">
        <f t="array" aca="1" ref="D173" ca="1">CELL("nomfichier",INDIRECT(A173))</f>
        <v>G:\SCPE\sdc\bq\6 - Mentions valorisantes\Certification environnementale\TEXTES_REGLEMENTATION_CE\Plans_contrôle et grilles\Grille audit niveau 3\Grille d'audit v1.11\[grille-audit-hvev4-v1.11-vf.xlsx]Surfaces</v>
      </c>
      <c r="E173">
        <f t="shared" ca="1" si="9"/>
        <v>200</v>
      </c>
      <c r="F173">
        <f t="shared" ca="1" si="10"/>
        <v>208</v>
      </c>
      <c r="G173" t="str">
        <f t="shared" ca="1" si="11"/>
        <v>Surfaces</v>
      </c>
      <c r="H173" cm="1">
        <f t="array" aca="1" ref="H173" ca="1">ROW(INDIRECT(A173))</f>
        <v>108</v>
      </c>
      <c r="I173" cm="1">
        <f t="array" aca="1" ref="I173" ca="1">COLUMN(INDIRECT(A173))</f>
        <v>15</v>
      </c>
      <c r="M173" t="str" cm="1">
        <f t="array" aca="1" ref="M173" ca="1">IF(AND(J173="O",ISBLANK(INDIRECT(A173))),"Valeur obligatoire non renseignée","")</f>
        <v/>
      </c>
    </row>
    <row r="174" spans="1:13" x14ac:dyDescent="0.25">
      <c r="A174" s="503" t="s">
        <v>3040</v>
      </c>
      <c r="B174" cm="1">
        <f t="array" aca="1" ref="B174" ca="1">INDIRECT(A174)</f>
        <v>0</v>
      </c>
      <c r="C174">
        <f t="shared" ca="1" si="8"/>
        <v>4</v>
      </c>
      <c r="D174" t="str" cm="1">
        <f t="array" aca="1" ref="D174" ca="1">CELL("nomfichier",INDIRECT(A174))</f>
        <v>G:\SCPE\sdc\bq\6 - Mentions valorisantes\Certification environnementale\TEXTES_REGLEMENTATION_CE\Plans_contrôle et grilles\Grille audit niveau 3\Grille d'audit v1.11\[grille-audit-hvev4-v1.11-vf.xlsx]Surfaces</v>
      </c>
      <c r="E174">
        <f t="shared" ca="1" si="9"/>
        <v>200</v>
      </c>
      <c r="F174">
        <f t="shared" ca="1" si="10"/>
        <v>208</v>
      </c>
      <c r="G174" t="str">
        <f t="shared" ca="1" si="11"/>
        <v>Surfaces</v>
      </c>
      <c r="H174" cm="1">
        <f t="array" aca="1" ref="H174" ca="1">ROW(INDIRECT(A174))</f>
        <v>108</v>
      </c>
      <c r="I174" cm="1">
        <f t="array" aca="1" ref="I174" ca="1">COLUMN(INDIRECT(A174))</f>
        <v>16</v>
      </c>
      <c r="M174" t="str" cm="1">
        <f t="array" aca="1" ref="M174" ca="1">IF(AND(J174="O",ISBLANK(INDIRECT(A174))),"Valeur obligatoire non renseignée","")</f>
        <v/>
      </c>
    </row>
    <row r="175" spans="1:13" x14ac:dyDescent="0.25">
      <c r="A175" s="503" t="s">
        <v>3106</v>
      </c>
      <c r="B175" cm="1">
        <f t="array" aca="1" ref="B175" ca="1">INDIRECT(A175)</f>
        <v>0</v>
      </c>
      <c r="C175">
        <f t="shared" ca="1" si="8"/>
        <v>4</v>
      </c>
      <c r="D175" t="str" cm="1">
        <f t="array" aca="1" ref="D175" ca="1">CELL("nomfichier",INDIRECT(A175))</f>
        <v>G:\SCPE\sdc\bq\6 - Mentions valorisantes\Certification environnementale\TEXTES_REGLEMENTATION_CE\Plans_contrôle et grilles\Grille audit niveau 3\Grille d'audit v1.11\[grille-audit-hvev4-v1.11-vf.xlsx]Surfaces</v>
      </c>
      <c r="E175">
        <f t="shared" ca="1" si="9"/>
        <v>200</v>
      </c>
      <c r="F175">
        <f t="shared" ca="1" si="10"/>
        <v>208</v>
      </c>
      <c r="G175" t="str">
        <f t="shared" ca="1" si="11"/>
        <v>Surfaces</v>
      </c>
      <c r="H175" cm="1">
        <f t="array" aca="1" ref="H175" ca="1">ROW(INDIRECT(A175))</f>
        <v>108</v>
      </c>
      <c r="I175" cm="1">
        <f t="array" aca="1" ref="I175" ca="1">COLUMN(INDIRECT(A175))</f>
        <v>17</v>
      </c>
      <c r="M175" t="str" cm="1">
        <f t="array" aca="1" ref="M175" ca="1">IF(AND(J175="O",ISBLANK(INDIRECT(A175))),"Valeur obligatoire non renseignée","")</f>
        <v/>
      </c>
    </row>
    <row r="176" spans="1:13" x14ac:dyDescent="0.25">
      <c r="A176" s="503" t="s">
        <v>2975</v>
      </c>
      <c r="B176" cm="1">
        <f t="array" aca="1" ref="B176" ca="1">INDIRECT(A176)</f>
        <v>0</v>
      </c>
      <c r="C176">
        <f t="shared" ca="1" si="8"/>
        <v>4</v>
      </c>
      <c r="D176" t="str" cm="1">
        <f t="array" aca="1" ref="D176" ca="1">CELL("nomfichier",INDIRECT(A176))</f>
        <v>G:\SCPE\sdc\bq\6 - Mentions valorisantes\Certification environnementale\TEXTES_REGLEMENTATION_CE\Plans_contrôle et grilles\Grille audit niveau 3\Grille d'audit v1.11\[grille-audit-hvev4-v1.11-vf.xlsx]Surfaces</v>
      </c>
      <c r="E176">
        <f t="shared" ca="1" si="9"/>
        <v>200</v>
      </c>
      <c r="F176">
        <f t="shared" ca="1" si="10"/>
        <v>208</v>
      </c>
      <c r="G176" t="str">
        <f t="shared" ca="1" si="11"/>
        <v>Surfaces</v>
      </c>
      <c r="H176" cm="1">
        <f t="array" aca="1" ref="H176" ca="1">ROW(INDIRECT(A176))</f>
        <v>109</v>
      </c>
      <c r="I176" cm="1">
        <f t="array" aca="1" ref="I176" ca="1">COLUMN(INDIRECT(A176))</f>
        <v>15</v>
      </c>
      <c r="M176" t="str" cm="1">
        <f t="array" aca="1" ref="M176" ca="1">IF(AND(J176="O",ISBLANK(INDIRECT(A176))),"Valeur obligatoire non renseignée","")</f>
        <v/>
      </c>
    </row>
    <row r="177" spans="1:13" x14ac:dyDescent="0.25">
      <c r="A177" s="503" t="s">
        <v>3041</v>
      </c>
      <c r="B177" cm="1">
        <f t="array" aca="1" ref="B177" ca="1">INDIRECT(A177)</f>
        <v>0</v>
      </c>
      <c r="C177">
        <f t="shared" ca="1" si="8"/>
        <v>4</v>
      </c>
      <c r="D177" t="str" cm="1">
        <f t="array" aca="1" ref="D177" ca="1">CELL("nomfichier",INDIRECT(A177))</f>
        <v>G:\SCPE\sdc\bq\6 - Mentions valorisantes\Certification environnementale\TEXTES_REGLEMENTATION_CE\Plans_contrôle et grilles\Grille audit niveau 3\Grille d'audit v1.11\[grille-audit-hvev4-v1.11-vf.xlsx]Surfaces</v>
      </c>
      <c r="E177">
        <f t="shared" ca="1" si="9"/>
        <v>200</v>
      </c>
      <c r="F177">
        <f t="shared" ca="1" si="10"/>
        <v>208</v>
      </c>
      <c r="G177" t="str">
        <f t="shared" ca="1" si="11"/>
        <v>Surfaces</v>
      </c>
      <c r="H177" cm="1">
        <f t="array" aca="1" ref="H177" ca="1">ROW(INDIRECT(A177))</f>
        <v>109</v>
      </c>
      <c r="I177" cm="1">
        <f t="array" aca="1" ref="I177" ca="1">COLUMN(INDIRECT(A177))</f>
        <v>16</v>
      </c>
      <c r="M177" t="str" cm="1">
        <f t="array" aca="1" ref="M177" ca="1">IF(AND(J177="O",ISBLANK(INDIRECT(A177))),"Valeur obligatoire non renseignée","")</f>
        <v/>
      </c>
    </row>
    <row r="178" spans="1:13" x14ac:dyDescent="0.25">
      <c r="A178" s="503" t="s">
        <v>3107</v>
      </c>
      <c r="B178" cm="1">
        <f t="array" aca="1" ref="B178" ca="1">INDIRECT(A178)</f>
        <v>0</v>
      </c>
      <c r="C178">
        <f t="shared" ca="1" si="8"/>
        <v>4</v>
      </c>
      <c r="D178" t="str" cm="1">
        <f t="array" aca="1" ref="D178" ca="1">CELL("nomfichier",INDIRECT(A178))</f>
        <v>G:\SCPE\sdc\bq\6 - Mentions valorisantes\Certification environnementale\TEXTES_REGLEMENTATION_CE\Plans_contrôle et grilles\Grille audit niveau 3\Grille d'audit v1.11\[grille-audit-hvev4-v1.11-vf.xlsx]Surfaces</v>
      </c>
      <c r="E178">
        <f t="shared" ca="1" si="9"/>
        <v>200</v>
      </c>
      <c r="F178">
        <f t="shared" ca="1" si="10"/>
        <v>208</v>
      </c>
      <c r="G178" t="str">
        <f t="shared" ca="1" si="11"/>
        <v>Surfaces</v>
      </c>
      <c r="H178" cm="1">
        <f t="array" aca="1" ref="H178" ca="1">ROW(INDIRECT(A178))</f>
        <v>109</v>
      </c>
      <c r="I178" cm="1">
        <f t="array" aca="1" ref="I178" ca="1">COLUMN(INDIRECT(A178))</f>
        <v>17</v>
      </c>
      <c r="M178" t="str" cm="1">
        <f t="array" aca="1" ref="M178" ca="1">IF(AND(J178="O",ISBLANK(INDIRECT(A178))),"Valeur obligatoire non renseignée","")</f>
        <v/>
      </c>
    </row>
    <row r="179" spans="1:13" x14ac:dyDescent="0.25">
      <c r="A179" s="503" t="s">
        <v>2976</v>
      </c>
      <c r="B179" cm="1">
        <f t="array" aca="1" ref="B179" ca="1">INDIRECT(A179)</f>
        <v>0</v>
      </c>
      <c r="C179">
        <f t="shared" ca="1" si="8"/>
        <v>4</v>
      </c>
      <c r="D179" t="str" cm="1">
        <f t="array" aca="1" ref="D179" ca="1">CELL("nomfichier",INDIRECT(A179))</f>
        <v>G:\SCPE\sdc\bq\6 - Mentions valorisantes\Certification environnementale\TEXTES_REGLEMENTATION_CE\Plans_contrôle et grilles\Grille audit niveau 3\Grille d'audit v1.11\[grille-audit-hvev4-v1.11-vf.xlsx]Surfaces</v>
      </c>
      <c r="E179">
        <f t="shared" ca="1" si="9"/>
        <v>200</v>
      </c>
      <c r="F179">
        <f t="shared" ca="1" si="10"/>
        <v>208</v>
      </c>
      <c r="G179" t="str">
        <f t="shared" ca="1" si="11"/>
        <v>Surfaces</v>
      </c>
      <c r="H179" cm="1">
        <f t="array" aca="1" ref="H179" ca="1">ROW(INDIRECT(A179))</f>
        <v>110</v>
      </c>
      <c r="I179" cm="1">
        <f t="array" aca="1" ref="I179" ca="1">COLUMN(INDIRECT(A179))</f>
        <v>15</v>
      </c>
      <c r="M179" t="str" cm="1">
        <f t="array" aca="1" ref="M179" ca="1">IF(AND(J179="O",ISBLANK(INDIRECT(A179))),"Valeur obligatoire non renseignée","")</f>
        <v/>
      </c>
    </row>
    <row r="180" spans="1:13" x14ac:dyDescent="0.25">
      <c r="A180" s="503" t="s">
        <v>3042</v>
      </c>
      <c r="B180" cm="1">
        <f t="array" aca="1" ref="B180" ca="1">INDIRECT(A180)</f>
        <v>0</v>
      </c>
      <c r="C180">
        <f t="shared" ca="1" si="8"/>
        <v>4</v>
      </c>
      <c r="D180" t="str" cm="1">
        <f t="array" aca="1" ref="D180" ca="1">CELL("nomfichier",INDIRECT(A180))</f>
        <v>G:\SCPE\sdc\bq\6 - Mentions valorisantes\Certification environnementale\TEXTES_REGLEMENTATION_CE\Plans_contrôle et grilles\Grille audit niveau 3\Grille d'audit v1.11\[grille-audit-hvev4-v1.11-vf.xlsx]Surfaces</v>
      </c>
      <c r="E180">
        <f t="shared" ca="1" si="9"/>
        <v>200</v>
      </c>
      <c r="F180">
        <f t="shared" ca="1" si="10"/>
        <v>208</v>
      </c>
      <c r="G180" t="str">
        <f t="shared" ca="1" si="11"/>
        <v>Surfaces</v>
      </c>
      <c r="H180" cm="1">
        <f t="array" aca="1" ref="H180" ca="1">ROW(INDIRECT(A180))</f>
        <v>110</v>
      </c>
      <c r="I180" cm="1">
        <f t="array" aca="1" ref="I180" ca="1">COLUMN(INDIRECT(A180))</f>
        <v>16</v>
      </c>
      <c r="M180" t="str" cm="1">
        <f t="array" aca="1" ref="M180" ca="1">IF(AND(J180="O",ISBLANK(INDIRECT(A180))),"Valeur obligatoire non renseignée","")</f>
        <v/>
      </c>
    </row>
    <row r="181" spans="1:13" x14ac:dyDescent="0.25">
      <c r="A181" s="503" t="s">
        <v>3108</v>
      </c>
      <c r="B181" cm="1">
        <f t="array" aca="1" ref="B181" ca="1">INDIRECT(A181)</f>
        <v>0</v>
      </c>
      <c r="C181">
        <f t="shared" ca="1" si="8"/>
        <v>4</v>
      </c>
      <c r="D181" t="str" cm="1">
        <f t="array" aca="1" ref="D181" ca="1">CELL("nomfichier",INDIRECT(A181))</f>
        <v>G:\SCPE\sdc\bq\6 - Mentions valorisantes\Certification environnementale\TEXTES_REGLEMENTATION_CE\Plans_contrôle et grilles\Grille audit niveau 3\Grille d'audit v1.11\[grille-audit-hvev4-v1.11-vf.xlsx]Surfaces</v>
      </c>
      <c r="E181">
        <f t="shared" ca="1" si="9"/>
        <v>200</v>
      </c>
      <c r="F181">
        <f t="shared" ca="1" si="10"/>
        <v>208</v>
      </c>
      <c r="G181" t="str">
        <f t="shared" ca="1" si="11"/>
        <v>Surfaces</v>
      </c>
      <c r="H181" cm="1">
        <f t="array" aca="1" ref="H181" ca="1">ROW(INDIRECT(A181))</f>
        <v>110</v>
      </c>
      <c r="I181" cm="1">
        <f t="array" aca="1" ref="I181" ca="1">COLUMN(INDIRECT(A181))</f>
        <v>17</v>
      </c>
      <c r="M181" t="str" cm="1">
        <f t="array" aca="1" ref="M181" ca="1">IF(AND(J181="O",ISBLANK(INDIRECT(A181))),"Valeur obligatoire non renseignée","")</f>
        <v/>
      </c>
    </row>
    <row r="182" spans="1:13" x14ac:dyDescent="0.25">
      <c r="A182" s="503" t="s">
        <v>2977</v>
      </c>
      <c r="B182" cm="1">
        <f t="array" aca="1" ref="B182" ca="1">INDIRECT(A182)</f>
        <v>0</v>
      </c>
      <c r="C182">
        <f t="shared" ca="1" si="8"/>
        <v>4</v>
      </c>
      <c r="D182" t="str" cm="1">
        <f t="array" aca="1" ref="D182" ca="1">CELL("nomfichier",INDIRECT(A182))</f>
        <v>G:\SCPE\sdc\bq\6 - Mentions valorisantes\Certification environnementale\TEXTES_REGLEMENTATION_CE\Plans_contrôle et grilles\Grille audit niveau 3\Grille d'audit v1.11\[grille-audit-hvev4-v1.11-vf.xlsx]Surfaces</v>
      </c>
      <c r="E182">
        <f t="shared" ca="1" si="9"/>
        <v>200</v>
      </c>
      <c r="F182">
        <f t="shared" ca="1" si="10"/>
        <v>208</v>
      </c>
      <c r="G182" t="str">
        <f t="shared" ca="1" si="11"/>
        <v>Surfaces</v>
      </c>
      <c r="H182" cm="1">
        <f t="array" aca="1" ref="H182" ca="1">ROW(INDIRECT(A182))</f>
        <v>114</v>
      </c>
      <c r="I182" cm="1">
        <f t="array" aca="1" ref="I182" ca="1">COLUMN(INDIRECT(A182))</f>
        <v>15</v>
      </c>
      <c r="M182" t="str" cm="1">
        <f t="array" aca="1" ref="M182" ca="1">IF(AND(J182="O",ISBLANK(INDIRECT(A182))),"Valeur obligatoire non renseignée","")</f>
        <v/>
      </c>
    </row>
    <row r="183" spans="1:13" x14ac:dyDescent="0.25">
      <c r="A183" s="503" t="s">
        <v>3043</v>
      </c>
      <c r="B183" cm="1">
        <f t="array" aca="1" ref="B183" ca="1">INDIRECT(A183)</f>
        <v>0</v>
      </c>
      <c r="C183">
        <f t="shared" ca="1" si="8"/>
        <v>4</v>
      </c>
      <c r="D183" t="str" cm="1">
        <f t="array" aca="1" ref="D183" ca="1">CELL("nomfichier",INDIRECT(A183))</f>
        <v>G:\SCPE\sdc\bq\6 - Mentions valorisantes\Certification environnementale\TEXTES_REGLEMENTATION_CE\Plans_contrôle et grilles\Grille audit niveau 3\Grille d'audit v1.11\[grille-audit-hvev4-v1.11-vf.xlsx]Surfaces</v>
      </c>
      <c r="E183">
        <f t="shared" ca="1" si="9"/>
        <v>200</v>
      </c>
      <c r="F183">
        <f t="shared" ca="1" si="10"/>
        <v>208</v>
      </c>
      <c r="G183" t="str">
        <f t="shared" ca="1" si="11"/>
        <v>Surfaces</v>
      </c>
      <c r="H183" cm="1">
        <f t="array" aca="1" ref="H183" ca="1">ROW(INDIRECT(A183))</f>
        <v>114</v>
      </c>
      <c r="I183" cm="1">
        <f t="array" aca="1" ref="I183" ca="1">COLUMN(INDIRECT(A183))</f>
        <v>16</v>
      </c>
      <c r="M183" t="str" cm="1">
        <f t="array" aca="1" ref="M183" ca="1">IF(AND(J183="O",ISBLANK(INDIRECT(A183))),"Valeur obligatoire non renseignée","")</f>
        <v/>
      </c>
    </row>
    <row r="184" spans="1:13" x14ac:dyDescent="0.25">
      <c r="A184" s="503" t="s">
        <v>3109</v>
      </c>
      <c r="B184" cm="1">
        <f t="array" aca="1" ref="B184" ca="1">INDIRECT(A184)</f>
        <v>0</v>
      </c>
      <c r="C184">
        <f t="shared" ca="1" si="8"/>
        <v>4</v>
      </c>
      <c r="D184" t="str" cm="1">
        <f t="array" aca="1" ref="D184" ca="1">CELL("nomfichier",INDIRECT(A184))</f>
        <v>G:\SCPE\sdc\bq\6 - Mentions valorisantes\Certification environnementale\TEXTES_REGLEMENTATION_CE\Plans_contrôle et grilles\Grille audit niveau 3\Grille d'audit v1.11\[grille-audit-hvev4-v1.11-vf.xlsx]Surfaces</v>
      </c>
      <c r="E184">
        <f t="shared" ca="1" si="9"/>
        <v>200</v>
      </c>
      <c r="F184">
        <f t="shared" ca="1" si="10"/>
        <v>208</v>
      </c>
      <c r="G184" t="str">
        <f t="shared" ca="1" si="11"/>
        <v>Surfaces</v>
      </c>
      <c r="H184" cm="1">
        <f t="array" aca="1" ref="H184" ca="1">ROW(INDIRECT(A184))</f>
        <v>114</v>
      </c>
      <c r="I184" cm="1">
        <f t="array" aca="1" ref="I184" ca="1">COLUMN(INDIRECT(A184))</f>
        <v>17</v>
      </c>
      <c r="M184" t="str" cm="1">
        <f t="array" aca="1" ref="M184" ca="1">IF(AND(J184="O",ISBLANK(INDIRECT(A184))),"Valeur obligatoire non renseignée","")</f>
        <v/>
      </c>
    </row>
    <row r="185" spans="1:13" x14ac:dyDescent="0.25">
      <c r="A185" s="503" t="s">
        <v>2978</v>
      </c>
      <c r="B185" cm="1">
        <f t="array" aca="1" ref="B185" ca="1">INDIRECT(A185)</f>
        <v>0</v>
      </c>
      <c r="C185">
        <f t="shared" ca="1" si="8"/>
        <v>4</v>
      </c>
      <c r="D185" t="str" cm="1">
        <f t="array" aca="1" ref="D185" ca="1">CELL("nomfichier",INDIRECT(A185))</f>
        <v>G:\SCPE\sdc\bq\6 - Mentions valorisantes\Certification environnementale\TEXTES_REGLEMENTATION_CE\Plans_contrôle et grilles\Grille audit niveau 3\Grille d'audit v1.11\[grille-audit-hvev4-v1.11-vf.xlsx]Surfaces</v>
      </c>
      <c r="E185">
        <f t="shared" ca="1" si="9"/>
        <v>200</v>
      </c>
      <c r="F185">
        <f t="shared" ca="1" si="10"/>
        <v>208</v>
      </c>
      <c r="G185" t="str">
        <f t="shared" ca="1" si="11"/>
        <v>Surfaces</v>
      </c>
      <c r="H185" cm="1">
        <f t="array" aca="1" ref="H185" ca="1">ROW(INDIRECT(A185))</f>
        <v>115</v>
      </c>
      <c r="I185" cm="1">
        <f t="array" aca="1" ref="I185" ca="1">COLUMN(INDIRECT(A185))</f>
        <v>15</v>
      </c>
      <c r="M185" t="str" cm="1">
        <f t="array" aca="1" ref="M185" ca="1">IF(AND(J185="O",ISBLANK(INDIRECT(A185))),"Valeur obligatoire non renseignée","")</f>
        <v/>
      </c>
    </row>
    <row r="186" spans="1:13" x14ac:dyDescent="0.25">
      <c r="A186" s="503" t="s">
        <v>3044</v>
      </c>
      <c r="B186" cm="1">
        <f t="array" aca="1" ref="B186" ca="1">INDIRECT(A186)</f>
        <v>0</v>
      </c>
      <c r="C186">
        <f t="shared" ca="1" si="8"/>
        <v>4</v>
      </c>
      <c r="D186" t="str" cm="1">
        <f t="array" aca="1" ref="D186" ca="1">CELL("nomfichier",INDIRECT(A186))</f>
        <v>G:\SCPE\sdc\bq\6 - Mentions valorisantes\Certification environnementale\TEXTES_REGLEMENTATION_CE\Plans_contrôle et grilles\Grille audit niveau 3\Grille d'audit v1.11\[grille-audit-hvev4-v1.11-vf.xlsx]Surfaces</v>
      </c>
      <c r="E186">
        <f t="shared" ca="1" si="9"/>
        <v>200</v>
      </c>
      <c r="F186">
        <f t="shared" ca="1" si="10"/>
        <v>208</v>
      </c>
      <c r="G186" t="str">
        <f t="shared" ca="1" si="11"/>
        <v>Surfaces</v>
      </c>
      <c r="H186" cm="1">
        <f t="array" aca="1" ref="H186" ca="1">ROW(INDIRECT(A186))</f>
        <v>115</v>
      </c>
      <c r="I186" cm="1">
        <f t="array" aca="1" ref="I186" ca="1">COLUMN(INDIRECT(A186))</f>
        <v>16</v>
      </c>
      <c r="M186" t="str" cm="1">
        <f t="array" aca="1" ref="M186" ca="1">IF(AND(J186="O",ISBLANK(INDIRECT(A186))),"Valeur obligatoire non renseignée","")</f>
        <v/>
      </c>
    </row>
    <row r="187" spans="1:13" x14ac:dyDescent="0.25">
      <c r="A187" s="503" t="s">
        <v>3110</v>
      </c>
      <c r="B187" cm="1">
        <f t="array" aca="1" ref="B187" ca="1">INDIRECT(A187)</f>
        <v>0</v>
      </c>
      <c r="C187">
        <f t="shared" ca="1" si="8"/>
        <v>4</v>
      </c>
      <c r="D187" t="str" cm="1">
        <f t="array" aca="1" ref="D187" ca="1">CELL("nomfichier",INDIRECT(A187))</f>
        <v>G:\SCPE\sdc\bq\6 - Mentions valorisantes\Certification environnementale\TEXTES_REGLEMENTATION_CE\Plans_contrôle et grilles\Grille audit niveau 3\Grille d'audit v1.11\[grille-audit-hvev4-v1.11-vf.xlsx]Surfaces</v>
      </c>
      <c r="E187">
        <f t="shared" ca="1" si="9"/>
        <v>200</v>
      </c>
      <c r="F187">
        <f t="shared" ca="1" si="10"/>
        <v>208</v>
      </c>
      <c r="G187" t="str">
        <f t="shared" ca="1" si="11"/>
        <v>Surfaces</v>
      </c>
      <c r="H187" cm="1">
        <f t="array" aca="1" ref="H187" ca="1">ROW(INDIRECT(A187))</f>
        <v>115</v>
      </c>
      <c r="I187" cm="1">
        <f t="array" aca="1" ref="I187" ca="1">COLUMN(INDIRECT(A187))</f>
        <v>17</v>
      </c>
      <c r="M187" t="str" cm="1">
        <f t="array" aca="1" ref="M187" ca="1">IF(AND(J187="O",ISBLANK(INDIRECT(A187))),"Valeur obligatoire non renseignée","")</f>
        <v/>
      </c>
    </row>
    <row r="188" spans="1:13" x14ac:dyDescent="0.25">
      <c r="A188" s="503" t="s">
        <v>2979</v>
      </c>
      <c r="B188" cm="1">
        <f t="array" aca="1" ref="B188" ca="1">INDIRECT(A188)</f>
        <v>0</v>
      </c>
      <c r="C188">
        <f t="shared" ca="1" si="8"/>
        <v>4</v>
      </c>
      <c r="D188" t="str" cm="1">
        <f t="array" aca="1" ref="D188" ca="1">CELL("nomfichier",INDIRECT(A188))</f>
        <v>G:\SCPE\sdc\bq\6 - Mentions valorisantes\Certification environnementale\TEXTES_REGLEMENTATION_CE\Plans_contrôle et grilles\Grille audit niveau 3\Grille d'audit v1.11\[grille-audit-hvev4-v1.11-vf.xlsx]Surfaces</v>
      </c>
      <c r="E188">
        <f t="shared" ca="1" si="9"/>
        <v>200</v>
      </c>
      <c r="F188">
        <f t="shared" ca="1" si="10"/>
        <v>208</v>
      </c>
      <c r="G188" t="str">
        <f t="shared" ca="1" si="11"/>
        <v>Surfaces</v>
      </c>
      <c r="H188" cm="1">
        <f t="array" aca="1" ref="H188" ca="1">ROW(INDIRECT(A188))</f>
        <v>116</v>
      </c>
      <c r="I188" cm="1">
        <f t="array" aca="1" ref="I188" ca="1">COLUMN(INDIRECT(A188))</f>
        <v>15</v>
      </c>
      <c r="M188" t="str" cm="1">
        <f t="array" aca="1" ref="M188" ca="1">IF(AND(J188="O",ISBLANK(INDIRECT(A188))),"Valeur obligatoire non renseignée","")</f>
        <v/>
      </c>
    </row>
    <row r="189" spans="1:13" x14ac:dyDescent="0.25">
      <c r="A189" s="503" t="s">
        <v>3045</v>
      </c>
      <c r="B189" cm="1">
        <f t="array" aca="1" ref="B189" ca="1">INDIRECT(A189)</f>
        <v>0</v>
      </c>
      <c r="C189">
        <f t="shared" ca="1" si="8"/>
        <v>4</v>
      </c>
      <c r="D189" t="str" cm="1">
        <f t="array" aca="1" ref="D189" ca="1">CELL("nomfichier",INDIRECT(A189))</f>
        <v>G:\SCPE\sdc\bq\6 - Mentions valorisantes\Certification environnementale\TEXTES_REGLEMENTATION_CE\Plans_contrôle et grilles\Grille audit niveau 3\Grille d'audit v1.11\[grille-audit-hvev4-v1.11-vf.xlsx]Surfaces</v>
      </c>
      <c r="E189">
        <f t="shared" ca="1" si="9"/>
        <v>200</v>
      </c>
      <c r="F189">
        <f t="shared" ca="1" si="10"/>
        <v>208</v>
      </c>
      <c r="G189" t="str">
        <f t="shared" ca="1" si="11"/>
        <v>Surfaces</v>
      </c>
      <c r="H189" cm="1">
        <f t="array" aca="1" ref="H189" ca="1">ROW(INDIRECT(A189))</f>
        <v>116</v>
      </c>
      <c r="I189" cm="1">
        <f t="array" aca="1" ref="I189" ca="1">COLUMN(INDIRECT(A189))</f>
        <v>16</v>
      </c>
      <c r="M189" t="str" cm="1">
        <f t="array" aca="1" ref="M189" ca="1">IF(AND(J189="O",ISBLANK(INDIRECT(A189))),"Valeur obligatoire non renseignée","")</f>
        <v/>
      </c>
    </row>
    <row r="190" spans="1:13" x14ac:dyDescent="0.25">
      <c r="A190" s="503" t="s">
        <v>3111</v>
      </c>
      <c r="B190" cm="1">
        <f t="array" aca="1" ref="B190" ca="1">INDIRECT(A190)</f>
        <v>0</v>
      </c>
      <c r="C190">
        <f t="shared" ca="1" si="8"/>
        <v>4</v>
      </c>
      <c r="D190" t="str" cm="1">
        <f t="array" aca="1" ref="D190" ca="1">CELL("nomfichier",INDIRECT(A190))</f>
        <v>G:\SCPE\sdc\bq\6 - Mentions valorisantes\Certification environnementale\TEXTES_REGLEMENTATION_CE\Plans_contrôle et grilles\Grille audit niveau 3\Grille d'audit v1.11\[grille-audit-hvev4-v1.11-vf.xlsx]Surfaces</v>
      </c>
      <c r="E190">
        <f t="shared" ca="1" si="9"/>
        <v>200</v>
      </c>
      <c r="F190">
        <f t="shared" ca="1" si="10"/>
        <v>208</v>
      </c>
      <c r="G190" t="str">
        <f t="shared" ca="1" si="11"/>
        <v>Surfaces</v>
      </c>
      <c r="H190" cm="1">
        <f t="array" aca="1" ref="H190" ca="1">ROW(INDIRECT(A190))</f>
        <v>116</v>
      </c>
      <c r="I190" cm="1">
        <f t="array" aca="1" ref="I190" ca="1">COLUMN(INDIRECT(A190))</f>
        <v>17</v>
      </c>
      <c r="M190" t="str" cm="1">
        <f t="array" aca="1" ref="M190" ca="1">IF(AND(J190="O",ISBLANK(INDIRECT(A190))),"Valeur obligatoire non renseignée","")</f>
        <v/>
      </c>
    </row>
    <row r="191" spans="1:13" x14ac:dyDescent="0.25">
      <c r="A191" s="503" t="s">
        <v>2980</v>
      </c>
      <c r="B191" cm="1">
        <f t="array" aca="1" ref="B191" ca="1">INDIRECT(A191)</f>
        <v>0</v>
      </c>
      <c r="C191">
        <f t="shared" ca="1" si="8"/>
        <v>4</v>
      </c>
      <c r="D191" t="str" cm="1">
        <f t="array" aca="1" ref="D191" ca="1">CELL("nomfichier",INDIRECT(A191))</f>
        <v>G:\SCPE\sdc\bq\6 - Mentions valorisantes\Certification environnementale\TEXTES_REGLEMENTATION_CE\Plans_contrôle et grilles\Grille audit niveau 3\Grille d'audit v1.11\[grille-audit-hvev4-v1.11-vf.xlsx]Surfaces</v>
      </c>
      <c r="E191">
        <f t="shared" ca="1" si="9"/>
        <v>200</v>
      </c>
      <c r="F191">
        <f t="shared" ca="1" si="10"/>
        <v>208</v>
      </c>
      <c r="G191" t="str">
        <f t="shared" ca="1" si="11"/>
        <v>Surfaces</v>
      </c>
      <c r="H191" cm="1">
        <f t="array" aca="1" ref="H191" ca="1">ROW(INDIRECT(A191))</f>
        <v>117</v>
      </c>
      <c r="I191" cm="1">
        <f t="array" aca="1" ref="I191" ca="1">COLUMN(INDIRECT(A191))</f>
        <v>15</v>
      </c>
      <c r="M191" t="str" cm="1">
        <f t="array" aca="1" ref="M191" ca="1">IF(AND(J191="O",ISBLANK(INDIRECT(A191))),"Valeur obligatoire non renseignée","")</f>
        <v/>
      </c>
    </row>
    <row r="192" spans="1:13" x14ac:dyDescent="0.25">
      <c r="A192" s="503" t="s">
        <v>3046</v>
      </c>
      <c r="B192" cm="1">
        <f t="array" aca="1" ref="B192" ca="1">INDIRECT(A192)</f>
        <v>0</v>
      </c>
      <c r="C192">
        <f t="shared" ca="1" si="8"/>
        <v>4</v>
      </c>
      <c r="D192" t="str" cm="1">
        <f t="array" aca="1" ref="D192" ca="1">CELL("nomfichier",INDIRECT(A192))</f>
        <v>G:\SCPE\sdc\bq\6 - Mentions valorisantes\Certification environnementale\TEXTES_REGLEMENTATION_CE\Plans_contrôle et grilles\Grille audit niveau 3\Grille d'audit v1.11\[grille-audit-hvev4-v1.11-vf.xlsx]Surfaces</v>
      </c>
      <c r="E192">
        <f t="shared" ca="1" si="9"/>
        <v>200</v>
      </c>
      <c r="F192">
        <f t="shared" ca="1" si="10"/>
        <v>208</v>
      </c>
      <c r="G192" t="str">
        <f t="shared" ca="1" si="11"/>
        <v>Surfaces</v>
      </c>
      <c r="H192" cm="1">
        <f t="array" aca="1" ref="H192" ca="1">ROW(INDIRECT(A192))</f>
        <v>117</v>
      </c>
      <c r="I192" cm="1">
        <f t="array" aca="1" ref="I192" ca="1">COLUMN(INDIRECT(A192))</f>
        <v>16</v>
      </c>
      <c r="M192" t="str" cm="1">
        <f t="array" aca="1" ref="M192" ca="1">IF(AND(J192="O",ISBLANK(INDIRECT(A192))),"Valeur obligatoire non renseignée","")</f>
        <v/>
      </c>
    </row>
    <row r="193" spans="1:13" x14ac:dyDescent="0.25">
      <c r="A193" s="503" t="s">
        <v>3112</v>
      </c>
      <c r="B193" cm="1">
        <f t="array" aca="1" ref="B193" ca="1">INDIRECT(A193)</f>
        <v>0</v>
      </c>
      <c r="C193">
        <f t="shared" ca="1" si="8"/>
        <v>4</v>
      </c>
      <c r="D193" t="str" cm="1">
        <f t="array" aca="1" ref="D193" ca="1">CELL("nomfichier",INDIRECT(A193))</f>
        <v>G:\SCPE\sdc\bq\6 - Mentions valorisantes\Certification environnementale\TEXTES_REGLEMENTATION_CE\Plans_contrôle et grilles\Grille audit niveau 3\Grille d'audit v1.11\[grille-audit-hvev4-v1.11-vf.xlsx]Surfaces</v>
      </c>
      <c r="E193">
        <f t="shared" ca="1" si="9"/>
        <v>200</v>
      </c>
      <c r="F193">
        <f t="shared" ca="1" si="10"/>
        <v>208</v>
      </c>
      <c r="G193" t="str">
        <f t="shared" ca="1" si="11"/>
        <v>Surfaces</v>
      </c>
      <c r="H193" cm="1">
        <f t="array" aca="1" ref="H193" ca="1">ROW(INDIRECT(A193))</f>
        <v>117</v>
      </c>
      <c r="I193" cm="1">
        <f t="array" aca="1" ref="I193" ca="1">COLUMN(INDIRECT(A193))</f>
        <v>17</v>
      </c>
      <c r="M193" t="str" cm="1">
        <f t="array" aca="1" ref="M193" ca="1">IF(AND(J193="O",ISBLANK(INDIRECT(A193))),"Valeur obligatoire non renseignée","")</f>
        <v/>
      </c>
    </row>
    <row r="194" spans="1:13" x14ac:dyDescent="0.25">
      <c r="A194" s="503" t="s">
        <v>2981</v>
      </c>
      <c r="B194" cm="1">
        <f t="array" aca="1" ref="B194" ca="1">INDIRECT(A194)</f>
        <v>0</v>
      </c>
      <c r="C194">
        <f t="shared" ref="C194:C257" ca="1" si="12">_xlfn.SHEET(INDIRECT(A194))</f>
        <v>4</v>
      </c>
      <c r="D194" t="str" cm="1">
        <f t="array" aca="1" ref="D194" ca="1">CELL("nomfichier",INDIRECT(A194))</f>
        <v>G:\SCPE\sdc\bq\6 - Mentions valorisantes\Certification environnementale\TEXTES_REGLEMENTATION_CE\Plans_contrôle et grilles\Grille audit niveau 3\Grille d'audit v1.11\[grille-audit-hvev4-v1.11-vf.xlsx]Surfaces</v>
      </c>
      <c r="E194">
        <f t="shared" ref="E194:E257" ca="1" si="13">FIND("]",D194)</f>
        <v>200</v>
      </c>
      <c r="F194">
        <f t="shared" ref="F194:F257" ca="1" si="14">LEN(D194)</f>
        <v>208</v>
      </c>
      <c r="G194" t="str">
        <f t="shared" ref="G194:G257" ca="1" si="15">RIGHT(D194,F194-E194)</f>
        <v>Surfaces</v>
      </c>
      <c r="H194" cm="1">
        <f t="array" aca="1" ref="H194" ca="1">ROW(INDIRECT(A194))</f>
        <v>118</v>
      </c>
      <c r="I194" cm="1">
        <f t="array" aca="1" ref="I194" ca="1">COLUMN(INDIRECT(A194))</f>
        <v>15</v>
      </c>
      <c r="M194" t="str" cm="1">
        <f t="array" aca="1" ref="M194" ca="1">IF(AND(J194="O",ISBLANK(INDIRECT(A194))),"Valeur obligatoire non renseignée","")</f>
        <v/>
      </c>
    </row>
    <row r="195" spans="1:13" x14ac:dyDescent="0.25">
      <c r="A195" s="503" t="s">
        <v>3047</v>
      </c>
      <c r="B195" cm="1">
        <f t="array" aca="1" ref="B195" ca="1">INDIRECT(A195)</f>
        <v>0</v>
      </c>
      <c r="C195">
        <f t="shared" ca="1" si="12"/>
        <v>4</v>
      </c>
      <c r="D195" t="str" cm="1">
        <f t="array" aca="1" ref="D195" ca="1">CELL("nomfichier",INDIRECT(A195))</f>
        <v>G:\SCPE\sdc\bq\6 - Mentions valorisantes\Certification environnementale\TEXTES_REGLEMENTATION_CE\Plans_contrôle et grilles\Grille audit niveau 3\Grille d'audit v1.11\[grille-audit-hvev4-v1.11-vf.xlsx]Surfaces</v>
      </c>
      <c r="E195">
        <f t="shared" ca="1" si="13"/>
        <v>200</v>
      </c>
      <c r="F195">
        <f t="shared" ca="1" si="14"/>
        <v>208</v>
      </c>
      <c r="G195" t="str">
        <f t="shared" ca="1" si="15"/>
        <v>Surfaces</v>
      </c>
      <c r="H195" cm="1">
        <f t="array" aca="1" ref="H195" ca="1">ROW(INDIRECT(A195))</f>
        <v>118</v>
      </c>
      <c r="I195" cm="1">
        <f t="array" aca="1" ref="I195" ca="1">COLUMN(INDIRECT(A195))</f>
        <v>16</v>
      </c>
      <c r="M195" t="str" cm="1">
        <f t="array" aca="1" ref="M195" ca="1">IF(AND(J195="O",ISBLANK(INDIRECT(A195))),"Valeur obligatoire non renseignée","")</f>
        <v/>
      </c>
    </row>
    <row r="196" spans="1:13" x14ac:dyDescent="0.25">
      <c r="A196" s="503" t="s">
        <v>3113</v>
      </c>
      <c r="B196" cm="1">
        <f t="array" aca="1" ref="B196" ca="1">INDIRECT(A196)</f>
        <v>0</v>
      </c>
      <c r="C196">
        <f t="shared" ca="1" si="12"/>
        <v>4</v>
      </c>
      <c r="D196" t="str" cm="1">
        <f t="array" aca="1" ref="D196" ca="1">CELL("nomfichier",INDIRECT(A196))</f>
        <v>G:\SCPE\sdc\bq\6 - Mentions valorisantes\Certification environnementale\TEXTES_REGLEMENTATION_CE\Plans_contrôle et grilles\Grille audit niveau 3\Grille d'audit v1.11\[grille-audit-hvev4-v1.11-vf.xlsx]Surfaces</v>
      </c>
      <c r="E196">
        <f t="shared" ca="1" si="13"/>
        <v>200</v>
      </c>
      <c r="F196">
        <f t="shared" ca="1" si="14"/>
        <v>208</v>
      </c>
      <c r="G196" t="str">
        <f t="shared" ca="1" si="15"/>
        <v>Surfaces</v>
      </c>
      <c r="H196" cm="1">
        <f t="array" aca="1" ref="H196" ca="1">ROW(INDIRECT(A196))</f>
        <v>118</v>
      </c>
      <c r="I196" cm="1">
        <f t="array" aca="1" ref="I196" ca="1">COLUMN(INDIRECT(A196))</f>
        <v>17</v>
      </c>
      <c r="M196" t="str" cm="1">
        <f t="array" aca="1" ref="M196" ca="1">IF(AND(J196="O",ISBLANK(INDIRECT(A196))),"Valeur obligatoire non renseignée","")</f>
        <v/>
      </c>
    </row>
    <row r="197" spans="1:13" x14ac:dyDescent="0.25">
      <c r="A197" s="503" t="s">
        <v>2982</v>
      </c>
      <c r="B197" cm="1">
        <f t="array" aca="1" ref="B197" ca="1">INDIRECT(A197)</f>
        <v>0</v>
      </c>
      <c r="C197">
        <f t="shared" ca="1" si="12"/>
        <v>4</v>
      </c>
      <c r="D197" t="str" cm="1">
        <f t="array" aca="1" ref="D197" ca="1">CELL("nomfichier",INDIRECT(A197))</f>
        <v>G:\SCPE\sdc\bq\6 - Mentions valorisantes\Certification environnementale\TEXTES_REGLEMENTATION_CE\Plans_contrôle et grilles\Grille audit niveau 3\Grille d'audit v1.11\[grille-audit-hvev4-v1.11-vf.xlsx]Surfaces</v>
      </c>
      <c r="E197">
        <f t="shared" ca="1" si="13"/>
        <v>200</v>
      </c>
      <c r="F197">
        <f t="shared" ca="1" si="14"/>
        <v>208</v>
      </c>
      <c r="G197" t="str">
        <f t="shared" ca="1" si="15"/>
        <v>Surfaces</v>
      </c>
      <c r="H197" cm="1">
        <f t="array" aca="1" ref="H197" ca="1">ROW(INDIRECT(A197))</f>
        <v>119</v>
      </c>
      <c r="I197" cm="1">
        <f t="array" aca="1" ref="I197" ca="1">COLUMN(INDIRECT(A197))</f>
        <v>15</v>
      </c>
      <c r="M197" t="str" cm="1">
        <f t="array" aca="1" ref="M197" ca="1">IF(AND(J197="O",ISBLANK(INDIRECT(A197))),"Valeur obligatoire non renseignée","")</f>
        <v/>
      </c>
    </row>
    <row r="198" spans="1:13" x14ac:dyDescent="0.25">
      <c r="A198" s="503" t="s">
        <v>3048</v>
      </c>
      <c r="B198" cm="1">
        <f t="array" aca="1" ref="B198" ca="1">INDIRECT(A198)</f>
        <v>0</v>
      </c>
      <c r="C198">
        <f t="shared" ca="1" si="12"/>
        <v>4</v>
      </c>
      <c r="D198" t="str" cm="1">
        <f t="array" aca="1" ref="D198" ca="1">CELL("nomfichier",INDIRECT(A198))</f>
        <v>G:\SCPE\sdc\bq\6 - Mentions valorisantes\Certification environnementale\TEXTES_REGLEMENTATION_CE\Plans_contrôle et grilles\Grille audit niveau 3\Grille d'audit v1.11\[grille-audit-hvev4-v1.11-vf.xlsx]Surfaces</v>
      </c>
      <c r="E198">
        <f t="shared" ca="1" si="13"/>
        <v>200</v>
      </c>
      <c r="F198">
        <f t="shared" ca="1" si="14"/>
        <v>208</v>
      </c>
      <c r="G198" t="str">
        <f t="shared" ca="1" si="15"/>
        <v>Surfaces</v>
      </c>
      <c r="H198" cm="1">
        <f t="array" aca="1" ref="H198" ca="1">ROW(INDIRECT(A198))</f>
        <v>119</v>
      </c>
      <c r="I198" cm="1">
        <f t="array" aca="1" ref="I198" ca="1">COLUMN(INDIRECT(A198))</f>
        <v>16</v>
      </c>
      <c r="M198" t="str" cm="1">
        <f t="array" aca="1" ref="M198" ca="1">IF(AND(J198="O",ISBLANK(INDIRECT(A198))),"Valeur obligatoire non renseignée","")</f>
        <v/>
      </c>
    </row>
    <row r="199" spans="1:13" x14ac:dyDescent="0.25">
      <c r="A199" s="503" t="s">
        <v>3114</v>
      </c>
      <c r="B199" cm="1">
        <f t="array" aca="1" ref="B199" ca="1">INDIRECT(A199)</f>
        <v>0</v>
      </c>
      <c r="C199">
        <f t="shared" ca="1" si="12"/>
        <v>4</v>
      </c>
      <c r="D199" t="str" cm="1">
        <f t="array" aca="1" ref="D199" ca="1">CELL("nomfichier",INDIRECT(A199))</f>
        <v>G:\SCPE\sdc\bq\6 - Mentions valorisantes\Certification environnementale\TEXTES_REGLEMENTATION_CE\Plans_contrôle et grilles\Grille audit niveau 3\Grille d'audit v1.11\[grille-audit-hvev4-v1.11-vf.xlsx]Surfaces</v>
      </c>
      <c r="E199">
        <f t="shared" ca="1" si="13"/>
        <v>200</v>
      </c>
      <c r="F199">
        <f t="shared" ca="1" si="14"/>
        <v>208</v>
      </c>
      <c r="G199" t="str">
        <f t="shared" ca="1" si="15"/>
        <v>Surfaces</v>
      </c>
      <c r="H199" cm="1">
        <f t="array" aca="1" ref="H199" ca="1">ROW(INDIRECT(A199))</f>
        <v>119</v>
      </c>
      <c r="I199" cm="1">
        <f t="array" aca="1" ref="I199" ca="1">COLUMN(INDIRECT(A199))</f>
        <v>17</v>
      </c>
      <c r="M199" t="str" cm="1">
        <f t="array" aca="1" ref="M199" ca="1">IF(AND(J199="O",ISBLANK(INDIRECT(A199))),"Valeur obligatoire non renseignée","")</f>
        <v/>
      </c>
    </row>
    <row r="200" spans="1:13" x14ac:dyDescent="0.25">
      <c r="A200" s="503" t="s">
        <v>2983</v>
      </c>
      <c r="B200" cm="1">
        <f t="array" aca="1" ref="B200" ca="1">INDIRECT(A200)</f>
        <v>0</v>
      </c>
      <c r="C200">
        <f t="shared" ca="1" si="12"/>
        <v>4</v>
      </c>
      <c r="D200" t="str" cm="1">
        <f t="array" aca="1" ref="D200" ca="1">CELL("nomfichier",INDIRECT(A200))</f>
        <v>G:\SCPE\sdc\bq\6 - Mentions valorisantes\Certification environnementale\TEXTES_REGLEMENTATION_CE\Plans_contrôle et grilles\Grille audit niveau 3\Grille d'audit v1.11\[grille-audit-hvev4-v1.11-vf.xlsx]Surfaces</v>
      </c>
      <c r="E200">
        <f t="shared" ca="1" si="13"/>
        <v>200</v>
      </c>
      <c r="F200">
        <f t="shared" ca="1" si="14"/>
        <v>208</v>
      </c>
      <c r="G200" t="str">
        <f t="shared" ca="1" si="15"/>
        <v>Surfaces</v>
      </c>
      <c r="H200" cm="1">
        <f t="array" aca="1" ref="H200" ca="1">ROW(INDIRECT(A200))</f>
        <v>120</v>
      </c>
      <c r="I200" cm="1">
        <f t="array" aca="1" ref="I200" ca="1">COLUMN(INDIRECT(A200))</f>
        <v>15</v>
      </c>
      <c r="M200" t="str" cm="1">
        <f t="array" aca="1" ref="M200" ca="1">IF(AND(J200="O",ISBLANK(INDIRECT(A200))),"Valeur obligatoire non renseignée","")</f>
        <v/>
      </c>
    </row>
    <row r="201" spans="1:13" x14ac:dyDescent="0.25">
      <c r="A201" s="503" t="s">
        <v>3049</v>
      </c>
      <c r="B201" cm="1">
        <f t="array" aca="1" ref="B201" ca="1">INDIRECT(A201)</f>
        <v>0</v>
      </c>
      <c r="C201">
        <f t="shared" ca="1" si="12"/>
        <v>4</v>
      </c>
      <c r="D201" t="str" cm="1">
        <f t="array" aca="1" ref="D201" ca="1">CELL("nomfichier",INDIRECT(A201))</f>
        <v>G:\SCPE\sdc\bq\6 - Mentions valorisantes\Certification environnementale\TEXTES_REGLEMENTATION_CE\Plans_contrôle et grilles\Grille audit niveau 3\Grille d'audit v1.11\[grille-audit-hvev4-v1.11-vf.xlsx]Surfaces</v>
      </c>
      <c r="E201">
        <f t="shared" ca="1" si="13"/>
        <v>200</v>
      </c>
      <c r="F201">
        <f t="shared" ca="1" si="14"/>
        <v>208</v>
      </c>
      <c r="G201" t="str">
        <f t="shared" ca="1" si="15"/>
        <v>Surfaces</v>
      </c>
      <c r="H201" cm="1">
        <f t="array" aca="1" ref="H201" ca="1">ROW(INDIRECT(A201))</f>
        <v>120</v>
      </c>
      <c r="I201" cm="1">
        <f t="array" aca="1" ref="I201" ca="1">COLUMN(INDIRECT(A201))</f>
        <v>16</v>
      </c>
      <c r="M201" t="str" cm="1">
        <f t="array" aca="1" ref="M201" ca="1">IF(AND(J201="O",ISBLANK(INDIRECT(A201))),"Valeur obligatoire non renseignée","")</f>
        <v/>
      </c>
    </row>
    <row r="202" spans="1:13" x14ac:dyDescent="0.25">
      <c r="A202" s="503" t="s">
        <v>3115</v>
      </c>
      <c r="B202" cm="1">
        <f t="array" aca="1" ref="B202" ca="1">INDIRECT(A202)</f>
        <v>0</v>
      </c>
      <c r="C202">
        <f t="shared" ca="1" si="12"/>
        <v>4</v>
      </c>
      <c r="D202" t="str" cm="1">
        <f t="array" aca="1" ref="D202" ca="1">CELL("nomfichier",INDIRECT(A202))</f>
        <v>G:\SCPE\sdc\bq\6 - Mentions valorisantes\Certification environnementale\TEXTES_REGLEMENTATION_CE\Plans_contrôle et grilles\Grille audit niveau 3\Grille d'audit v1.11\[grille-audit-hvev4-v1.11-vf.xlsx]Surfaces</v>
      </c>
      <c r="E202">
        <f t="shared" ca="1" si="13"/>
        <v>200</v>
      </c>
      <c r="F202">
        <f t="shared" ca="1" si="14"/>
        <v>208</v>
      </c>
      <c r="G202" t="str">
        <f t="shared" ca="1" si="15"/>
        <v>Surfaces</v>
      </c>
      <c r="H202" cm="1">
        <f t="array" aca="1" ref="H202" ca="1">ROW(INDIRECT(A202))</f>
        <v>120</v>
      </c>
      <c r="I202" cm="1">
        <f t="array" aca="1" ref="I202" ca="1">COLUMN(INDIRECT(A202))</f>
        <v>17</v>
      </c>
      <c r="M202" t="str" cm="1">
        <f t="array" aca="1" ref="M202" ca="1">IF(AND(J202="O",ISBLANK(INDIRECT(A202))),"Valeur obligatoire non renseignée","")</f>
        <v/>
      </c>
    </row>
    <row r="203" spans="1:13" x14ac:dyDescent="0.25">
      <c r="A203" s="503" t="s">
        <v>2984</v>
      </c>
      <c r="B203" cm="1">
        <f t="array" aca="1" ref="B203" ca="1">INDIRECT(A203)</f>
        <v>0</v>
      </c>
      <c r="C203">
        <f t="shared" ca="1" si="12"/>
        <v>4</v>
      </c>
      <c r="D203" t="str" cm="1">
        <f t="array" aca="1" ref="D203" ca="1">CELL("nomfichier",INDIRECT(A203))</f>
        <v>G:\SCPE\sdc\bq\6 - Mentions valorisantes\Certification environnementale\TEXTES_REGLEMENTATION_CE\Plans_contrôle et grilles\Grille audit niveau 3\Grille d'audit v1.11\[grille-audit-hvev4-v1.11-vf.xlsx]Surfaces</v>
      </c>
      <c r="E203">
        <f t="shared" ca="1" si="13"/>
        <v>200</v>
      </c>
      <c r="F203">
        <f t="shared" ca="1" si="14"/>
        <v>208</v>
      </c>
      <c r="G203" t="str">
        <f t="shared" ca="1" si="15"/>
        <v>Surfaces</v>
      </c>
      <c r="H203" cm="1">
        <f t="array" aca="1" ref="H203" ca="1">ROW(INDIRECT(A203))</f>
        <v>121</v>
      </c>
      <c r="I203" cm="1">
        <f t="array" aca="1" ref="I203" ca="1">COLUMN(INDIRECT(A203))</f>
        <v>15</v>
      </c>
      <c r="M203" t="str" cm="1">
        <f t="array" aca="1" ref="M203" ca="1">IF(AND(J203="O",ISBLANK(INDIRECT(A203))),"Valeur obligatoire non renseignée","")</f>
        <v/>
      </c>
    </row>
    <row r="204" spans="1:13" x14ac:dyDescent="0.25">
      <c r="A204" s="503" t="s">
        <v>3050</v>
      </c>
      <c r="B204" cm="1">
        <f t="array" aca="1" ref="B204" ca="1">INDIRECT(A204)</f>
        <v>0</v>
      </c>
      <c r="C204">
        <f t="shared" ca="1" si="12"/>
        <v>4</v>
      </c>
      <c r="D204" t="str" cm="1">
        <f t="array" aca="1" ref="D204" ca="1">CELL("nomfichier",INDIRECT(A204))</f>
        <v>G:\SCPE\sdc\bq\6 - Mentions valorisantes\Certification environnementale\TEXTES_REGLEMENTATION_CE\Plans_contrôle et grilles\Grille audit niveau 3\Grille d'audit v1.11\[grille-audit-hvev4-v1.11-vf.xlsx]Surfaces</v>
      </c>
      <c r="E204">
        <f t="shared" ca="1" si="13"/>
        <v>200</v>
      </c>
      <c r="F204">
        <f t="shared" ca="1" si="14"/>
        <v>208</v>
      </c>
      <c r="G204" t="str">
        <f t="shared" ca="1" si="15"/>
        <v>Surfaces</v>
      </c>
      <c r="H204" cm="1">
        <f t="array" aca="1" ref="H204" ca="1">ROW(INDIRECT(A204))</f>
        <v>121</v>
      </c>
      <c r="I204" cm="1">
        <f t="array" aca="1" ref="I204" ca="1">COLUMN(INDIRECT(A204))</f>
        <v>16</v>
      </c>
      <c r="M204" t="str" cm="1">
        <f t="array" aca="1" ref="M204" ca="1">IF(AND(J204="O",ISBLANK(INDIRECT(A204))),"Valeur obligatoire non renseignée","")</f>
        <v/>
      </c>
    </row>
    <row r="205" spans="1:13" x14ac:dyDescent="0.25">
      <c r="A205" s="503" t="s">
        <v>3116</v>
      </c>
      <c r="B205" cm="1">
        <f t="array" aca="1" ref="B205" ca="1">INDIRECT(A205)</f>
        <v>0</v>
      </c>
      <c r="C205">
        <f t="shared" ca="1" si="12"/>
        <v>4</v>
      </c>
      <c r="D205" t="str" cm="1">
        <f t="array" aca="1" ref="D205" ca="1">CELL("nomfichier",INDIRECT(A205))</f>
        <v>G:\SCPE\sdc\bq\6 - Mentions valorisantes\Certification environnementale\TEXTES_REGLEMENTATION_CE\Plans_contrôle et grilles\Grille audit niveau 3\Grille d'audit v1.11\[grille-audit-hvev4-v1.11-vf.xlsx]Surfaces</v>
      </c>
      <c r="E205">
        <f t="shared" ca="1" si="13"/>
        <v>200</v>
      </c>
      <c r="F205">
        <f t="shared" ca="1" si="14"/>
        <v>208</v>
      </c>
      <c r="G205" t="str">
        <f t="shared" ca="1" si="15"/>
        <v>Surfaces</v>
      </c>
      <c r="H205" cm="1">
        <f t="array" aca="1" ref="H205" ca="1">ROW(INDIRECT(A205))</f>
        <v>121</v>
      </c>
      <c r="I205" cm="1">
        <f t="array" aca="1" ref="I205" ca="1">COLUMN(INDIRECT(A205))</f>
        <v>17</v>
      </c>
      <c r="M205" t="str" cm="1">
        <f t="array" aca="1" ref="M205" ca="1">IF(AND(J205="O",ISBLANK(INDIRECT(A205))),"Valeur obligatoire non renseignée","")</f>
        <v/>
      </c>
    </row>
    <row r="206" spans="1:13" x14ac:dyDescent="0.25">
      <c r="A206" s="503" t="s">
        <v>2985</v>
      </c>
      <c r="B206" cm="1">
        <f t="array" aca="1" ref="B206" ca="1">INDIRECT(A206)</f>
        <v>0</v>
      </c>
      <c r="C206">
        <f t="shared" ca="1" si="12"/>
        <v>4</v>
      </c>
      <c r="D206" t="str" cm="1">
        <f t="array" aca="1" ref="D206" ca="1">CELL("nomfichier",INDIRECT(A206))</f>
        <v>G:\SCPE\sdc\bq\6 - Mentions valorisantes\Certification environnementale\TEXTES_REGLEMENTATION_CE\Plans_contrôle et grilles\Grille audit niveau 3\Grille d'audit v1.11\[grille-audit-hvev4-v1.11-vf.xlsx]Surfaces</v>
      </c>
      <c r="E206">
        <f t="shared" ca="1" si="13"/>
        <v>200</v>
      </c>
      <c r="F206">
        <f t="shared" ca="1" si="14"/>
        <v>208</v>
      </c>
      <c r="G206" t="str">
        <f t="shared" ca="1" si="15"/>
        <v>Surfaces</v>
      </c>
      <c r="H206" cm="1">
        <f t="array" aca="1" ref="H206" ca="1">ROW(INDIRECT(A206))</f>
        <v>127</v>
      </c>
      <c r="I206" cm="1">
        <f t="array" aca="1" ref="I206" ca="1">COLUMN(INDIRECT(A206))</f>
        <v>15</v>
      </c>
      <c r="M206" t="str" cm="1">
        <f t="array" aca="1" ref="M206" ca="1">IF(AND(J206="O",ISBLANK(INDIRECT(A206))),"Valeur obligatoire non renseignée","")</f>
        <v/>
      </c>
    </row>
    <row r="207" spans="1:13" x14ac:dyDescent="0.25">
      <c r="A207" s="503" t="s">
        <v>3051</v>
      </c>
      <c r="B207" cm="1">
        <f t="array" aca="1" ref="B207" ca="1">INDIRECT(A207)</f>
        <v>0</v>
      </c>
      <c r="C207">
        <f t="shared" ca="1" si="12"/>
        <v>4</v>
      </c>
      <c r="D207" t="str" cm="1">
        <f t="array" aca="1" ref="D207" ca="1">CELL("nomfichier",INDIRECT(A207))</f>
        <v>G:\SCPE\sdc\bq\6 - Mentions valorisantes\Certification environnementale\TEXTES_REGLEMENTATION_CE\Plans_contrôle et grilles\Grille audit niveau 3\Grille d'audit v1.11\[grille-audit-hvev4-v1.11-vf.xlsx]Surfaces</v>
      </c>
      <c r="E207">
        <f t="shared" ca="1" si="13"/>
        <v>200</v>
      </c>
      <c r="F207">
        <f t="shared" ca="1" si="14"/>
        <v>208</v>
      </c>
      <c r="G207" t="str">
        <f t="shared" ca="1" si="15"/>
        <v>Surfaces</v>
      </c>
      <c r="H207" cm="1">
        <f t="array" aca="1" ref="H207" ca="1">ROW(INDIRECT(A207))</f>
        <v>127</v>
      </c>
      <c r="I207" cm="1">
        <f t="array" aca="1" ref="I207" ca="1">COLUMN(INDIRECT(A207))</f>
        <v>16</v>
      </c>
      <c r="M207" t="str" cm="1">
        <f t="array" aca="1" ref="M207" ca="1">IF(AND(J207="O",ISBLANK(INDIRECT(A207))),"Valeur obligatoire non renseignée","")</f>
        <v/>
      </c>
    </row>
    <row r="208" spans="1:13" x14ac:dyDescent="0.25">
      <c r="A208" s="503" t="s">
        <v>3117</v>
      </c>
      <c r="B208" cm="1">
        <f t="array" aca="1" ref="B208" ca="1">INDIRECT(A208)</f>
        <v>0</v>
      </c>
      <c r="C208">
        <f t="shared" ca="1" si="12"/>
        <v>4</v>
      </c>
      <c r="D208" t="str" cm="1">
        <f t="array" aca="1" ref="D208" ca="1">CELL("nomfichier",INDIRECT(A208))</f>
        <v>G:\SCPE\sdc\bq\6 - Mentions valorisantes\Certification environnementale\TEXTES_REGLEMENTATION_CE\Plans_contrôle et grilles\Grille audit niveau 3\Grille d'audit v1.11\[grille-audit-hvev4-v1.11-vf.xlsx]Surfaces</v>
      </c>
      <c r="E208">
        <f t="shared" ca="1" si="13"/>
        <v>200</v>
      </c>
      <c r="F208">
        <f t="shared" ca="1" si="14"/>
        <v>208</v>
      </c>
      <c r="G208" t="str">
        <f t="shared" ca="1" si="15"/>
        <v>Surfaces</v>
      </c>
      <c r="H208" cm="1">
        <f t="array" aca="1" ref="H208" ca="1">ROW(INDIRECT(A208))</f>
        <v>127</v>
      </c>
      <c r="I208" cm="1">
        <f t="array" aca="1" ref="I208" ca="1">COLUMN(INDIRECT(A208))</f>
        <v>17</v>
      </c>
      <c r="M208" t="str" cm="1">
        <f t="array" aca="1" ref="M208" ca="1">IF(AND(J208="O",ISBLANK(INDIRECT(A208))),"Valeur obligatoire non renseignée","")</f>
        <v/>
      </c>
    </row>
    <row r="209" spans="1:13" x14ac:dyDescent="0.25">
      <c r="A209" s="503" t="s">
        <v>2986</v>
      </c>
      <c r="B209" cm="1">
        <f t="array" aca="1" ref="B209" ca="1">INDIRECT(A209)</f>
        <v>0</v>
      </c>
      <c r="C209">
        <f t="shared" ca="1" si="12"/>
        <v>4</v>
      </c>
      <c r="D209" t="str" cm="1">
        <f t="array" aca="1" ref="D209" ca="1">CELL("nomfichier",INDIRECT(A209))</f>
        <v>G:\SCPE\sdc\bq\6 - Mentions valorisantes\Certification environnementale\TEXTES_REGLEMENTATION_CE\Plans_contrôle et grilles\Grille audit niveau 3\Grille d'audit v1.11\[grille-audit-hvev4-v1.11-vf.xlsx]Surfaces</v>
      </c>
      <c r="E209">
        <f t="shared" ca="1" si="13"/>
        <v>200</v>
      </c>
      <c r="F209">
        <f t="shared" ca="1" si="14"/>
        <v>208</v>
      </c>
      <c r="G209" t="str">
        <f t="shared" ca="1" si="15"/>
        <v>Surfaces</v>
      </c>
      <c r="H209" cm="1">
        <f t="array" aca="1" ref="H209" ca="1">ROW(INDIRECT(A209))</f>
        <v>128</v>
      </c>
      <c r="I209" cm="1">
        <f t="array" aca="1" ref="I209" ca="1">COLUMN(INDIRECT(A209))</f>
        <v>15</v>
      </c>
      <c r="M209" t="str" cm="1">
        <f t="array" aca="1" ref="M209" ca="1">IF(AND(J209="O",ISBLANK(INDIRECT(A209))),"Valeur obligatoire non renseignée","")</f>
        <v/>
      </c>
    </row>
    <row r="210" spans="1:13" x14ac:dyDescent="0.25">
      <c r="A210" s="503" t="s">
        <v>3052</v>
      </c>
      <c r="B210" cm="1">
        <f t="array" aca="1" ref="B210" ca="1">INDIRECT(A210)</f>
        <v>0</v>
      </c>
      <c r="C210">
        <f t="shared" ca="1" si="12"/>
        <v>4</v>
      </c>
      <c r="D210" t="str" cm="1">
        <f t="array" aca="1" ref="D210" ca="1">CELL("nomfichier",INDIRECT(A210))</f>
        <v>G:\SCPE\sdc\bq\6 - Mentions valorisantes\Certification environnementale\TEXTES_REGLEMENTATION_CE\Plans_contrôle et grilles\Grille audit niveau 3\Grille d'audit v1.11\[grille-audit-hvev4-v1.11-vf.xlsx]Surfaces</v>
      </c>
      <c r="E210">
        <f t="shared" ca="1" si="13"/>
        <v>200</v>
      </c>
      <c r="F210">
        <f t="shared" ca="1" si="14"/>
        <v>208</v>
      </c>
      <c r="G210" t="str">
        <f t="shared" ca="1" si="15"/>
        <v>Surfaces</v>
      </c>
      <c r="H210" cm="1">
        <f t="array" aca="1" ref="H210" ca="1">ROW(INDIRECT(A210))</f>
        <v>128</v>
      </c>
      <c r="I210" cm="1">
        <f t="array" aca="1" ref="I210" ca="1">COLUMN(INDIRECT(A210))</f>
        <v>16</v>
      </c>
      <c r="M210" t="str" cm="1">
        <f t="array" aca="1" ref="M210" ca="1">IF(AND(J210="O",ISBLANK(INDIRECT(A210))),"Valeur obligatoire non renseignée","")</f>
        <v/>
      </c>
    </row>
    <row r="211" spans="1:13" x14ac:dyDescent="0.25">
      <c r="A211" s="503" t="s">
        <v>3118</v>
      </c>
      <c r="B211" cm="1">
        <f t="array" aca="1" ref="B211" ca="1">INDIRECT(A211)</f>
        <v>0</v>
      </c>
      <c r="C211">
        <f t="shared" ca="1" si="12"/>
        <v>4</v>
      </c>
      <c r="D211" t="str" cm="1">
        <f t="array" aca="1" ref="D211" ca="1">CELL("nomfichier",INDIRECT(A211))</f>
        <v>G:\SCPE\sdc\bq\6 - Mentions valorisantes\Certification environnementale\TEXTES_REGLEMENTATION_CE\Plans_contrôle et grilles\Grille audit niveau 3\Grille d'audit v1.11\[grille-audit-hvev4-v1.11-vf.xlsx]Surfaces</v>
      </c>
      <c r="E211">
        <f t="shared" ca="1" si="13"/>
        <v>200</v>
      </c>
      <c r="F211">
        <f t="shared" ca="1" si="14"/>
        <v>208</v>
      </c>
      <c r="G211" t="str">
        <f t="shared" ca="1" si="15"/>
        <v>Surfaces</v>
      </c>
      <c r="H211" cm="1">
        <f t="array" aca="1" ref="H211" ca="1">ROW(INDIRECT(A211))</f>
        <v>128</v>
      </c>
      <c r="I211" cm="1">
        <f t="array" aca="1" ref="I211" ca="1">COLUMN(INDIRECT(A211))</f>
        <v>17</v>
      </c>
      <c r="M211" t="str" cm="1">
        <f t="array" aca="1" ref="M211" ca="1">IF(AND(J211="O",ISBLANK(INDIRECT(A211))),"Valeur obligatoire non renseignée","")</f>
        <v/>
      </c>
    </row>
    <row r="212" spans="1:13" x14ac:dyDescent="0.25">
      <c r="A212" s="503" t="s">
        <v>2987</v>
      </c>
      <c r="B212" cm="1">
        <f t="array" aca="1" ref="B212" ca="1">INDIRECT(A212)</f>
        <v>0</v>
      </c>
      <c r="C212">
        <f t="shared" ca="1" si="12"/>
        <v>4</v>
      </c>
      <c r="D212" t="str" cm="1">
        <f t="array" aca="1" ref="D212" ca="1">CELL("nomfichier",INDIRECT(A212))</f>
        <v>G:\SCPE\sdc\bq\6 - Mentions valorisantes\Certification environnementale\TEXTES_REGLEMENTATION_CE\Plans_contrôle et grilles\Grille audit niveau 3\Grille d'audit v1.11\[grille-audit-hvev4-v1.11-vf.xlsx]Surfaces</v>
      </c>
      <c r="E212">
        <f t="shared" ca="1" si="13"/>
        <v>200</v>
      </c>
      <c r="F212">
        <f t="shared" ca="1" si="14"/>
        <v>208</v>
      </c>
      <c r="G212" t="str">
        <f t="shared" ca="1" si="15"/>
        <v>Surfaces</v>
      </c>
      <c r="H212" cm="1">
        <f t="array" aca="1" ref="H212" ca="1">ROW(INDIRECT(A212))</f>
        <v>132</v>
      </c>
      <c r="I212" cm="1">
        <f t="array" aca="1" ref="I212" ca="1">COLUMN(INDIRECT(A212))</f>
        <v>15</v>
      </c>
      <c r="M212" t="str" cm="1">
        <f t="array" aca="1" ref="M212" ca="1">IF(AND(J212="O",ISBLANK(INDIRECT(A212))),"Valeur obligatoire non renseignée","")</f>
        <v/>
      </c>
    </row>
    <row r="213" spans="1:13" x14ac:dyDescent="0.25">
      <c r="A213" s="503" t="s">
        <v>3053</v>
      </c>
      <c r="B213" cm="1">
        <f t="array" aca="1" ref="B213" ca="1">INDIRECT(A213)</f>
        <v>0</v>
      </c>
      <c r="C213">
        <f t="shared" ca="1" si="12"/>
        <v>4</v>
      </c>
      <c r="D213" t="str" cm="1">
        <f t="array" aca="1" ref="D213" ca="1">CELL("nomfichier",INDIRECT(A213))</f>
        <v>G:\SCPE\sdc\bq\6 - Mentions valorisantes\Certification environnementale\TEXTES_REGLEMENTATION_CE\Plans_contrôle et grilles\Grille audit niveau 3\Grille d'audit v1.11\[grille-audit-hvev4-v1.11-vf.xlsx]Surfaces</v>
      </c>
      <c r="E213">
        <f t="shared" ca="1" si="13"/>
        <v>200</v>
      </c>
      <c r="F213">
        <f t="shared" ca="1" si="14"/>
        <v>208</v>
      </c>
      <c r="G213" t="str">
        <f t="shared" ca="1" si="15"/>
        <v>Surfaces</v>
      </c>
      <c r="H213" cm="1">
        <f t="array" aca="1" ref="H213" ca="1">ROW(INDIRECT(A213))</f>
        <v>132</v>
      </c>
      <c r="I213" cm="1">
        <f t="array" aca="1" ref="I213" ca="1">COLUMN(INDIRECT(A213))</f>
        <v>16</v>
      </c>
      <c r="M213" t="str" cm="1">
        <f t="array" aca="1" ref="M213" ca="1">IF(AND(J213="O",ISBLANK(INDIRECT(A213))),"Valeur obligatoire non renseignée","")</f>
        <v/>
      </c>
    </row>
    <row r="214" spans="1:13" x14ac:dyDescent="0.25">
      <c r="A214" s="503" t="s">
        <v>3119</v>
      </c>
      <c r="B214" cm="1">
        <f t="array" aca="1" ref="B214" ca="1">INDIRECT(A214)</f>
        <v>0</v>
      </c>
      <c r="C214">
        <f t="shared" ca="1" si="12"/>
        <v>4</v>
      </c>
      <c r="D214" t="str" cm="1">
        <f t="array" aca="1" ref="D214" ca="1">CELL("nomfichier",INDIRECT(A214))</f>
        <v>G:\SCPE\sdc\bq\6 - Mentions valorisantes\Certification environnementale\TEXTES_REGLEMENTATION_CE\Plans_contrôle et grilles\Grille audit niveau 3\Grille d'audit v1.11\[grille-audit-hvev4-v1.11-vf.xlsx]Surfaces</v>
      </c>
      <c r="E214">
        <f t="shared" ca="1" si="13"/>
        <v>200</v>
      </c>
      <c r="F214">
        <f t="shared" ca="1" si="14"/>
        <v>208</v>
      </c>
      <c r="G214" t="str">
        <f t="shared" ca="1" si="15"/>
        <v>Surfaces</v>
      </c>
      <c r="H214" cm="1">
        <f t="array" aca="1" ref="H214" ca="1">ROW(INDIRECT(A214))</f>
        <v>132</v>
      </c>
      <c r="I214" cm="1">
        <f t="array" aca="1" ref="I214" ca="1">COLUMN(INDIRECT(A214))</f>
        <v>17</v>
      </c>
      <c r="M214" t="str" cm="1">
        <f t="array" aca="1" ref="M214" ca="1">IF(AND(J214="O",ISBLANK(INDIRECT(A214))),"Valeur obligatoire non renseignée","")</f>
        <v/>
      </c>
    </row>
    <row r="215" spans="1:13" x14ac:dyDescent="0.25">
      <c r="A215" s="503" t="s">
        <v>2988</v>
      </c>
      <c r="B215" cm="1">
        <f t="array" aca="1" ref="B215" ca="1">INDIRECT(A215)</f>
        <v>0</v>
      </c>
      <c r="C215">
        <f t="shared" ca="1" si="12"/>
        <v>4</v>
      </c>
      <c r="D215" t="str" cm="1">
        <f t="array" aca="1" ref="D215" ca="1">CELL("nomfichier",INDIRECT(A215))</f>
        <v>G:\SCPE\sdc\bq\6 - Mentions valorisantes\Certification environnementale\TEXTES_REGLEMENTATION_CE\Plans_contrôle et grilles\Grille audit niveau 3\Grille d'audit v1.11\[grille-audit-hvev4-v1.11-vf.xlsx]Surfaces</v>
      </c>
      <c r="E215">
        <f t="shared" ca="1" si="13"/>
        <v>200</v>
      </c>
      <c r="F215">
        <f t="shared" ca="1" si="14"/>
        <v>208</v>
      </c>
      <c r="G215" t="str">
        <f t="shared" ca="1" si="15"/>
        <v>Surfaces</v>
      </c>
      <c r="H215" cm="1">
        <f t="array" aca="1" ref="H215" ca="1">ROW(INDIRECT(A215))</f>
        <v>133</v>
      </c>
      <c r="I215" cm="1">
        <f t="array" aca="1" ref="I215" ca="1">COLUMN(INDIRECT(A215))</f>
        <v>15</v>
      </c>
      <c r="M215" t="str" cm="1">
        <f t="array" aca="1" ref="M215" ca="1">IF(AND(J215="O",ISBLANK(INDIRECT(A215))),"Valeur obligatoire non renseignée","")</f>
        <v/>
      </c>
    </row>
    <row r="216" spans="1:13" x14ac:dyDescent="0.25">
      <c r="A216" s="503" t="s">
        <v>3054</v>
      </c>
      <c r="B216" cm="1">
        <f t="array" aca="1" ref="B216" ca="1">INDIRECT(A216)</f>
        <v>0</v>
      </c>
      <c r="C216">
        <f t="shared" ca="1" si="12"/>
        <v>4</v>
      </c>
      <c r="D216" t="str" cm="1">
        <f t="array" aca="1" ref="D216" ca="1">CELL("nomfichier",INDIRECT(A216))</f>
        <v>G:\SCPE\sdc\bq\6 - Mentions valorisantes\Certification environnementale\TEXTES_REGLEMENTATION_CE\Plans_contrôle et grilles\Grille audit niveau 3\Grille d'audit v1.11\[grille-audit-hvev4-v1.11-vf.xlsx]Surfaces</v>
      </c>
      <c r="E216">
        <f t="shared" ca="1" si="13"/>
        <v>200</v>
      </c>
      <c r="F216">
        <f t="shared" ca="1" si="14"/>
        <v>208</v>
      </c>
      <c r="G216" t="str">
        <f t="shared" ca="1" si="15"/>
        <v>Surfaces</v>
      </c>
      <c r="H216" cm="1">
        <f t="array" aca="1" ref="H216" ca="1">ROW(INDIRECT(A216))</f>
        <v>133</v>
      </c>
      <c r="I216" cm="1">
        <f t="array" aca="1" ref="I216" ca="1">COLUMN(INDIRECT(A216))</f>
        <v>16</v>
      </c>
      <c r="M216" t="str" cm="1">
        <f t="array" aca="1" ref="M216" ca="1">IF(AND(J216="O",ISBLANK(INDIRECT(A216))),"Valeur obligatoire non renseignée","")</f>
        <v/>
      </c>
    </row>
    <row r="217" spans="1:13" x14ac:dyDescent="0.25">
      <c r="A217" s="503" t="s">
        <v>3120</v>
      </c>
      <c r="B217" cm="1">
        <f t="array" aca="1" ref="B217" ca="1">INDIRECT(A217)</f>
        <v>0</v>
      </c>
      <c r="C217">
        <f t="shared" ca="1" si="12"/>
        <v>4</v>
      </c>
      <c r="D217" t="str" cm="1">
        <f t="array" aca="1" ref="D217" ca="1">CELL("nomfichier",INDIRECT(A217))</f>
        <v>G:\SCPE\sdc\bq\6 - Mentions valorisantes\Certification environnementale\TEXTES_REGLEMENTATION_CE\Plans_contrôle et grilles\Grille audit niveau 3\Grille d'audit v1.11\[grille-audit-hvev4-v1.11-vf.xlsx]Surfaces</v>
      </c>
      <c r="E217">
        <f t="shared" ca="1" si="13"/>
        <v>200</v>
      </c>
      <c r="F217">
        <f t="shared" ca="1" si="14"/>
        <v>208</v>
      </c>
      <c r="G217" t="str">
        <f t="shared" ca="1" si="15"/>
        <v>Surfaces</v>
      </c>
      <c r="H217" cm="1">
        <f t="array" aca="1" ref="H217" ca="1">ROW(INDIRECT(A217))</f>
        <v>133</v>
      </c>
      <c r="I217" cm="1">
        <f t="array" aca="1" ref="I217" ca="1">COLUMN(INDIRECT(A217))</f>
        <v>17</v>
      </c>
      <c r="M217" t="str" cm="1">
        <f t="array" aca="1" ref="M217" ca="1">IF(AND(J217="O",ISBLANK(INDIRECT(A217))),"Valeur obligatoire non renseignée","")</f>
        <v/>
      </c>
    </row>
    <row r="218" spans="1:13" x14ac:dyDescent="0.25">
      <c r="A218" s="503" t="s">
        <v>2989</v>
      </c>
      <c r="B218" cm="1">
        <f t="array" aca="1" ref="B218" ca="1">INDIRECT(A218)</f>
        <v>0</v>
      </c>
      <c r="C218">
        <f t="shared" ca="1" si="12"/>
        <v>4</v>
      </c>
      <c r="D218" t="str" cm="1">
        <f t="array" aca="1" ref="D218" ca="1">CELL("nomfichier",INDIRECT(A218))</f>
        <v>G:\SCPE\sdc\bq\6 - Mentions valorisantes\Certification environnementale\TEXTES_REGLEMENTATION_CE\Plans_contrôle et grilles\Grille audit niveau 3\Grille d'audit v1.11\[grille-audit-hvev4-v1.11-vf.xlsx]Surfaces</v>
      </c>
      <c r="E218">
        <f t="shared" ca="1" si="13"/>
        <v>200</v>
      </c>
      <c r="F218">
        <f t="shared" ca="1" si="14"/>
        <v>208</v>
      </c>
      <c r="G218" t="str">
        <f t="shared" ca="1" si="15"/>
        <v>Surfaces</v>
      </c>
      <c r="H218" cm="1">
        <f t="array" aca="1" ref="H218" ca="1">ROW(INDIRECT(A218))</f>
        <v>134</v>
      </c>
      <c r="I218" cm="1">
        <f t="array" aca="1" ref="I218" ca="1">COLUMN(INDIRECT(A218))</f>
        <v>15</v>
      </c>
      <c r="M218" t="str" cm="1">
        <f t="array" aca="1" ref="M218" ca="1">IF(AND(J218="O",ISBLANK(INDIRECT(A218))),"Valeur obligatoire non renseignée","")</f>
        <v/>
      </c>
    </row>
    <row r="219" spans="1:13" x14ac:dyDescent="0.25">
      <c r="A219" s="503" t="s">
        <v>3055</v>
      </c>
      <c r="B219" cm="1">
        <f t="array" aca="1" ref="B219" ca="1">INDIRECT(A219)</f>
        <v>0</v>
      </c>
      <c r="C219">
        <f t="shared" ca="1" si="12"/>
        <v>4</v>
      </c>
      <c r="D219" t="str" cm="1">
        <f t="array" aca="1" ref="D219" ca="1">CELL("nomfichier",INDIRECT(A219))</f>
        <v>G:\SCPE\sdc\bq\6 - Mentions valorisantes\Certification environnementale\TEXTES_REGLEMENTATION_CE\Plans_contrôle et grilles\Grille audit niveau 3\Grille d'audit v1.11\[grille-audit-hvev4-v1.11-vf.xlsx]Surfaces</v>
      </c>
      <c r="E219">
        <f t="shared" ca="1" si="13"/>
        <v>200</v>
      </c>
      <c r="F219">
        <f t="shared" ca="1" si="14"/>
        <v>208</v>
      </c>
      <c r="G219" t="str">
        <f t="shared" ca="1" si="15"/>
        <v>Surfaces</v>
      </c>
      <c r="H219" cm="1">
        <f t="array" aca="1" ref="H219" ca="1">ROW(INDIRECT(A219))</f>
        <v>134</v>
      </c>
      <c r="I219" cm="1">
        <f t="array" aca="1" ref="I219" ca="1">COLUMN(INDIRECT(A219))</f>
        <v>16</v>
      </c>
      <c r="M219" t="str" cm="1">
        <f t="array" aca="1" ref="M219" ca="1">IF(AND(J219="O",ISBLANK(INDIRECT(A219))),"Valeur obligatoire non renseignée","")</f>
        <v/>
      </c>
    </row>
    <row r="220" spans="1:13" x14ac:dyDescent="0.25">
      <c r="A220" s="503" t="s">
        <v>3121</v>
      </c>
      <c r="B220" cm="1">
        <f t="array" aca="1" ref="B220" ca="1">INDIRECT(A220)</f>
        <v>0</v>
      </c>
      <c r="C220">
        <f t="shared" ca="1" si="12"/>
        <v>4</v>
      </c>
      <c r="D220" t="str" cm="1">
        <f t="array" aca="1" ref="D220" ca="1">CELL("nomfichier",INDIRECT(A220))</f>
        <v>G:\SCPE\sdc\bq\6 - Mentions valorisantes\Certification environnementale\TEXTES_REGLEMENTATION_CE\Plans_contrôle et grilles\Grille audit niveau 3\Grille d'audit v1.11\[grille-audit-hvev4-v1.11-vf.xlsx]Surfaces</v>
      </c>
      <c r="E220">
        <f t="shared" ca="1" si="13"/>
        <v>200</v>
      </c>
      <c r="F220">
        <f t="shared" ca="1" si="14"/>
        <v>208</v>
      </c>
      <c r="G220" t="str">
        <f t="shared" ca="1" si="15"/>
        <v>Surfaces</v>
      </c>
      <c r="H220" cm="1">
        <f t="array" aca="1" ref="H220" ca="1">ROW(INDIRECT(A220))</f>
        <v>134</v>
      </c>
      <c r="I220" cm="1">
        <f t="array" aca="1" ref="I220" ca="1">COLUMN(INDIRECT(A220))</f>
        <v>17</v>
      </c>
      <c r="M220" t="str" cm="1">
        <f t="array" aca="1" ref="M220" ca="1">IF(AND(J220="O",ISBLANK(INDIRECT(A220))),"Valeur obligatoire non renseignée","")</f>
        <v/>
      </c>
    </row>
    <row r="221" spans="1:13" x14ac:dyDescent="0.25">
      <c r="A221" s="503" t="s">
        <v>2990</v>
      </c>
      <c r="B221" cm="1">
        <f t="array" aca="1" ref="B221" ca="1">INDIRECT(A221)</f>
        <v>0</v>
      </c>
      <c r="C221">
        <f t="shared" ca="1" si="12"/>
        <v>4</v>
      </c>
      <c r="D221" t="str" cm="1">
        <f t="array" aca="1" ref="D221" ca="1">CELL("nomfichier",INDIRECT(A221))</f>
        <v>G:\SCPE\sdc\bq\6 - Mentions valorisantes\Certification environnementale\TEXTES_REGLEMENTATION_CE\Plans_contrôle et grilles\Grille audit niveau 3\Grille d'audit v1.11\[grille-audit-hvev4-v1.11-vf.xlsx]Surfaces</v>
      </c>
      <c r="E221">
        <f t="shared" ca="1" si="13"/>
        <v>200</v>
      </c>
      <c r="F221">
        <f t="shared" ca="1" si="14"/>
        <v>208</v>
      </c>
      <c r="G221" t="str">
        <f t="shared" ca="1" si="15"/>
        <v>Surfaces</v>
      </c>
      <c r="H221" cm="1">
        <f t="array" aca="1" ref="H221" ca="1">ROW(INDIRECT(A221))</f>
        <v>135</v>
      </c>
      <c r="I221" cm="1">
        <f t="array" aca="1" ref="I221" ca="1">COLUMN(INDIRECT(A221))</f>
        <v>15</v>
      </c>
      <c r="M221" t="str" cm="1">
        <f t="array" aca="1" ref="M221" ca="1">IF(AND(J221="O",ISBLANK(INDIRECT(A221))),"Valeur obligatoire non renseignée","")</f>
        <v/>
      </c>
    </row>
    <row r="222" spans="1:13" x14ac:dyDescent="0.25">
      <c r="A222" s="503" t="s">
        <v>3056</v>
      </c>
      <c r="B222" cm="1">
        <f t="array" aca="1" ref="B222" ca="1">INDIRECT(A222)</f>
        <v>0</v>
      </c>
      <c r="C222">
        <f t="shared" ca="1" si="12"/>
        <v>4</v>
      </c>
      <c r="D222" t="str" cm="1">
        <f t="array" aca="1" ref="D222" ca="1">CELL("nomfichier",INDIRECT(A222))</f>
        <v>G:\SCPE\sdc\bq\6 - Mentions valorisantes\Certification environnementale\TEXTES_REGLEMENTATION_CE\Plans_contrôle et grilles\Grille audit niveau 3\Grille d'audit v1.11\[grille-audit-hvev4-v1.11-vf.xlsx]Surfaces</v>
      </c>
      <c r="E222">
        <f t="shared" ca="1" si="13"/>
        <v>200</v>
      </c>
      <c r="F222">
        <f t="shared" ca="1" si="14"/>
        <v>208</v>
      </c>
      <c r="G222" t="str">
        <f t="shared" ca="1" si="15"/>
        <v>Surfaces</v>
      </c>
      <c r="H222" cm="1">
        <f t="array" aca="1" ref="H222" ca="1">ROW(INDIRECT(A222))</f>
        <v>135</v>
      </c>
      <c r="I222" cm="1">
        <f t="array" aca="1" ref="I222" ca="1">COLUMN(INDIRECT(A222))</f>
        <v>16</v>
      </c>
      <c r="M222" t="str" cm="1">
        <f t="array" aca="1" ref="M222" ca="1">IF(AND(J222="O",ISBLANK(INDIRECT(A222))),"Valeur obligatoire non renseignée","")</f>
        <v/>
      </c>
    </row>
    <row r="223" spans="1:13" x14ac:dyDescent="0.25">
      <c r="A223" s="503" t="s">
        <v>3122</v>
      </c>
      <c r="B223" cm="1">
        <f t="array" aca="1" ref="B223" ca="1">INDIRECT(A223)</f>
        <v>0</v>
      </c>
      <c r="C223">
        <f t="shared" ca="1" si="12"/>
        <v>4</v>
      </c>
      <c r="D223" t="str" cm="1">
        <f t="array" aca="1" ref="D223" ca="1">CELL("nomfichier",INDIRECT(A223))</f>
        <v>G:\SCPE\sdc\bq\6 - Mentions valorisantes\Certification environnementale\TEXTES_REGLEMENTATION_CE\Plans_contrôle et grilles\Grille audit niveau 3\Grille d'audit v1.11\[grille-audit-hvev4-v1.11-vf.xlsx]Surfaces</v>
      </c>
      <c r="E223">
        <f t="shared" ca="1" si="13"/>
        <v>200</v>
      </c>
      <c r="F223">
        <f t="shared" ca="1" si="14"/>
        <v>208</v>
      </c>
      <c r="G223" t="str">
        <f t="shared" ca="1" si="15"/>
        <v>Surfaces</v>
      </c>
      <c r="H223" cm="1">
        <f t="array" aca="1" ref="H223" ca="1">ROW(INDIRECT(A223))</f>
        <v>135</v>
      </c>
      <c r="I223" cm="1">
        <f t="array" aca="1" ref="I223" ca="1">COLUMN(INDIRECT(A223))</f>
        <v>17</v>
      </c>
      <c r="M223" t="str" cm="1">
        <f t="array" aca="1" ref="M223" ca="1">IF(AND(J223="O",ISBLANK(INDIRECT(A223))),"Valeur obligatoire non renseignée","")</f>
        <v/>
      </c>
    </row>
    <row r="224" spans="1:13" x14ac:dyDescent="0.25">
      <c r="A224" s="503" t="s">
        <v>2991</v>
      </c>
      <c r="B224" cm="1">
        <f t="array" aca="1" ref="B224" ca="1">INDIRECT(A224)</f>
        <v>0</v>
      </c>
      <c r="C224">
        <f t="shared" ca="1" si="12"/>
        <v>4</v>
      </c>
      <c r="D224" t="str" cm="1">
        <f t="array" aca="1" ref="D224" ca="1">CELL("nomfichier",INDIRECT(A224))</f>
        <v>G:\SCPE\sdc\bq\6 - Mentions valorisantes\Certification environnementale\TEXTES_REGLEMENTATION_CE\Plans_contrôle et grilles\Grille audit niveau 3\Grille d'audit v1.11\[grille-audit-hvev4-v1.11-vf.xlsx]Surfaces</v>
      </c>
      <c r="E224">
        <f t="shared" ca="1" si="13"/>
        <v>200</v>
      </c>
      <c r="F224">
        <f t="shared" ca="1" si="14"/>
        <v>208</v>
      </c>
      <c r="G224" t="str">
        <f t="shared" ca="1" si="15"/>
        <v>Surfaces</v>
      </c>
      <c r="H224" cm="1">
        <f t="array" aca="1" ref="H224" ca="1">ROW(INDIRECT(A224))</f>
        <v>136</v>
      </c>
      <c r="I224" cm="1">
        <f t="array" aca="1" ref="I224" ca="1">COLUMN(INDIRECT(A224))</f>
        <v>15</v>
      </c>
      <c r="M224" t="str" cm="1">
        <f t="array" aca="1" ref="M224" ca="1">IF(AND(J224="O",ISBLANK(INDIRECT(A224))),"Valeur obligatoire non renseignée","")</f>
        <v/>
      </c>
    </row>
    <row r="225" spans="1:13" x14ac:dyDescent="0.25">
      <c r="A225" s="503" t="s">
        <v>3057</v>
      </c>
      <c r="B225" cm="1">
        <f t="array" aca="1" ref="B225" ca="1">INDIRECT(A225)</f>
        <v>0</v>
      </c>
      <c r="C225">
        <f t="shared" ca="1" si="12"/>
        <v>4</v>
      </c>
      <c r="D225" t="str" cm="1">
        <f t="array" aca="1" ref="D225" ca="1">CELL("nomfichier",INDIRECT(A225))</f>
        <v>G:\SCPE\sdc\bq\6 - Mentions valorisantes\Certification environnementale\TEXTES_REGLEMENTATION_CE\Plans_contrôle et grilles\Grille audit niveau 3\Grille d'audit v1.11\[grille-audit-hvev4-v1.11-vf.xlsx]Surfaces</v>
      </c>
      <c r="E225">
        <f t="shared" ca="1" si="13"/>
        <v>200</v>
      </c>
      <c r="F225">
        <f t="shared" ca="1" si="14"/>
        <v>208</v>
      </c>
      <c r="G225" t="str">
        <f t="shared" ca="1" si="15"/>
        <v>Surfaces</v>
      </c>
      <c r="H225" cm="1">
        <f t="array" aca="1" ref="H225" ca="1">ROW(INDIRECT(A225))</f>
        <v>136</v>
      </c>
      <c r="I225" cm="1">
        <f t="array" aca="1" ref="I225" ca="1">COLUMN(INDIRECT(A225))</f>
        <v>16</v>
      </c>
      <c r="M225" t="str" cm="1">
        <f t="array" aca="1" ref="M225" ca="1">IF(AND(J225="O",ISBLANK(INDIRECT(A225))),"Valeur obligatoire non renseignée","")</f>
        <v/>
      </c>
    </row>
    <row r="226" spans="1:13" x14ac:dyDescent="0.25">
      <c r="A226" s="503" t="s">
        <v>3123</v>
      </c>
      <c r="B226" cm="1">
        <f t="array" aca="1" ref="B226" ca="1">INDIRECT(A226)</f>
        <v>0</v>
      </c>
      <c r="C226">
        <f t="shared" ca="1" si="12"/>
        <v>4</v>
      </c>
      <c r="D226" t="str" cm="1">
        <f t="array" aca="1" ref="D226" ca="1">CELL("nomfichier",INDIRECT(A226))</f>
        <v>G:\SCPE\sdc\bq\6 - Mentions valorisantes\Certification environnementale\TEXTES_REGLEMENTATION_CE\Plans_contrôle et grilles\Grille audit niveau 3\Grille d'audit v1.11\[grille-audit-hvev4-v1.11-vf.xlsx]Surfaces</v>
      </c>
      <c r="E226">
        <f t="shared" ca="1" si="13"/>
        <v>200</v>
      </c>
      <c r="F226">
        <f t="shared" ca="1" si="14"/>
        <v>208</v>
      </c>
      <c r="G226" t="str">
        <f t="shared" ca="1" si="15"/>
        <v>Surfaces</v>
      </c>
      <c r="H226" cm="1">
        <f t="array" aca="1" ref="H226" ca="1">ROW(INDIRECT(A226))</f>
        <v>136</v>
      </c>
      <c r="I226" cm="1">
        <f t="array" aca="1" ref="I226" ca="1">COLUMN(INDIRECT(A226))</f>
        <v>17</v>
      </c>
      <c r="M226" t="str" cm="1">
        <f t="array" aca="1" ref="M226" ca="1">IF(AND(J226="O",ISBLANK(INDIRECT(A226))),"Valeur obligatoire non renseignée","")</f>
        <v/>
      </c>
    </row>
    <row r="227" spans="1:13" x14ac:dyDescent="0.25">
      <c r="A227" s="503" t="s">
        <v>2992</v>
      </c>
      <c r="B227" cm="1">
        <f t="array" aca="1" ref="B227" ca="1">INDIRECT(A227)</f>
        <v>0</v>
      </c>
      <c r="C227">
        <f t="shared" ca="1" si="12"/>
        <v>4</v>
      </c>
      <c r="D227" t="str" cm="1">
        <f t="array" aca="1" ref="D227" ca="1">CELL("nomfichier",INDIRECT(A227))</f>
        <v>G:\SCPE\sdc\bq\6 - Mentions valorisantes\Certification environnementale\TEXTES_REGLEMENTATION_CE\Plans_contrôle et grilles\Grille audit niveau 3\Grille d'audit v1.11\[grille-audit-hvev4-v1.11-vf.xlsx]Surfaces</v>
      </c>
      <c r="E227">
        <f t="shared" ca="1" si="13"/>
        <v>200</v>
      </c>
      <c r="F227">
        <f t="shared" ca="1" si="14"/>
        <v>208</v>
      </c>
      <c r="G227" t="str">
        <f t="shared" ca="1" si="15"/>
        <v>Surfaces</v>
      </c>
      <c r="H227" cm="1">
        <f t="array" aca="1" ref="H227" ca="1">ROW(INDIRECT(A227))</f>
        <v>141</v>
      </c>
      <c r="I227" cm="1">
        <f t="array" aca="1" ref="I227" ca="1">COLUMN(INDIRECT(A227))</f>
        <v>15</v>
      </c>
      <c r="M227" t="str" cm="1">
        <f t="array" aca="1" ref="M227" ca="1">IF(AND(J227="O",ISBLANK(INDIRECT(A227))),"Valeur obligatoire non renseignée","")</f>
        <v/>
      </c>
    </row>
    <row r="228" spans="1:13" x14ac:dyDescent="0.25">
      <c r="A228" s="503" t="s">
        <v>3058</v>
      </c>
      <c r="B228" cm="1">
        <f t="array" aca="1" ref="B228" ca="1">INDIRECT(A228)</f>
        <v>0</v>
      </c>
      <c r="C228">
        <f t="shared" ca="1" si="12"/>
        <v>4</v>
      </c>
      <c r="D228" t="str" cm="1">
        <f t="array" aca="1" ref="D228" ca="1">CELL("nomfichier",INDIRECT(A228))</f>
        <v>G:\SCPE\sdc\bq\6 - Mentions valorisantes\Certification environnementale\TEXTES_REGLEMENTATION_CE\Plans_contrôle et grilles\Grille audit niveau 3\Grille d'audit v1.11\[grille-audit-hvev4-v1.11-vf.xlsx]Surfaces</v>
      </c>
      <c r="E228">
        <f t="shared" ca="1" si="13"/>
        <v>200</v>
      </c>
      <c r="F228">
        <f t="shared" ca="1" si="14"/>
        <v>208</v>
      </c>
      <c r="G228" t="str">
        <f t="shared" ca="1" si="15"/>
        <v>Surfaces</v>
      </c>
      <c r="H228" cm="1">
        <f t="array" aca="1" ref="H228" ca="1">ROW(INDIRECT(A228))</f>
        <v>141</v>
      </c>
      <c r="I228" cm="1">
        <f t="array" aca="1" ref="I228" ca="1">COLUMN(INDIRECT(A228))</f>
        <v>16</v>
      </c>
      <c r="M228" t="str" cm="1">
        <f t="array" aca="1" ref="M228" ca="1">IF(AND(J228="O",ISBLANK(INDIRECT(A228))),"Valeur obligatoire non renseignée","")</f>
        <v/>
      </c>
    </row>
    <row r="229" spans="1:13" x14ac:dyDescent="0.25">
      <c r="A229" s="503" t="s">
        <v>3124</v>
      </c>
      <c r="B229" cm="1">
        <f t="array" aca="1" ref="B229" ca="1">INDIRECT(A229)</f>
        <v>0</v>
      </c>
      <c r="C229">
        <f t="shared" ca="1" si="12"/>
        <v>4</v>
      </c>
      <c r="D229" t="str" cm="1">
        <f t="array" aca="1" ref="D229" ca="1">CELL("nomfichier",INDIRECT(A229))</f>
        <v>G:\SCPE\sdc\bq\6 - Mentions valorisantes\Certification environnementale\TEXTES_REGLEMENTATION_CE\Plans_contrôle et grilles\Grille audit niveau 3\Grille d'audit v1.11\[grille-audit-hvev4-v1.11-vf.xlsx]Surfaces</v>
      </c>
      <c r="E229">
        <f t="shared" ca="1" si="13"/>
        <v>200</v>
      </c>
      <c r="F229">
        <f t="shared" ca="1" si="14"/>
        <v>208</v>
      </c>
      <c r="G229" t="str">
        <f t="shared" ca="1" si="15"/>
        <v>Surfaces</v>
      </c>
      <c r="H229" cm="1">
        <f t="array" aca="1" ref="H229" ca="1">ROW(INDIRECT(A229))</f>
        <v>141</v>
      </c>
      <c r="I229" cm="1">
        <f t="array" aca="1" ref="I229" ca="1">COLUMN(INDIRECT(A229))</f>
        <v>17</v>
      </c>
      <c r="M229" t="str" cm="1">
        <f t="array" aca="1" ref="M229" ca="1">IF(AND(J229="O",ISBLANK(INDIRECT(A229))),"Valeur obligatoire non renseignée","")</f>
        <v/>
      </c>
    </row>
    <row r="230" spans="1:13" x14ac:dyDescent="0.25">
      <c r="A230" s="91" t="s">
        <v>3126</v>
      </c>
      <c r="B230" cm="1">
        <f t="array" aca="1" ref="B230" ca="1">INDIRECT(A230)</f>
        <v>0</v>
      </c>
      <c r="C230">
        <f t="shared" ca="1" si="12"/>
        <v>4</v>
      </c>
      <c r="D230" t="str" cm="1">
        <f t="array" aca="1" ref="D230" ca="1">CELL("nomfichier",INDIRECT(A230))</f>
        <v>G:\SCPE\sdc\bq\6 - Mentions valorisantes\Certification environnementale\TEXTES_REGLEMENTATION_CE\Plans_contrôle et grilles\Grille audit niveau 3\Grille d'audit v1.11\[grille-audit-hvev4-v1.11-vf.xlsx]Surfaces</v>
      </c>
      <c r="E230">
        <f t="shared" ca="1" si="13"/>
        <v>200</v>
      </c>
      <c r="F230">
        <f t="shared" ca="1" si="14"/>
        <v>208</v>
      </c>
      <c r="G230" t="str">
        <f t="shared" ca="1" si="15"/>
        <v>Surfaces</v>
      </c>
      <c r="H230" cm="1">
        <f t="array" aca="1" ref="H230" ca="1">ROW(INDIRECT(A230))</f>
        <v>144</v>
      </c>
      <c r="I230" cm="1">
        <f t="array" aca="1" ref="I230" ca="1">COLUMN(INDIRECT(A230))</f>
        <v>5</v>
      </c>
      <c r="M230" t="str" cm="1">
        <f t="array" aca="1" ref="M230" ca="1">IF(AND(J230="O",ISBLANK(INDIRECT(A230))),"Valeur obligatoire non renseignée","")</f>
        <v/>
      </c>
    </row>
    <row r="231" spans="1:13" x14ac:dyDescent="0.25">
      <c r="A231" s="91" t="s">
        <v>3141</v>
      </c>
      <c r="B231" cm="1">
        <f t="array" aca="1" ref="B231" ca="1">INDIRECT(A231)</f>
        <v>0</v>
      </c>
      <c r="C231">
        <f t="shared" ca="1" si="12"/>
        <v>4</v>
      </c>
      <c r="D231" t="str" cm="1">
        <f t="array" aca="1" ref="D231" ca="1">CELL("nomfichier",INDIRECT(A231))</f>
        <v>G:\SCPE\sdc\bq\6 - Mentions valorisantes\Certification environnementale\TEXTES_REGLEMENTATION_CE\Plans_contrôle et grilles\Grille audit niveau 3\Grille d'audit v1.11\[grille-audit-hvev4-v1.11-vf.xlsx]Surfaces</v>
      </c>
      <c r="E231">
        <f t="shared" ca="1" si="13"/>
        <v>200</v>
      </c>
      <c r="F231">
        <f t="shared" ca="1" si="14"/>
        <v>208</v>
      </c>
      <c r="G231" t="str">
        <f t="shared" ca="1" si="15"/>
        <v>Surfaces</v>
      </c>
      <c r="H231" cm="1">
        <f t="array" aca="1" ref="H231" ca="1">ROW(INDIRECT(A231))</f>
        <v>144</v>
      </c>
      <c r="I231" cm="1">
        <f t="array" aca="1" ref="I231" ca="1">COLUMN(INDIRECT(A231))</f>
        <v>15</v>
      </c>
      <c r="M231" t="str" cm="1">
        <f t="array" aca="1" ref="M231" ca="1">IF(AND(J231="O",ISBLANK(INDIRECT(A231))),"Valeur obligatoire non renseignée","")</f>
        <v/>
      </c>
    </row>
    <row r="232" spans="1:13" x14ac:dyDescent="0.25">
      <c r="A232" s="91" t="s">
        <v>3156</v>
      </c>
      <c r="B232" cm="1">
        <f t="array" aca="1" ref="B232" ca="1">INDIRECT(A232)</f>
        <v>0</v>
      </c>
      <c r="C232">
        <f t="shared" ca="1" si="12"/>
        <v>4</v>
      </c>
      <c r="D232" t="str" cm="1">
        <f t="array" aca="1" ref="D232" ca="1">CELL("nomfichier",INDIRECT(A232))</f>
        <v>G:\SCPE\sdc\bq\6 - Mentions valorisantes\Certification environnementale\TEXTES_REGLEMENTATION_CE\Plans_contrôle et grilles\Grille audit niveau 3\Grille d'audit v1.11\[grille-audit-hvev4-v1.11-vf.xlsx]Surfaces</v>
      </c>
      <c r="E232">
        <f t="shared" ca="1" si="13"/>
        <v>200</v>
      </c>
      <c r="F232">
        <f t="shared" ca="1" si="14"/>
        <v>208</v>
      </c>
      <c r="G232" t="str">
        <f t="shared" ca="1" si="15"/>
        <v>Surfaces</v>
      </c>
      <c r="H232" cm="1">
        <f t="array" aca="1" ref="H232" ca="1">ROW(INDIRECT(A232))</f>
        <v>144</v>
      </c>
      <c r="I232" cm="1">
        <f t="array" aca="1" ref="I232" ca="1">COLUMN(INDIRECT(A232))</f>
        <v>16</v>
      </c>
      <c r="M232" t="str" cm="1">
        <f t="array" aca="1" ref="M232" ca="1">IF(AND(J232="O",ISBLANK(INDIRECT(A232))),"Valeur obligatoire non renseignée","")</f>
        <v/>
      </c>
    </row>
    <row r="233" spans="1:13" x14ac:dyDescent="0.25">
      <c r="A233" s="91" t="s">
        <v>3171</v>
      </c>
      <c r="B233" cm="1">
        <f t="array" aca="1" ref="B233" ca="1">INDIRECT(A233)</f>
        <v>0</v>
      </c>
      <c r="C233">
        <f t="shared" ca="1" si="12"/>
        <v>4</v>
      </c>
      <c r="D233" t="str" cm="1">
        <f t="array" aca="1" ref="D233" ca="1">CELL("nomfichier",INDIRECT(A233))</f>
        <v>G:\SCPE\sdc\bq\6 - Mentions valorisantes\Certification environnementale\TEXTES_REGLEMENTATION_CE\Plans_contrôle et grilles\Grille audit niveau 3\Grille d'audit v1.11\[grille-audit-hvev4-v1.11-vf.xlsx]Surfaces</v>
      </c>
      <c r="E233">
        <f t="shared" ca="1" si="13"/>
        <v>200</v>
      </c>
      <c r="F233">
        <f t="shared" ca="1" si="14"/>
        <v>208</v>
      </c>
      <c r="G233" t="str">
        <f t="shared" ca="1" si="15"/>
        <v>Surfaces</v>
      </c>
      <c r="H233" cm="1">
        <f t="array" aca="1" ref="H233" ca="1">ROW(INDIRECT(A233))</f>
        <v>144</v>
      </c>
      <c r="I233" cm="1">
        <f t="array" aca="1" ref="I233" ca="1">COLUMN(INDIRECT(A233))</f>
        <v>17</v>
      </c>
      <c r="M233" t="str" cm="1">
        <f t="array" aca="1" ref="M233" ca="1">IF(AND(J233="O",ISBLANK(INDIRECT(A233))),"Valeur obligatoire non renseignée","")</f>
        <v/>
      </c>
    </row>
    <row r="234" spans="1:13" x14ac:dyDescent="0.25">
      <c r="A234" s="91" t="s">
        <v>3127</v>
      </c>
      <c r="B234" cm="1">
        <f t="array" aca="1" ref="B234" ca="1">INDIRECT(A234)</f>
        <v>0</v>
      </c>
      <c r="C234">
        <f t="shared" ca="1" si="12"/>
        <v>4</v>
      </c>
      <c r="D234" t="str" cm="1">
        <f t="array" aca="1" ref="D234" ca="1">CELL("nomfichier",INDIRECT(A234))</f>
        <v>G:\SCPE\sdc\bq\6 - Mentions valorisantes\Certification environnementale\TEXTES_REGLEMENTATION_CE\Plans_contrôle et grilles\Grille audit niveau 3\Grille d'audit v1.11\[grille-audit-hvev4-v1.11-vf.xlsx]Surfaces</v>
      </c>
      <c r="E234">
        <f t="shared" ca="1" si="13"/>
        <v>200</v>
      </c>
      <c r="F234">
        <f t="shared" ca="1" si="14"/>
        <v>208</v>
      </c>
      <c r="G234" t="str">
        <f t="shared" ca="1" si="15"/>
        <v>Surfaces</v>
      </c>
      <c r="H234" cm="1">
        <f t="array" aca="1" ref="H234" ca="1">ROW(INDIRECT(A234))</f>
        <v>145</v>
      </c>
      <c r="I234" cm="1">
        <f t="array" aca="1" ref="I234" ca="1">COLUMN(INDIRECT(A234))</f>
        <v>5</v>
      </c>
      <c r="M234" t="str" cm="1">
        <f t="array" aca="1" ref="M234" ca="1">IF(AND(J234="O",ISBLANK(INDIRECT(A234))),"Valeur obligatoire non renseignée","")</f>
        <v/>
      </c>
    </row>
    <row r="235" spans="1:13" x14ac:dyDescent="0.25">
      <c r="A235" s="91" t="s">
        <v>3142</v>
      </c>
      <c r="B235" cm="1">
        <f t="array" aca="1" ref="B235" ca="1">INDIRECT(A235)</f>
        <v>0</v>
      </c>
      <c r="C235">
        <f t="shared" ca="1" si="12"/>
        <v>4</v>
      </c>
      <c r="D235" t="str" cm="1">
        <f t="array" aca="1" ref="D235" ca="1">CELL("nomfichier",INDIRECT(A235))</f>
        <v>G:\SCPE\sdc\bq\6 - Mentions valorisantes\Certification environnementale\TEXTES_REGLEMENTATION_CE\Plans_contrôle et grilles\Grille audit niveau 3\Grille d'audit v1.11\[grille-audit-hvev4-v1.11-vf.xlsx]Surfaces</v>
      </c>
      <c r="E235">
        <f t="shared" ca="1" si="13"/>
        <v>200</v>
      </c>
      <c r="F235">
        <f t="shared" ca="1" si="14"/>
        <v>208</v>
      </c>
      <c r="G235" t="str">
        <f t="shared" ca="1" si="15"/>
        <v>Surfaces</v>
      </c>
      <c r="H235" cm="1">
        <f t="array" aca="1" ref="H235" ca="1">ROW(INDIRECT(A235))</f>
        <v>145</v>
      </c>
      <c r="I235" cm="1">
        <f t="array" aca="1" ref="I235" ca="1">COLUMN(INDIRECT(A235))</f>
        <v>15</v>
      </c>
      <c r="M235" t="str" cm="1">
        <f t="array" aca="1" ref="M235" ca="1">IF(AND(J235="O",ISBLANK(INDIRECT(A235))),"Valeur obligatoire non renseignée","")</f>
        <v/>
      </c>
    </row>
    <row r="236" spans="1:13" x14ac:dyDescent="0.25">
      <c r="A236" s="91" t="s">
        <v>3157</v>
      </c>
      <c r="B236" cm="1">
        <f t="array" aca="1" ref="B236" ca="1">INDIRECT(A236)</f>
        <v>0</v>
      </c>
      <c r="C236">
        <f t="shared" ca="1" si="12"/>
        <v>4</v>
      </c>
      <c r="D236" t="str" cm="1">
        <f t="array" aca="1" ref="D236" ca="1">CELL("nomfichier",INDIRECT(A236))</f>
        <v>G:\SCPE\sdc\bq\6 - Mentions valorisantes\Certification environnementale\TEXTES_REGLEMENTATION_CE\Plans_contrôle et grilles\Grille audit niveau 3\Grille d'audit v1.11\[grille-audit-hvev4-v1.11-vf.xlsx]Surfaces</v>
      </c>
      <c r="E236">
        <f t="shared" ca="1" si="13"/>
        <v>200</v>
      </c>
      <c r="F236">
        <f t="shared" ca="1" si="14"/>
        <v>208</v>
      </c>
      <c r="G236" t="str">
        <f t="shared" ca="1" si="15"/>
        <v>Surfaces</v>
      </c>
      <c r="H236" cm="1">
        <f t="array" aca="1" ref="H236" ca="1">ROW(INDIRECT(A236))</f>
        <v>145</v>
      </c>
      <c r="I236" cm="1">
        <f t="array" aca="1" ref="I236" ca="1">COLUMN(INDIRECT(A236))</f>
        <v>16</v>
      </c>
      <c r="M236" t="str" cm="1">
        <f t="array" aca="1" ref="M236" ca="1">IF(AND(J236="O",ISBLANK(INDIRECT(A236))),"Valeur obligatoire non renseignée","")</f>
        <v/>
      </c>
    </row>
    <row r="237" spans="1:13" x14ac:dyDescent="0.25">
      <c r="A237" s="91" t="s">
        <v>3172</v>
      </c>
      <c r="B237" cm="1">
        <f t="array" aca="1" ref="B237" ca="1">INDIRECT(A237)</f>
        <v>0</v>
      </c>
      <c r="C237">
        <f t="shared" ca="1" si="12"/>
        <v>4</v>
      </c>
      <c r="D237" t="str" cm="1">
        <f t="array" aca="1" ref="D237" ca="1">CELL("nomfichier",INDIRECT(A237))</f>
        <v>G:\SCPE\sdc\bq\6 - Mentions valorisantes\Certification environnementale\TEXTES_REGLEMENTATION_CE\Plans_contrôle et grilles\Grille audit niveau 3\Grille d'audit v1.11\[grille-audit-hvev4-v1.11-vf.xlsx]Surfaces</v>
      </c>
      <c r="E237">
        <f t="shared" ca="1" si="13"/>
        <v>200</v>
      </c>
      <c r="F237">
        <f t="shared" ca="1" si="14"/>
        <v>208</v>
      </c>
      <c r="G237" t="str">
        <f t="shared" ca="1" si="15"/>
        <v>Surfaces</v>
      </c>
      <c r="H237" cm="1">
        <f t="array" aca="1" ref="H237" ca="1">ROW(INDIRECT(A237))</f>
        <v>145</v>
      </c>
      <c r="I237" cm="1">
        <f t="array" aca="1" ref="I237" ca="1">COLUMN(INDIRECT(A237))</f>
        <v>17</v>
      </c>
      <c r="M237" t="str" cm="1">
        <f t="array" aca="1" ref="M237" ca="1">IF(AND(J237="O",ISBLANK(INDIRECT(A237))),"Valeur obligatoire non renseignée","")</f>
        <v/>
      </c>
    </row>
    <row r="238" spans="1:13" x14ac:dyDescent="0.25">
      <c r="A238" s="91" t="s">
        <v>3128</v>
      </c>
      <c r="B238" cm="1">
        <f t="array" aca="1" ref="B238" ca="1">INDIRECT(A238)</f>
        <v>0</v>
      </c>
      <c r="C238">
        <f t="shared" ca="1" si="12"/>
        <v>4</v>
      </c>
      <c r="D238" t="str" cm="1">
        <f t="array" aca="1" ref="D238" ca="1">CELL("nomfichier",INDIRECT(A238))</f>
        <v>G:\SCPE\sdc\bq\6 - Mentions valorisantes\Certification environnementale\TEXTES_REGLEMENTATION_CE\Plans_contrôle et grilles\Grille audit niveau 3\Grille d'audit v1.11\[grille-audit-hvev4-v1.11-vf.xlsx]Surfaces</v>
      </c>
      <c r="E238">
        <f t="shared" ca="1" si="13"/>
        <v>200</v>
      </c>
      <c r="F238">
        <f t="shared" ca="1" si="14"/>
        <v>208</v>
      </c>
      <c r="G238" t="str">
        <f t="shared" ca="1" si="15"/>
        <v>Surfaces</v>
      </c>
      <c r="H238" cm="1">
        <f t="array" aca="1" ref="H238" ca="1">ROW(INDIRECT(A238))</f>
        <v>146</v>
      </c>
      <c r="I238" cm="1">
        <f t="array" aca="1" ref="I238" ca="1">COLUMN(INDIRECT(A238))</f>
        <v>5</v>
      </c>
      <c r="M238" t="str" cm="1">
        <f t="array" aca="1" ref="M238" ca="1">IF(AND(J238="O",ISBLANK(INDIRECT(A238))),"Valeur obligatoire non renseignée","")</f>
        <v/>
      </c>
    </row>
    <row r="239" spans="1:13" x14ac:dyDescent="0.25">
      <c r="A239" s="91" t="s">
        <v>3143</v>
      </c>
      <c r="B239" cm="1">
        <f t="array" aca="1" ref="B239" ca="1">INDIRECT(A239)</f>
        <v>0</v>
      </c>
      <c r="C239">
        <f t="shared" ca="1" si="12"/>
        <v>4</v>
      </c>
      <c r="D239" t="str" cm="1">
        <f t="array" aca="1" ref="D239" ca="1">CELL("nomfichier",INDIRECT(A239))</f>
        <v>G:\SCPE\sdc\bq\6 - Mentions valorisantes\Certification environnementale\TEXTES_REGLEMENTATION_CE\Plans_contrôle et grilles\Grille audit niveau 3\Grille d'audit v1.11\[grille-audit-hvev4-v1.11-vf.xlsx]Surfaces</v>
      </c>
      <c r="E239">
        <f t="shared" ca="1" si="13"/>
        <v>200</v>
      </c>
      <c r="F239">
        <f t="shared" ca="1" si="14"/>
        <v>208</v>
      </c>
      <c r="G239" t="str">
        <f t="shared" ca="1" si="15"/>
        <v>Surfaces</v>
      </c>
      <c r="H239" cm="1">
        <f t="array" aca="1" ref="H239" ca="1">ROW(INDIRECT(A239))</f>
        <v>146</v>
      </c>
      <c r="I239" cm="1">
        <f t="array" aca="1" ref="I239" ca="1">COLUMN(INDIRECT(A239))</f>
        <v>15</v>
      </c>
      <c r="M239" t="str" cm="1">
        <f t="array" aca="1" ref="M239" ca="1">IF(AND(J239="O",ISBLANK(INDIRECT(A239))),"Valeur obligatoire non renseignée","")</f>
        <v/>
      </c>
    </row>
    <row r="240" spans="1:13" x14ac:dyDescent="0.25">
      <c r="A240" s="91" t="s">
        <v>3158</v>
      </c>
      <c r="B240" cm="1">
        <f t="array" aca="1" ref="B240" ca="1">INDIRECT(A240)</f>
        <v>0</v>
      </c>
      <c r="C240">
        <f t="shared" ca="1" si="12"/>
        <v>4</v>
      </c>
      <c r="D240" t="str" cm="1">
        <f t="array" aca="1" ref="D240" ca="1">CELL("nomfichier",INDIRECT(A240))</f>
        <v>G:\SCPE\sdc\bq\6 - Mentions valorisantes\Certification environnementale\TEXTES_REGLEMENTATION_CE\Plans_contrôle et grilles\Grille audit niveau 3\Grille d'audit v1.11\[grille-audit-hvev4-v1.11-vf.xlsx]Surfaces</v>
      </c>
      <c r="E240">
        <f t="shared" ca="1" si="13"/>
        <v>200</v>
      </c>
      <c r="F240">
        <f t="shared" ca="1" si="14"/>
        <v>208</v>
      </c>
      <c r="G240" t="str">
        <f t="shared" ca="1" si="15"/>
        <v>Surfaces</v>
      </c>
      <c r="H240" cm="1">
        <f t="array" aca="1" ref="H240" ca="1">ROW(INDIRECT(A240))</f>
        <v>146</v>
      </c>
      <c r="I240" cm="1">
        <f t="array" aca="1" ref="I240" ca="1">COLUMN(INDIRECT(A240))</f>
        <v>16</v>
      </c>
      <c r="M240" t="str" cm="1">
        <f t="array" aca="1" ref="M240" ca="1">IF(AND(J240="O",ISBLANK(INDIRECT(A240))),"Valeur obligatoire non renseignée","")</f>
        <v/>
      </c>
    </row>
    <row r="241" spans="1:13" x14ac:dyDescent="0.25">
      <c r="A241" s="91" t="s">
        <v>3173</v>
      </c>
      <c r="B241" cm="1">
        <f t="array" aca="1" ref="B241" ca="1">INDIRECT(A241)</f>
        <v>0</v>
      </c>
      <c r="C241">
        <f t="shared" ca="1" si="12"/>
        <v>4</v>
      </c>
      <c r="D241" t="str" cm="1">
        <f t="array" aca="1" ref="D241" ca="1">CELL("nomfichier",INDIRECT(A241))</f>
        <v>G:\SCPE\sdc\bq\6 - Mentions valorisantes\Certification environnementale\TEXTES_REGLEMENTATION_CE\Plans_contrôle et grilles\Grille audit niveau 3\Grille d'audit v1.11\[grille-audit-hvev4-v1.11-vf.xlsx]Surfaces</v>
      </c>
      <c r="E241">
        <f t="shared" ca="1" si="13"/>
        <v>200</v>
      </c>
      <c r="F241">
        <f t="shared" ca="1" si="14"/>
        <v>208</v>
      </c>
      <c r="G241" t="str">
        <f t="shared" ca="1" si="15"/>
        <v>Surfaces</v>
      </c>
      <c r="H241" cm="1">
        <f t="array" aca="1" ref="H241" ca="1">ROW(INDIRECT(A241))</f>
        <v>146</v>
      </c>
      <c r="I241" cm="1">
        <f t="array" aca="1" ref="I241" ca="1">COLUMN(INDIRECT(A241))</f>
        <v>17</v>
      </c>
      <c r="M241" t="str" cm="1">
        <f t="array" aca="1" ref="M241" ca="1">IF(AND(J241="O",ISBLANK(INDIRECT(A241))),"Valeur obligatoire non renseignée","")</f>
        <v/>
      </c>
    </row>
    <row r="242" spans="1:13" x14ac:dyDescent="0.25">
      <c r="A242" s="91" t="s">
        <v>3129</v>
      </c>
      <c r="B242" cm="1">
        <f t="array" aca="1" ref="B242" ca="1">INDIRECT(A242)</f>
        <v>0</v>
      </c>
      <c r="C242">
        <f t="shared" ca="1" si="12"/>
        <v>4</v>
      </c>
      <c r="D242" t="str" cm="1">
        <f t="array" aca="1" ref="D242" ca="1">CELL("nomfichier",INDIRECT(A242))</f>
        <v>G:\SCPE\sdc\bq\6 - Mentions valorisantes\Certification environnementale\TEXTES_REGLEMENTATION_CE\Plans_contrôle et grilles\Grille audit niveau 3\Grille d'audit v1.11\[grille-audit-hvev4-v1.11-vf.xlsx]Surfaces</v>
      </c>
      <c r="E242">
        <f t="shared" ca="1" si="13"/>
        <v>200</v>
      </c>
      <c r="F242">
        <f t="shared" ca="1" si="14"/>
        <v>208</v>
      </c>
      <c r="G242" t="str">
        <f t="shared" ca="1" si="15"/>
        <v>Surfaces</v>
      </c>
      <c r="H242" cm="1">
        <f t="array" aca="1" ref="H242" ca="1">ROW(INDIRECT(A242))</f>
        <v>147</v>
      </c>
      <c r="I242" cm="1">
        <f t="array" aca="1" ref="I242" ca="1">COLUMN(INDIRECT(A242))</f>
        <v>5</v>
      </c>
      <c r="M242" t="str" cm="1">
        <f t="array" aca="1" ref="M242" ca="1">IF(AND(J242="O",ISBLANK(INDIRECT(A242))),"Valeur obligatoire non renseignée","")</f>
        <v/>
      </c>
    </row>
    <row r="243" spans="1:13" x14ac:dyDescent="0.25">
      <c r="A243" s="91" t="s">
        <v>3144</v>
      </c>
      <c r="B243" cm="1">
        <f t="array" aca="1" ref="B243" ca="1">INDIRECT(A243)</f>
        <v>0</v>
      </c>
      <c r="C243">
        <f t="shared" ca="1" si="12"/>
        <v>4</v>
      </c>
      <c r="D243" t="str" cm="1">
        <f t="array" aca="1" ref="D243" ca="1">CELL("nomfichier",INDIRECT(A243))</f>
        <v>G:\SCPE\sdc\bq\6 - Mentions valorisantes\Certification environnementale\TEXTES_REGLEMENTATION_CE\Plans_contrôle et grilles\Grille audit niveau 3\Grille d'audit v1.11\[grille-audit-hvev4-v1.11-vf.xlsx]Surfaces</v>
      </c>
      <c r="E243">
        <f t="shared" ca="1" si="13"/>
        <v>200</v>
      </c>
      <c r="F243">
        <f t="shared" ca="1" si="14"/>
        <v>208</v>
      </c>
      <c r="G243" t="str">
        <f t="shared" ca="1" si="15"/>
        <v>Surfaces</v>
      </c>
      <c r="H243" cm="1">
        <f t="array" aca="1" ref="H243" ca="1">ROW(INDIRECT(A243))</f>
        <v>147</v>
      </c>
      <c r="I243" cm="1">
        <f t="array" aca="1" ref="I243" ca="1">COLUMN(INDIRECT(A243))</f>
        <v>15</v>
      </c>
      <c r="M243" t="str" cm="1">
        <f t="array" aca="1" ref="M243" ca="1">IF(AND(J243="O",ISBLANK(INDIRECT(A243))),"Valeur obligatoire non renseignée","")</f>
        <v/>
      </c>
    </row>
    <row r="244" spans="1:13" x14ac:dyDescent="0.25">
      <c r="A244" s="91" t="s">
        <v>3159</v>
      </c>
      <c r="B244" cm="1">
        <f t="array" aca="1" ref="B244" ca="1">INDIRECT(A244)</f>
        <v>0</v>
      </c>
      <c r="C244">
        <f t="shared" ca="1" si="12"/>
        <v>4</v>
      </c>
      <c r="D244" t="str" cm="1">
        <f t="array" aca="1" ref="D244" ca="1">CELL("nomfichier",INDIRECT(A244))</f>
        <v>G:\SCPE\sdc\bq\6 - Mentions valorisantes\Certification environnementale\TEXTES_REGLEMENTATION_CE\Plans_contrôle et grilles\Grille audit niveau 3\Grille d'audit v1.11\[grille-audit-hvev4-v1.11-vf.xlsx]Surfaces</v>
      </c>
      <c r="E244">
        <f t="shared" ca="1" si="13"/>
        <v>200</v>
      </c>
      <c r="F244">
        <f t="shared" ca="1" si="14"/>
        <v>208</v>
      </c>
      <c r="G244" t="str">
        <f t="shared" ca="1" si="15"/>
        <v>Surfaces</v>
      </c>
      <c r="H244" cm="1">
        <f t="array" aca="1" ref="H244" ca="1">ROW(INDIRECT(A244))</f>
        <v>147</v>
      </c>
      <c r="I244" cm="1">
        <f t="array" aca="1" ref="I244" ca="1">COLUMN(INDIRECT(A244))</f>
        <v>16</v>
      </c>
      <c r="M244" t="str" cm="1">
        <f t="array" aca="1" ref="M244" ca="1">IF(AND(J244="O",ISBLANK(INDIRECT(A244))),"Valeur obligatoire non renseignée","")</f>
        <v/>
      </c>
    </row>
    <row r="245" spans="1:13" x14ac:dyDescent="0.25">
      <c r="A245" s="91" t="s">
        <v>3174</v>
      </c>
      <c r="B245" cm="1">
        <f t="array" aca="1" ref="B245" ca="1">INDIRECT(A245)</f>
        <v>0</v>
      </c>
      <c r="C245">
        <f t="shared" ca="1" si="12"/>
        <v>4</v>
      </c>
      <c r="D245" t="str" cm="1">
        <f t="array" aca="1" ref="D245" ca="1">CELL("nomfichier",INDIRECT(A245))</f>
        <v>G:\SCPE\sdc\bq\6 - Mentions valorisantes\Certification environnementale\TEXTES_REGLEMENTATION_CE\Plans_contrôle et grilles\Grille audit niveau 3\Grille d'audit v1.11\[grille-audit-hvev4-v1.11-vf.xlsx]Surfaces</v>
      </c>
      <c r="E245">
        <f t="shared" ca="1" si="13"/>
        <v>200</v>
      </c>
      <c r="F245">
        <f t="shared" ca="1" si="14"/>
        <v>208</v>
      </c>
      <c r="G245" t="str">
        <f t="shared" ca="1" si="15"/>
        <v>Surfaces</v>
      </c>
      <c r="H245" cm="1">
        <f t="array" aca="1" ref="H245" ca="1">ROW(INDIRECT(A245))</f>
        <v>147</v>
      </c>
      <c r="I245" cm="1">
        <f t="array" aca="1" ref="I245" ca="1">COLUMN(INDIRECT(A245))</f>
        <v>17</v>
      </c>
      <c r="M245" t="str" cm="1">
        <f t="array" aca="1" ref="M245" ca="1">IF(AND(J245="O",ISBLANK(INDIRECT(A245))),"Valeur obligatoire non renseignée","")</f>
        <v/>
      </c>
    </row>
    <row r="246" spans="1:13" x14ac:dyDescent="0.25">
      <c r="A246" s="91" t="s">
        <v>3130</v>
      </c>
      <c r="B246" cm="1">
        <f t="array" aca="1" ref="B246" ca="1">INDIRECT(A246)</f>
        <v>0</v>
      </c>
      <c r="C246">
        <f t="shared" ca="1" si="12"/>
        <v>4</v>
      </c>
      <c r="D246" t="str" cm="1">
        <f t="array" aca="1" ref="D246" ca="1">CELL("nomfichier",INDIRECT(A246))</f>
        <v>G:\SCPE\sdc\bq\6 - Mentions valorisantes\Certification environnementale\TEXTES_REGLEMENTATION_CE\Plans_contrôle et grilles\Grille audit niveau 3\Grille d'audit v1.11\[grille-audit-hvev4-v1.11-vf.xlsx]Surfaces</v>
      </c>
      <c r="E246">
        <f t="shared" ca="1" si="13"/>
        <v>200</v>
      </c>
      <c r="F246">
        <f t="shared" ca="1" si="14"/>
        <v>208</v>
      </c>
      <c r="G246" t="str">
        <f t="shared" ca="1" si="15"/>
        <v>Surfaces</v>
      </c>
      <c r="H246" cm="1">
        <f t="array" aca="1" ref="H246" ca="1">ROW(INDIRECT(A246))</f>
        <v>148</v>
      </c>
      <c r="I246" cm="1">
        <f t="array" aca="1" ref="I246" ca="1">COLUMN(INDIRECT(A246))</f>
        <v>5</v>
      </c>
      <c r="M246" t="str" cm="1">
        <f t="array" aca="1" ref="M246" ca="1">IF(AND(J246="O",ISBLANK(INDIRECT(A246))),"Valeur obligatoire non renseignée","")</f>
        <v/>
      </c>
    </row>
    <row r="247" spans="1:13" x14ac:dyDescent="0.25">
      <c r="A247" s="91" t="s">
        <v>3145</v>
      </c>
      <c r="B247" cm="1">
        <f t="array" aca="1" ref="B247" ca="1">INDIRECT(A247)</f>
        <v>0</v>
      </c>
      <c r="C247">
        <f t="shared" ca="1" si="12"/>
        <v>4</v>
      </c>
      <c r="D247" t="str" cm="1">
        <f t="array" aca="1" ref="D247" ca="1">CELL("nomfichier",INDIRECT(A247))</f>
        <v>G:\SCPE\sdc\bq\6 - Mentions valorisantes\Certification environnementale\TEXTES_REGLEMENTATION_CE\Plans_contrôle et grilles\Grille audit niveau 3\Grille d'audit v1.11\[grille-audit-hvev4-v1.11-vf.xlsx]Surfaces</v>
      </c>
      <c r="E247">
        <f t="shared" ca="1" si="13"/>
        <v>200</v>
      </c>
      <c r="F247">
        <f t="shared" ca="1" si="14"/>
        <v>208</v>
      </c>
      <c r="G247" t="str">
        <f t="shared" ca="1" si="15"/>
        <v>Surfaces</v>
      </c>
      <c r="H247" cm="1">
        <f t="array" aca="1" ref="H247" ca="1">ROW(INDIRECT(A247))</f>
        <v>148</v>
      </c>
      <c r="I247" cm="1">
        <f t="array" aca="1" ref="I247" ca="1">COLUMN(INDIRECT(A247))</f>
        <v>15</v>
      </c>
      <c r="M247" t="str" cm="1">
        <f t="array" aca="1" ref="M247" ca="1">IF(AND(J247="O",ISBLANK(INDIRECT(A247))),"Valeur obligatoire non renseignée","")</f>
        <v/>
      </c>
    </row>
    <row r="248" spans="1:13" x14ac:dyDescent="0.25">
      <c r="A248" s="91" t="s">
        <v>3160</v>
      </c>
      <c r="B248" cm="1">
        <f t="array" aca="1" ref="B248" ca="1">INDIRECT(A248)</f>
        <v>0</v>
      </c>
      <c r="C248">
        <f t="shared" ca="1" si="12"/>
        <v>4</v>
      </c>
      <c r="D248" t="str" cm="1">
        <f t="array" aca="1" ref="D248" ca="1">CELL("nomfichier",INDIRECT(A248))</f>
        <v>G:\SCPE\sdc\bq\6 - Mentions valorisantes\Certification environnementale\TEXTES_REGLEMENTATION_CE\Plans_contrôle et grilles\Grille audit niveau 3\Grille d'audit v1.11\[grille-audit-hvev4-v1.11-vf.xlsx]Surfaces</v>
      </c>
      <c r="E248">
        <f t="shared" ca="1" si="13"/>
        <v>200</v>
      </c>
      <c r="F248">
        <f t="shared" ca="1" si="14"/>
        <v>208</v>
      </c>
      <c r="G248" t="str">
        <f t="shared" ca="1" si="15"/>
        <v>Surfaces</v>
      </c>
      <c r="H248" cm="1">
        <f t="array" aca="1" ref="H248" ca="1">ROW(INDIRECT(A248))</f>
        <v>148</v>
      </c>
      <c r="I248" cm="1">
        <f t="array" aca="1" ref="I248" ca="1">COLUMN(INDIRECT(A248))</f>
        <v>16</v>
      </c>
      <c r="M248" t="str" cm="1">
        <f t="array" aca="1" ref="M248" ca="1">IF(AND(J248="O",ISBLANK(INDIRECT(A248))),"Valeur obligatoire non renseignée","")</f>
        <v/>
      </c>
    </row>
    <row r="249" spans="1:13" x14ac:dyDescent="0.25">
      <c r="A249" s="91" t="s">
        <v>3175</v>
      </c>
      <c r="B249" cm="1">
        <f t="array" aca="1" ref="B249" ca="1">INDIRECT(A249)</f>
        <v>0</v>
      </c>
      <c r="C249">
        <f t="shared" ca="1" si="12"/>
        <v>4</v>
      </c>
      <c r="D249" t="str" cm="1">
        <f t="array" aca="1" ref="D249" ca="1">CELL("nomfichier",INDIRECT(A249))</f>
        <v>G:\SCPE\sdc\bq\6 - Mentions valorisantes\Certification environnementale\TEXTES_REGLEMENTATION_CE\Plans_contrôle et grilles\Grille audit niveau 3\Grille d'audit v1.11\[grille-audit-hvev4-v1.11-vf.xlsx]Surfaces</v>
      </c>
      <c r="E249">
        <f t="shared" ca="1" si="13"/>
        <v>200</v>
      </c>
      <c r="F249">
        <f t="shared" ca="1" si="14"/>
        <v>208</v>
      </c>
      <c r="G249" t="str">
        <f t="shared" ca="1" si="15"/>
        <v>Surfaces</v>
      </c>
      <c r="H249" cm="1">
        <f t="array" aca="1" ref="H249" ca="1">ROW(INDIRECT(A249))</f>
        <v>148</v>
      </c>
      <c r="I249" cm="1">
        <f t="array" aca="1" ref="I249" ca="1">COLUMN(INDIRECT(A249))</f>
        <v>17</v>
      </c>
      <c r="M249" t="str" cm="1">
        <f t="array" aca="1" ref="M249" ca="1">IF(AND(J249="O",ISBLANK(INDIRECT(A249))),"Valeur obligatoire non renseignée","")</f>
        <v/>
      </c>
    </row>
    <row r="250" spans="1:13" x14ac:dyDescent="0.25">
      <c r="A250" s="91" t="s">
        <v>3131</v>
      </c>
      <c r="B250" cm="1">
        <f t="array" aca="1" ref="B250" ca="1">INDIRECT(A250)</f>
        <v>0</v>
      </c>
      <c r="C250">
        <f t="shared" ca="1" si="12"/>
        <v>4</v>
      </c>
      <c r="D250" t="str" cm="1">
        <f t="array" aca="1" ref="D250" ca="1">CELL("nomfichier",INDIRECT(A250))</f>
        <v>G:\SCPE\sdc\bq\6 - Mentions valorisantes\Certification environnementale\TEXTES_REGLEMENTATION_CE\Plans_contrôle et grilles\Grille audit niveau 3\Grille d'audit v1.11\[grille-audit-hvev4-v1.11-vf.xlsx]Surfaces</v>
      </c>
      <c r="E250">
        <f t="shared" ca="1" si="13"/>
        <v>200</v>
      </c>
      <c r="F250">
        <f t="shared" ca="1" si="14"/>
        <v>208</v>
      </c>
      <c r="G250" t="str">
        <f t="shared" ca="1" si="15"/>
        <v>Surfaces</v>
      </c>
      <c r="H250" cm="1">
        <f t="array" aca="1" ref="H250" ca="1">ROW(INDIRECT(A250))</f>
        <v>149</v>
      </c>
      <c r="I250" cm="1">
        <f t="array" aca="1" ref="I250" ca="1">COLUMN(INDIRECT(A250))</f>
        <v>5</v>
      </c>
      <c r="M250" t="str" cm="1">
        <f t="array" aca="1" ref="M250" ca="1">IF(AND(J250="O",ISBLANK(INDIRECT(A250))),"Valeur obligatoire non renseignée","")</f>
        <v/>
      </c>
    </row>
    <row r="251" spans="1:13" x14ac:dyDescent="0.25">
      <c r="A251" s="91" t="s">
        <v>3146</v>
      </c>
      <c r="B251" cm="1">
        <f t="array" aca="1" ref="B251" ca="1">INDIRECT(A251)</f>
        <v>0</v>
      </c>
      <c r="C251">
        <f t="shared" ca="1" si="12"/>
        <v>4</v>
      </c>
      <c r="D251" t="str" cm="1">
        <f t="array" aca="1" ref="D251" ca="1">CELL("nomfichier",INDIRECT(A251))</f>
        <v>G:\SCPE\sdc\bq\6 - Mentions valorisantes\Certification environnementale\TEXTES_REGLEMENTATION_CE\Plans_contrôle et grilles\Grille audit niveau 3\Grille d'audit v1.11\[grille-audit-hvev4-v1.11-vf.xlsx]Surfaces</v>
      </c>
      <c r="E251">
        <f t="shared" ca="1" si="13"/>
        <v>200</v>
      </c>
      <c r="F251">
        <f t="shared" ca="1" si="14"/>
        <v>208</v>
      </c>
      <c r="G251" t="str">
        <f t="shared" ca="1" si="15"/>
        <v>Surfaces</v>
      </c>
      <c r="H251" cm="1">
        <f t="array" aca="1" ref="H251" ca="1">ROW(INDIRECT(A251))</f>
        <v>149</v>
      </c>
      <c r="I251" cm="1">
        <f t="array" aca="1" ref="I251" ca="1">COLUMN(INDIRECT(A251))</f>
        <v>15</v>
      </c>
      <c r="M251" t="str" cm="1">
        <f t="array" aca="1" ref="M251" ca="1">IF(AND(J251="O",ISBLANK(INDIRECT(A251))),"Valeur obligatoire non renseignée","")</f>
        <v/>
      </c>
    </row>
    <row r="252" spans="1:13" x14ac:dyDescent="0.25">
      <c r="A252" s="91" t="s">
        <v>3161</v>
      </c>
      <c r="B252" cm="1">
        <f t="array" aca="1" ref="B252" ca="1">INDIRECT(A252)</f>
        <v>0</v>
      </c>
      <c r="C252">
        <f t="shared" ca="1" si="12"/>
        <v>4</v>
      </c>
      <c r="D252" t="str" cm="1">
        <f t="array" aca="1" ref="D252" ca="1">CELL("nomfichier",INDIRECT(A252))</f>
        <v>G:\SCPE\sdc\bq\6 - Mentions valorisantes\Certification environnementale\TEXTES_REGLEMENTATION_CE\Plans_contrôle et grilles\Grille audit niveau 3\Grille d'audit v1.11\[grille-audit-hvev4-v1.11-vf.xlsx]Surfaces</v>
      </c>
      <c r="E252">
        <f t="shared" ca="1" si="13"/>
        <v>200</v>
      </c>
      <c r="F252">
        <f t="shared" ca="1" si="14"/>
        <v>208</v>
      </c>
      <c r="G252" t="str">
        <f t="shared" ca="1" si="15"/>
        <v>Surfaces</v>
      </c>
      <c r="H252" cm="1">
        <f t="array" aca="1" ref="H252" ca="1">ROW(INDIRECT(A252))</f>
        <v>149</v>
      </c>
      <c r="I252" cm="1">
        <f t="array" aca="1" ref="I252" ca="1">COLUMN(INDIRECT(A252))</f>
        <v>16</v>
      </c>
      <c r="M252" t="str" cm="1">
        <f t="array" aca="1" ref="M252" ca="1">IF(AND(J252="O",ISBLANK(INDIRECT(A252))),"Valeur obligatoire non renseignée","")</f>
        <v/>
      </c>
    </row>
    <row r="253" spans="1:13" x14ac:dyDescent="0.25">
      <c r="A253" s="91" t="s">
        <v>3176</v>
      </c>
      <c r="B253" cm="1">
        <f t="array" aca="1" ref="B253" ca="1">INDIRECT(A253)</f>
        <v>0</v>
      </c>
      <c r="C253">
        <f t="shared" ca="1" si="12"/>
        <v>4</v>
      </c>
      <c r="D253" t="str" cm="1">
        <f t="array" aca="1" ref="D253" ca="1">CELL("nomfichier",INDIRECT(A253))</f>
        <v>G:\SCPE\sdc\bq\6 - Mentions valorisantes\Certification environnementale\TEXTES_REGLEMENTATION_CE\Plans_contrôle et grilles\Grille audit niveau 3\Grille d'audit v1.11\[grille-audit-hvev4-v1.11-vf.xlsx]Surfaces</v>
      </c>
      <c r="E253">
        <f t="shared" ca="1" si="13"/>
        <v>200</v>
      </c>
      <c r="F253">
        <f t="shared" ca="1" si="14"/>
        <v>208</v>
      </c>
      <c r="G253" t="str">
        <f t="shared" ca="1" si="15"/>
        <v>Surfaces</v>
      </c>
      <c r="H253" cm="1">
        <f t="array" aca="1" ref="H253" ca="1">ROW(INDIRECT(A253))</f>
        <v>149</v>
      </c>
      <c r="I253" cm="1">
        <f t="array" aca="1" ref="I253" ca="1">COLUMN(INDIRECT(A253))</f>
        <v>17</v>
      </c>
      <c r="M253" t="str" cm="1">
        <f t="array" aca="1" ref="M253" ca="1">IF(AND(J253="O",ISBLANK(INDIRECT(A253))),"Valeur obligatoire non renseignée","")</f>
        <v/>
      </c>
    </row>
    <row r="254" spans="1:13" x14ac:dyDescent="0.25">
      <c r="A254" s="91" t="s">
        <v>3132</v>
      </c>
      <c r="B254" cm="1">
        <f t="array" aca="1" ref="B254" ca="1">INDIRECT(A254)</f>
        <v>0</v>
      </c>
      <c r="C254">
        <f t="shared" ca="1" si="12"/>
        <v>4</v>
      </c>
      <c r="D254" t="str" cm="1">
        <f t="array" aca="1" ref="D254" ca="1">CELL("nomfichier",INDIRECT(A254))</f>
        <v>G:\SCPE\sdc\bq\6 - Mentions valorisantes\Certification environnementale\TEXTES_REGLEMENTATION_CE\Plans_contrôle et grilles\Grille audit niveau 3\Grille d'audit v1.11\[grille-audit-hvev4-v1.11-vf.xlsx]Surfaces</v>
      </c>
      <c r="E254">
        <f t="shared" ca="1" si="13"/>
        <v>200</v>
      </c>
      <c r="F254">
        <f t="shared" ca="1" si="14"/>
        <v>208</v>
      </c>
      <c r="G254" t="str">
        <f t="shared" ca="1" si="15"/>
        <v>Surfaces</v>
      </c>
      <c r="H254" cm="1">
        <f t="array" aca="1" ref="H254" ca="1">ROW(INDIRECT(A254))</f>
        <v>150</v>
      </c>
      <c r="I254" cm="1">
        <f t="array" aca="1" ref="I254" ca="1">COLUMN(INDIRECT(A254))</f>
        <v>5</v>
      </c>
      <c r="M254" t="str" cm="1">
        <f t="array" aca="1" ref="M254" ca="1">IF(AND(J254="O",ISBLANK(INDIRECT(A254))),"Valeur obligatoire non renseignée","")</f>
        <v/>
      </c>
    </row>
    <row r="255" spans="1:13" x14ac:dyDescent="0.25">
      <c r="A255" s="91" t="s">
        <v>3147</v>
      </c>
      <c r="B255" cm="1">
        <f t="array" aca="1" ref="B255" ca="1">INDIRECT(A255)</f>
        <v>0</v>
      </c>
      <c r="C255">
        <f t="shared" ca="1" si="12"/>
        <v>4</v>
      </c>
      <c r="D255" t="str" cm="1">
        <f t="array" aca="1" ref="D255" ca="1">CELL("nomfichier",INDIRECT(A255))</f>
        <v>G:\SCPE\sdc\bq\6 - Mentions valorisantes\Certification environnementale\TEXTES_REGLEMENTATION_CE\Plans_contrôle et grilles\Grille audit niveau 3\Grille d'audit v1.11\[grille-audit-hvev4-v1.11-vf.xlsx]Surfaces</v>
      </c>
      <c r="E255">
        <f t="shared" ca="1" si="13"/>
        <v>200</v>
      </c>
      <c r="F255">
        <f t="shared" ca="1" si="14"/>
        <v>208</v>
      </c>
      <c r="G255" t="str">
        <f t="shared" ca="1" si="15"/>
        <v>Surfaces</v>
      </c>
      <c r="H255" cm="1">
        <f t="array" aca="1" ref="H255" ca="1">ROW(INDIRECT(A255))</f>
        <v>150</v>
      </c>
      <c r="I255" cm="1">
        <f t="array" aca="1" ref="I255" ca="1">COLUMN(INDIRECT(A255))</f>
        <v>15</v>
      </c>
      <c r="M255" t="str" cm="1">
        <f t="array" aca="1" ref="M255" ca="1">IF(AND(J255="O",ISBLANK(INDIRECT(A255))),"Valeur obligatoire non renseignée","")</f>
        <v/>
      </c>
    </row>
    <row r="256" spans="1:13" x14ac:dyDescent="0.25">
      <c r="A256" s="91" t="s">
        <v>3162</v>
      </c>
      <c r="B256" cm="1">
        <f t="array" aca="1" ref="B256" ca="1">INDIRECT(A256)</f>
        <v>0</v>
      </c>
      <c r="C256">
        <f t="shared" ca="1" si="12"/>
        <v>4</v>
      </c>
      <c r="D256" t="str" cm="1">
        <f t="array" aca="1" ref="D256" ca="1">CELL("nomfichier",INDIRECT(A256))</f>
        <v>G:\SCPE\sdc\bq\6 - Mentions valorisantes\Certification environnementale\TEXTES_REGLEMENTATION_CE\Plans_contrôle et grilles\Grille audit niveau 3\Grille d'audit v1.11\[grille-audit-hvev4-v1.11-vf.xlsx]Surfaces</v>
      </c>
      <c r="E256">
        <f t="shared" ca="1" si="13"/>
        <v>200</v>
      </c>
      <c r="F256">
        <f t="shared" ca="1" si="14"/>
        <v>208</v>
      </c>
      <c r="G256" t="str">
        <f t="shared" ca="1" si="15"/>
        <v>Surfaces</v>
      </c>
      <c r="H256" cm="1">
        <f t="array" aca="1" ref="H256" ca="1">ROW(INDIRECT(A256))</f>
        <v>150</v>
      </c>
      <c r="I256" cm="1">
        <f t="array" aca="1" ref="I256" ca="1">COLUMN(INDIRECT(A256))</f>
        <v>16</v>
      </c>
      <c r="M256" t="str" cm="1">
        <f t="array" aca="1" ref="M256" ca="1">IF(AND(J256="O",ISBLANK(INDIRECT(A256))),"Valeur obligatoire non renseignée","")</f>
        <v/>
      </c>
    </row>
    <row r="257" spans="1:13" x14ac:dyDescent="0.25">
      <c r="A257" s="91" t="s">
        <v>3177</v>
      </c>
      <c r="B257" cm="1">
        <f t="array" aca="1" ref="B257" ca="1">INDIRECT(A257)</f>
        <v>0</v>
      </c>
      <c r="C257">
        <f t="shared" ca="1" si="12"/>
        <v>4</v>
      </c>
      <c r="D257" t="str" cm="1">
        <f t="array" aca="1" ref="D257" ca="1">CELL("nomfichier",INDIRECT(A257))</f>
        <v>G:\SCPE\sdc\bq\6 - Mentions valorisantes\Certification environnementale\TEXTES_REGLEMENTATION_CE\Plans_contrôle et grilles\Grille audit niveau 3\Grille d'audit v1.11\[grille-audit-hvev4-v1.11-vf.xlsx]Surfaces</v>
      </c>
      <c r="E257">
        <f t="shared" ca="1" si="13"/>
        <v>200</v>
      </c>
      <c r="F257">
        <f t="shared" ca="1" si="14"/>
        <v>208</v>
      </c>
      <c r="G257" t="str">
        <f t="shared" ca="1" si="15"/>
        <v>Surfaces</v>
      </c>
      <c r="H257" cm="1">
        <f t="array" aca="1" ref="H257" ca="1">ROW(INDIRECT(A257))</f>
        <v>150</v>
      </c>
      <c r="I257" cm="1">
        <f t="array" aca="1" ref="I257" ca="1">COLUMN(INDIRECT(A257))</f>
        <v>17</v>
      </c>
      <c r="M257" t="str" cm="1">
        <f t="array" aca="1" ref="M257" ca="1">IF(AND(J257="O",ISBLANK(INDIRECT(A257))),"Valeur obligatoire non renseignée","")</f>
        <v/>
      </c>
    </row>
    <row r="258" spans="1:13" x14ac:dyDescent="0.25">
      <c r="A258" s="91" t="s">
        <v>3133</v>
      </c>
      <c r="B258" cm="1">
        <f t="array" aca="1" ref="B258" ca="1">INDIRECT(A258)</f>
        <v>0</v>
      </c>
      <c r="C258">
        <f t="shared" ref="C258:C321" ca="1" si="16">_xlfn.SHEET(INDIRECT(A258))</f>
        <v>4</v>
      </c>
      <c r="D258" t="str" cm="1">
        <f t="array" aca="1" ref="D258" ca="1">CELL("nomfichier",INDIRECT(A258))</f>
        <v>G:\SCPE\sdc\bq\6 - Mentions valorisantes\Certification environnementale\TEXTES_REGLEMENTATION_CE\Plans_contrôle et grilles\Grille audit niveau 3\Grille d'audit v1.11\[grille-audit-hvev4-v1.11-vf.xlsx]Surfaces</v>
      </c>
      <c r="E258">
        <f t="shared" ref="E258:E321" ca="1" si="17">FIND("]",D258)</f>
        <v>200</v>
      </c>
      <c r="F258">
        <f t="shared" ref="F258:F321" ca="1" si="18">LEN(D258)</f>
        <v>208</v>
      </c>
      <c r="G258" t="str">
        <f t="shared" ref="G258:G321" ca="1" si="19">RIGHT(D258,F258-E258)</f>
        <v>Surfaces</v>
      </c>
      <c r="H258" cm="1">
        <f t="array" aca="1" ref="H258" ca="1">ROW(INDIRECT(A258))</f>
        <v>151</v>
      </c>
      <c r="I258" cm="1">
        <f t="array" aca="1" ref="I258" ca="1">COLUMN(INDIRECT(A258))</f>
        <v>5</v>
      </c>
      <c r="M258" t="str" cm="1">
        <f t="array" aca="1" ref="M258" ca="1">IF(AND(J258="O",ISBLANK(INDIRECT(A258))),"Valeur obligatoire non renseignée","")</f>
        <v/>
      </c>
    </row>
    <row r="259" spans="1:13" x14ac:dyDescent="0.25">
      <c r="A259" s="91" t="s">
        <v>3148</v>
      </c>
      <c r="B259" cm="1">
        <f t="array" aca="1" ref="B259" ca="1">INDIRECT(A259)</f>
        <v>0</v>
      </c>
      <c r="C259">
        <f t="shared" ca="1" si="16"/>
        <v>4</v>
      </c>
      <c r="D259" t="str" cm="1">
        <f t="array" aca="1" ref="D259" ca="1">CELL("nomfichier",INDIRECT(A259))</f>
        <v>G:\SCPE\sdc\bq\6 - Mentions valorisantes\Certification environnementale\TEXTES_REGLEMENTATION_CE\Plans_contrôle et grilles\Grille audit niveau 3\Grille d'audit v1.11\[grille-audit-hvev4-v1.11-vf.xlsx]Surfaces</v>
      </c>
      <c r="E259">
        <f t="shared" ca="1" si="17"/>
        <v>200</v>
      </c>
      <c r="F259">
        <f t="shared" ca="1" si="18"/>
        <v>208</v>
      </c>
      <c r="G259" t="str">
        <f t="shared" ca="1" si="19"/>
        <v>Surfaces</v>
      </c>
      <c r="H259" cm="1">
        <f t="array" aca="1" ref="H259" ca="1">ROW(INDIRECT(A259))</f>
        <v>151</v>
      </c>
      <c r="I259" cm="1">
        <f t="array" aca="1" ref="I259" ca="1">COLUMN(INDIRECT(A259))</f>
        <v>15</v>
      </c>
      <c r="M259" t="str" cm="1">
        <f t="array" aca="1" ref="M259" ca="1">IF(AND(J259="O",ISBLANK(INDIRECT(A259))),"Valeur obligatoire non renseignée","")</f>
        <v/>
      </c>
    </row>
    <row r="260" spans="1:13" x14ac:dyDescent="0.25">
      <c r="A260" s="91" t="s">
        <v>3163</v>
      </c>
      <c r="B260" cm="1">
        <f t="array" aca="1" ref="B260" ca="1">INDIRECT(A260)</f>
        <v>0</v>
      </c>
      <c r="C260">
        <f t="shared" ca="1" si="16"/>
        <v>4</v>
      </c>
      <c r="D260" t="str" cm="1">
        <f t="array" aca="1" ref="D260" ca="1">CELL("nomfichier",INDIRECT(A260))</f>
        <v>G:\SCPE\sdc\bq\6 - Mentions valorisantes\Certification environnementale\TEXTES_REGLEMENTATION_CE\Plans_contrôle et grilles\Grille audit niveau 3\Grille d'audit v1.11\[grille-audit-hvev4-v1.11-vf.xlsx]Surfaces</v>
      </c>
      <c r="E260">
        <f t="shared" ca="1" si="17"/>
        <v>200</v>
      </c>
      <c r="F260">
        <f t="shared" ca="1" si="18"/>
        <v>208</v>
      </c>
      <c r="G260" t="str">
        <f t="shared" ca="1" si="19"/>
        <v>Surfaces</v>
      </c>
      <c r="H260" cm="1">
        <f t="array" aca="1" ref="H260" ca="1">ROW(INDIRECT(A260))</f>
        <v>151</v>
      </c>
      <c r="I260" cm="1">
        <f t="array" aca="1" ref="I260" ca="1">COLUMN(INDIRECT(A260))</f>
        <v>16</v>
      </c>
      <c r="M260" t="str" cm="1">
        <f t="array" aca="1" ref="M260" ca="1">IF(AND(J260="O",ISBLANK(INDIRECT(A260))),"Valeur obligatoire non renseignée","")</f>
        <v/>
      </c>
    </row>
    <row r="261" spans="1:13" x14ac:dyDescent="0.25">
      <c r="A261" s="91" t="s">
        <v>3178</v>
      </c>
      <c r="B261" cm="1">
        <f t="array" aca="1" ref="B261" ca="1">INDIRECT(A261)</f>
        <v>0</v>
      </c>
      <c r="C261">
        <f t="shared" ca="1" si="16"/>
        <v>4</v>
      </c>
      <c r="D261" t="str" cm="1">
        <f t="array" aca="1" ref="D261" ca="1">CELL("nomfichier",INDIRECT(A261))</f>
        <v>G:\SCPE\sdc\bq\6 - Mentions valorisantes\Certification environnementale\TEXTES_REGLEMENTATION_CE\Plans_contrôle et grilles\Grille audit niveau 3\Grille d'audit v1.11\[grille-audit-hvev4-v1.11-vf.xlsx]Surfaces</v>
      </c>
      <c r="E261">
        <f t="shared" ca="1" si="17"/>
        <v>200</v>
      </c>
      <c r="F261">
        <f t="shared" ca="1" si="18"/>
        <v>208</v>
      </c>
      <c r="G261" t="str">
        <f t="shared" ca="1" si="19"/>
        <v>Surfaces</v>
      </c>
      <c r="H261" cm="1">
        <f t="array" aca="1" ref="H261" ca="1">ROW(INDIRECT(A261))</f>
        <v>151</v>
      </c>
      <c r="I261" cm="1">
        <f t="array" aca="1" ref="I261" ca="1">COLUMN(INDIRECT(A261))</f>
        <v>17</v>
      </c>
      <c r="M261" t="str" cm="1">
        <f t="array" aca="1" ref="M261" ca="1">IF(AND(J261="O",ISBLANK(INDIRECT(A261))),"Valeur obligatoire non renseignée","")</f>
        <v/>
      </c>
    </row>
    <row r="262" spans="1:13" x14ac:dyDescent="0.25">
      <c r="A262" s="91" t="s">
        <v>3134</v>
      </c>
      <c r="B262" cm="1">
        <f t="array" aca="1" ref="B262" ca="1">INDIRECT(A262)</f>
        <v>0</v>
      </c>
      <c r="C262">
        <f t="shared" ca="1" si="16"/>
        <v>4</v>
      </c>
      <c r="D262" t="str" cm="1">
        <f t="array" aca="1" ref="D262" ca="1">CELL("nomfichier",INDIRECT(A262))</f>
        <v>G:\SCPE\sdc\bq\6 - Mentions valorisantes\Certification environnementale\TEXTES_REGLEMENTATION_CE\Plans_contrôle et grilles\Grille audit niveau 3\Grille d'audit v1.11\[grille-audit-hvev4-v1.11-vf.xlsx]Surfaces</v>
      </c>
      <c r="E262">
        <f t="shared" ca="1" si="17"/>
        <v>200</v>
      </c>
      <c r="F262">
        <f t="shared" ca="1" si="18"/>
        <v>208</v>
      </c>
      <c r="G262" t="str">
        <f t="shared" ca="1" si="19"/>
        <v>Surfaces</v>
      </c>
      <c r="H262" cm="1">
        <f t="array" aca="1" ref="H262" ca="1">ROW(INDIRECT(A262))</f>
        <v>152</v>
      </c>
      <c r="I262" cm="1">
        <f t="array" aca="1" ref="I262" ca="1">COLUMN(INDIRECT(A262))</f>
        <v>5</v>
      </c>
      <c r="M262" t="str" cm="1">
        <f t="array" aca="1" ref="M262" ca="1">IF(AND(J262="O",ISBLANK(INDIRECT(A262))),"Valeur obligatoire non renseignée","")</f>
        <v/>
      </c>
    </row>
    <row r="263" spans="1:13" x14ac:dyDescent="0.25">
      <c r="A263" s="91" t="s">
        <v>3149</v>
      </c>
      <c r="B263" cm="1">
        <f t="array" aca="1" ref="B263" ca="1">INDIRECT(A263)</f>
        <v>0</v>
      </c>
      <c r="C263">
        <f t="shared" ca="1" si="16"/>
        <v>4</v>
      </c>
      <c r="D263" t="str" cm="1">
        <f t="array" aca="1" ref="D263" ca="1">CELL("nomfichier",INDIRECT(A263))</f>
        <v>G:\SCPE\sdc\bq\6 - Mentions valorisantes\Certification environnementale\TEXTES_REGLEMENTATION_CE\Plans_contrôle et grilles\Grille audit niveau 3\Grille d'audit v1.11\[grille-audit-hvev4-v1.11-vf.xlsx]Surfaces</v>
      </c>
      <c r="E263">
        <f t="shared" ca="1" si="17"/>
        <v>200</v>
      </c>
      <c r="F263">
        <f t="shared" ca="1" si="18"/>
        <v>208</v>
      </c>
      <c r="G263" t="str">
        <f t="shared" ca="1" si="19"/>
        <v>Surfaces</v>
      </c>
      <c r="H263" cm="1">
        <f t="array" aca="1" ref="H263" ca="1">ROW(INDIRECT(A263))</f>
        <v>152</v>
      </c>
      <c r="I263" cm="1">
        <f t="array" aca="1" ref="I263" ca="1">COLUMN(INDIRECT(A263))</f>
        <v>15</v>
      </c>
      <c r="M263" t="str" cm="1">
        <f t="array" aca="1" ref="M263" ca="1">IF(AND(J263="O",ISBLANK(INDIRECT(A263))),"Valeur obligatoire non renseignée","")</f>
        <v/>
      </c>
    </row>
    <row r="264" spans="1:13" x14ac:dyDescent="0.25">
      <c r="A264" s="91" t="s">
        <v>3164</v>
      </c>
      <c r="B264" cm="1">
        <f t="array" aca="1" ref="B264" ca="1">INDIRECT(A264)</f>
        <v>0</v>
      </c>
      <c r="C264">
        <f t="shared" ca="1" si="16"/>
        <v>4</v>
      </c>
      <c r="D264" t="str" cm="1">
        <f t="array" aca="1" ref="D264" ca="1">CELL("nomfichier",INDIRECT(A264))</f>
        <v>G:\SCPE\sdc\bq\6 - Mentions valorisantes\Certification environnementale\TEXTES_REGLEMENTATION_CE\Plans_contrôle et grilles\Grille audit niveau 3\Grille d'audit v1.11\[grille-audit-hvev4-v1.11-vf.xlsx]Surfaces</v>
      </c>
      <c r="E264">
        <f t="shared" ca="1" si="17"/>
        <v>200</v>
      </c>
      <c r="F264">
        <f t="shared" ca="1" si="18"/>
        <v>208</v>
      </c>
      <c r="G264" t="str">
        <f t="shared" ca="1" si="19"/>
        <v>Surfaces</v>
      </c>
      <c r="H264" cm="1">
        <f t="array" aca="1" ref="H264" ca="1">ROW(INDIRECT(A264))</f>
        <v>152</v>
      </c>
      <c r="I264" cm="1">
        <f t="array" aca="1" ref="I264" ca="1">COLUMN(INDIRECT(A264))</f>
        <v>16</v>
      </c>
      <c r="M264" t="str" cm="1">
        <f t="array" aca="1" ref="M264" ca="1">IF(AND(J264="O",ISBLANK(INDIRECT(A264))),"Valeur obligatoire non renseignée","")</f>
        <v/>
      </c>
    </row>
    <row r="265" spans="1:13" x14ac:dyDescent="0.25">
      <c r="A265" s="91" t="s">
        <v>3179</v>
      </c>
      <c r="B265" cm="1">
        <f t="array" aca="1" ref="B265" ca="1">INDIRECT(A265)</f>
        <v>0</v>
      </c>
      <c r="C265">
        <f t="shared" ca="1" si="16"/>
        <v>4</v>
      </c>
      <c r="D265" t="str" cm="1">
        <f t="array" aca="1" ref="D265" ca="1">CELL("nomfichier",INDIRECT(A265))</f>
        <v>G:\SCPE\sdc\bq\6 - Mentions valorisantes\Certification environnementale\TEXTES_REGLEMENTATION_CE\Plans_contrôle et grilles\Grille audit niveau 3\Grille d'audit v1.11\[grille-audit-hvev4-v1.11-vf.xlsx]Surfaces</v>
      </c>
      <c r="E265">
        <f t="shared" ca="1" si="17"/>
        <v>200</v>
      </c>
      <c r="F265">
        <f t="shared" ca="1" si="18"/>
        <v>208</v>
      </c>
      <c r="G265" t="str">
        <f t="shared" ca="1" si="19"/>
        <v>Surfaces</v>
      </c>
      <c r="H265" cm="1">
        <f t="array" aca="1" ref="H265" ca="1">ROW(INDIRECT(A265))</f>
        <v>152</v>
      </c>
      <c r="I265" cm="1">
        <f t="array" aca="1" ref="I265" ca="1">COLUMN(INDIRECT(A265))</f>
        <v>17</v>
      </c>
      <c r="M265" t="str" cm="1">
        <f t="array" aca="1" ref="M265" ca="1">IF(AND(J265="O",ISBLANK(INDIRECT(A265))),"Valeur obligatoire non renseignée","")</f>
        <v/>
      </c>
    </row>
    <row r="266" spans="1:13" x14ac:dyDescent="0.25">
      <c r="A266" s="91" t="s">
        <v>3135</v>
      </c>
      <c r="B266" cm="1">
        <f t="array" aca="1" ref="B266" ca="1">INDIRECT(A266)</f>
        <v>0</v>
      </c>
      <c r="C266">
        <f t="shared" ca="1" si="16"/>
        <v>4</v>
      </c>
      <c r="D266" t="str" cm="1">
        <f t="array" aca="1" ref="D266" ca="1">CELL("nomfichier",INDIRECT(A266))</f>
        <v>G:\SCPE\sdc\bq\6 - Mentions valorisantes\Certification environnementale\TEXTES_REGLEMENTATION_CE\Plans_contrôle et grilles\Grille audit niveau 3\Grille d'audit v1.11\[grille-audit-hvev4-v1.11-vf.xlsx]Surfaces</v>
      </c>
      <c r="E266">
        <f t="shared" ca="1" si="17"/>
        <v>200</v>
      </c>
      <c r="F266">
        <f t="shared" ca="1" si="18"/>
        <v>208</v>
      </c>
      <c r="G266" t="str">
        <f t="shared" ca="1" si="19"/>
        <v>Surfaces</v>
      </c>
      <c r="H266" cm="1">
        <f t="array" aca="1" ref="H266" ca="1">ROW(INDIRECT(A266))</f>
        <v>153</v>
      </c>
      <c r="I266" cm="1">
        <f t="array" aca="1" ref="I266" ca="1">COLUMN(INDIRECT(A266))</f>
        <v>5</v>
      </c>
      <c r="M266" t="str" cm="1">
        <f t="array" aca="1" ref="M266" ca="1">IF(AND(J266="O",ISBLANK(INDIRECT(A266))),"Valeur obligatoire non renseignée","")</f>
        <v/>
      </c>
    </row>
    <row r="267" spans="1:13" x14ac:dyDescent="0.25">
      <c r="A267" s="91" t="s">
        <v>3150</v>
      </c>
      <c r="B267" cm="1">
        <f t="array" aca="1" ref="B267" ca="1">INDIRECT(A267)</f>
        <v>0</v>
      </c>
      <c r="C267">
        <f t="shared" ca="1" si="16"/>
        <v>4</v>
      </c>
      <c r="D267" t="str" cm="1">
        <f t="array" aca="1" ref="D267" ca="1">CELL("nomfichier",INDIRECT(A267))</f>
        <v>G:\SCPE\sdc\bq\6 - Mentions valorisantes\Certification environnementale\TEXTES_REGLEMENTATION_CE\Plans_contrôle et grilles\Grille audit niveau 3\Grille d'audit v1.11\[grille-audit-hvev4-v1.11-vf.xlsx]Surfaces</v>
      </c>
      <c r="E267">
        <f t="shared" ca="1" si="17"/>
        <v>200</v>
      </c>
      <c r="F267">
        <f t="shared" ca="1" si="18"/>
        <v>208</v>
      </c>
      <c r="G267" t="str">
        <f t="shared" ca="1" si="19"/>
        <v>Surfaces</v>
      </c>
      <c r="H267" cm="1">
        <f t="array" aca="1" ref="H267" ca="1">ROW(INDIRECT(A267))</f>
        <v>153</v>
      </c>
      <c r="I267" cm="1">
        <f t="array" aca="1" ref="I267" ca="1">COLUMN(INDIRECT(A267))</f>
        <v>15</v>
      </c>
      <c r="M267" t="str" cm="1">
        <f t="array" aca="1" ref="M267" ca="1">IF(AND(J267="O",ISBLANK(INDIRECT(A267))),"Valeur obligatoire non renseignée","")</f>
        <v/>
      </c>
    </row>
    <row r="268" spans="1:13" x14ac:dyDescent="0.25">
      <c r="A268" s="91" t="s">
        <v>3165</v>
      </c>
      <c r="B268" cm="1">
        <f t="array" aca="1" ref="B268" ca="1">INDIRECT(A268)</f>
        <v>0</v>
      </c>
      <c r="C268">
        <f t="shared" ca="1" si="16"/>
        <v>4</v>
      </c>
      <c r="D268" t="str" cm="1">
        <f t="array" aca="1" ref="D268" ca="1">CELL("nomfichier",INDIRECT(A268))</f>
        <v>G:\SCPE\sdc\bq\6 - Mentions valorisantes\Certification environnementale\TEXTES_REGLEMENTATION_CE\Plans_contrôle et grilles\Grille audit niveau 3\Grille d'audit v1.11\[grille-audit-hvev4-v1.11-vf.xlsx]Surfaces</v>
      </c>
      <c r="E268">
        <f t="shared" ca="1" si="17"/>
        <v>200</v>
      </c>
      <c r="F268">
        <f t="shared" ca="1" si="18"/>
        <v>208</v>
      </c>
      <c r="G268" t="str">
        <f t="shared" ca="1" si="19"/>
        <v>Surfaces</v>
      </c>
      <c r="H268" cm="1">
        <f t="array" aca="1" ref="H268" ca="1">ROW(INDIRECT(A268))</f>
        <v>153</v>
      </c>
      <c r="I268" cm="1">
        <f t="array" aca="1" ref="I268" ca="1">COLUMN(INDIRECT(A268))</f>
        <v>16</v>
      </c>
      <c r="M268" t="str" cm="1">
        <f t="array" aca="1" ref="M268" ca="1">IF(AND(J268="O",ISBLANK(INDIRECT(A268))),"Valeur obligatoire non renseignée","")</f>
        <v/>
      </c>
    </row>
    <row r="269" spans="1:13" x14ac:dyDescent="0.25">
      <c r="A269" s="91" t="s">
        <v>3180</v>
      </c>
      <c r="B269" cm="1">
        <f t="array" aca="1" ref="B269" ca="1">INDIRECT(A269)</f>
        <v>0</v>
      </c>
      <c r="C269">
        <f t="shared" ca="1" si="16"/>
        <v>4</v>
      </c>
      <c r="D269" t="str" cm="1">
        <f t="array" aca="1" ref="D269" ca="1">CELL("nomfichier",INDIRECT(A269))</f>
        <v>G:\SCPE\sdc\bq\6 - Mentions valorisantes\Certification environnementale\TEXTES_REGLEMENTATION_CE\Plans_contrôle et grilles\Grille audit niveau 3\Grille d'audit v1.11\[grille-audit-hvev4-v1.11-vf.xlsx]Surfaces</v>
      </c>
      <c r="E269">
        <f t="shared" ca="1" si="17"/>
        <v>200</v>
      </c>
      <c r="F269">
        <f t="shared" ca="1" si="18"/>
        <v>208</v>
      </c>
      <c r="G269" t="str">
        <f t="shared" ca="1" si="19"/>
        <v>Surfaces</v>
      </c>
      <c r="H269" cm="1">
        <f t="array" aca="1" ref="H269" ca="1">ROW(INDIRECT(A269))</f>
        <v>153</v>
      </c>
      <c r="I269" cm="1">
        <f t="array" aca="1" ref="I269" ca="1">COLUMN(INDIRECT(A269))</f>
        <v>17</v>
      </c>
      <c r="M269" t="str" cm="1">
        <f t="array" aca="1" ref="M269" ca="1">IF(AND(J269="O",ISBLANK(INDIRECT(A269))),"Valeur obligatoire non renseignée","")</f>
        <v/>
      </c>
    </row>
    <row r="270" spans="1:13" x14ac:dyDescent="0.25">
      <c r="A270" s="91" t="s">
        <v>3136</v>
      </c>
      <c r="B270" cm="1">
        <f t="array" aca="1" ref="B270" ca="1">INDIRECT(A270)</f>
        <v>0</v>
      </c>
      <c r="C270">
        <f t="shared" ca="1" si="16"/>
        <v>4</v>
      </c>
      <c r="D270" t="str" cm="1">
        <f t="array" aca="1" ref="D270" ca="1">CELL("nomfichier",INDIRECT(A270))</f>
        <v>G:\SCPE\sdc\bq\6 - Mentions valorisantes\Certification environnementale\TEXTES_REGLEMENTATION_CE\Plans_contrôle et grilles\Grille audit niveau 3\Grille d'audit v1.11\[grille-audit-hvev4-v1.11-vf.xlsx]Surfaces</v>
      </c>
      <c r="E270">
        <f t="shared" ca="1" si="17"/>
        <v>200</v>
      </c>
      <c r="F270">
        <f t="shared" ca="1" si="18"/>
        <v>208</v>
      </c>
      <c r="G270" t="str">
        <f t="shared" ca="1" si="19"/>
        <v>Surfaces</v>
      </c>
      <c r="H270" cm="1">
        <f t="array" aca="1" ref="H270" ca="1">ROW(INDIRECT(A270))</f>
        <v>154</v>
      </c>
      <c r="I270" cm="1">
        <f t="array" aca="1" ref="I270" ca="1">COLUMN(INDIRECT(A270))</f>
        <v>5</v>
      </c>
      <c r="M270" t="str" cm="1">
        <f t="array" aca="1" ref="M270" ca="1">IF(AND(J270="O",ISBLANK(INDIRECT(A270))),"Valeur obligatoire non renseignée","")</f>
        <v/>
      </c>
    </row>
    <row r="271" spans="1:13" x14ac:dyDescent="0.25">
      <c r="A271" s="91" t="s">
        <v>3151</v>
      </c>
      <c r="B271" cm="1">
        <f t="array" aca="1" ref="B271" ca="1">INDIRECT(A271)</f>
        <v>0</v>
      </c>
      <c r="C271">
        <f t="shared" ca="1" si="16"/>
        <v>4</v>
      </c>
      <c r="D271" t="str" cm="1">
        <f t="array" aca="1" ref="D271" ca="1">CELL("nomfichier",INDIRECT(A271))</f>
        <v>G:\SCPE\sdc\bq\6 - Mentions valorisantes\Certification environnementale\TEXTES_REGLEMENTATION_CE\Plans_contrôle et grilles\Grille audit niveau 3\Grille d'audit v1.11\[grille-audit-hvev4-v1.11-vf.xlsx]Surfaces</v>
      </c>
      <c r="E271">
        <f t="shared" ca="1" si="17"/>
        <v>200</v>
      </c>
      <c r="F271">
        <f t="shared" ca="1" si="18"/>
        <v>208</v>
      </c>
      <c r="G271" t="str">
        <f t="shared" ca="1" si="19"/>
        <v>Surfaces</v>
      </c>
      <c r="H271" cm="1">
        <f t="array" aca="1" ref="H271" ca="1">ROW(INDIRECT(A271))</f>
        <v>154</v>
      </c>
      <c r="I271" cm="1">
        <f t="array" aca="1" ref="I271" ca="1">COLUMN(INDIRECT(A271))</f>
        <v>15</v>
      </c>
      <c r="M271" t="str" cm="1">
        <f t="array" aca="1" ref="M271" ca="1">IF(AND(J271="O",ISBLANK(INDIRECT(A271))),"Valeur obligatoire non renseignée","")</f>
        <v/>
      </c>
    </row>
    <row r="272" spans="1:13" x14ac:dyDescent="0.25">
      <c r="A272" s="91" t="s">
        <v>3166</v>
      </c>
      <c r="B272" cm="1">
        <f t="array" aca="1" ref="B272" ca="1">INDIRECT(A272)</f>
        <v>0</v>
      </c>
      <c r="C272">
        <f t="shared" ca="1" si="16"/>
        <v>4</v>
      </c>
      <c r="D272" t="str" cm="1">
        <f t="array" aca="1" ref="D272" ca="1">CELL("nomfichier",INDIRECT(A272))</f>
        <v>G:\SCPE\sdc\bq\6 - Mentions valorisantes\Certification environnementale\TEXTES_REGLEMENTATION_CE\Plans_contrôle et grilles\Grille audit niveau 3\Grille d'audit v1.11\[grille-audit-hvev4-v1.11-vf.xlsx]Surfaces</v>
      </c>
      <c r="E272">
        <f t="shared" ca="1" si="17"/>
        <v>200</v>
      </c>
      <c r="F272">
        <f t="shared" ca="1" si="18"/>
        <v>208</v>
      </c>
      <c r="G272" t="str">
        <f t="shared" ca="1" si="19"/>
        <v>Surfaces</v>
      </c>
      <c r="H272" cm="1">
        <f t="array" aca="1" ref="H272" ca="1">ROW(INDIRECT(A272))</f>
        <v>154</v>
      </c>
      <c r="I272" cm="1">
        <f t="array" aca="1" ref="I272" ca="1">COLUMN(INDIRECT(A272))</f>
        <v>16</v>
      </c>
      <c r="M272" t="str" cm="1">
        <f t="array" aca="1" ref="M272" ca="1">IF(AND(J272="O",ISBLANK(INDIRECT(A272))),"Valeur obligatoire non renseignée","")</f>
        <v/>
      </c>
    </row>
    <row r="273" spans="1:13" x14ac:dyDescent="0.25">
      <c r="A273" s="91" t="s">
        <v>3181</v>
      </c>
      <c r="B273" cm="1">
        <f t="array" aca="1" ref="B273" ca="1">INDIRECT(A273)</f>
        <v>0</v>
      </c>
      <c r="C273">
        <f t="shared" ca="1" si="16"/>
        <v>4</v>
      </c>
      <c r="D273" t="str" cm="1">
        <f t="array" aca="1" ref="D273" ca="1">CELL("nomfichier",INDIRECT(A273))</f>
        <v>G:\SCPE\sdc\bq\6 - Mentions valorisantes\Certification environnementale\TEXTES_REGLEMENTATION_CE\Plans_contrôle et grilles\Grille audit niveau 3\Grille d'audit v1.11\[grille-audit-hvev4-v1.11-vf.xlsx]Surfaces</v>
      </c>
      <c r="E273">
        <f t="shared" ca="1" si="17"/>
        <v>200</v>
      </c>
      <c r="F273">
        <f t="shared" ca="1" si="18"/>
        <v>208</v>
      </c>
      <c r="G273" t="str">
        <f t="shared" ca="1" si="19"/>
        <v>Surfaces</v>
      </c>
      <c r="H273" cm="1">
        <f t="array" aca="1" ref="H273" ca="1">ROW(INDIRECT(A273))</f>
        <v>154</v>
      </c>
      <c r="I273" cm="1">
        <f t="array" aca="1" ref="I273" ca="1">COLUMN(INDIRECT(A273))</f>
        <v>17</v>
      </c>
      <c r="M273" t="str" cm="1">
        <f t="array" aca="1" ref="M273" ca="1">IF(AND(J273="O",ISBLANK(INDIRECT(A273))),"Valeur obligatoire non renseignée","")</f>
        <v/>
      </c>
    </row>
    <row r="274" spans="1:13" x14ac:dyDescent="0.25">
      <c r="A274" s="91" t="s">
        <v>3137</v>
      </c>
      <c r="B274" cm="1">
        <f t="array" aca="1" ref="B274" ca="1">INDIRECT(A274)</f>
        <v>0</v>
      </c>
      <c r="C274">
        <f t="shared" ca="1" si="16"/>
        <v>4</v>
      </c>
      <c r="D274" t="str" cm="1">
        <f t="array" aca="1" ref="D274" ca="1">CELL("nomfichier",INDIRECT(A274))</f>
        <v>G:\SCPE\sdc\bq\6 - Mentions valorisantes\Certification environnementale\TEXTES_REGLEMENTATION_CE\Plans_contrôle et grilles\Grille audit niveau 3\Grille d'audit v1.11\[grille-audit-hvev4-v1.11-vf.xlsx]Surfaces</v>
      </c>
      <c r="E274">
        <f t="shared" ca="1" si="17"/>
        <v>200</v>
      </c>
      <c r="F274">
        <f t="shared" ca="1" si="18"/>
        <v>208</v>
      </c>
      <c r="G274" t="str">
        <f t="shared" ca="1" si="19"/>
        <v>Surfaces</v>
      </c>
      <c r="H274" cm="1">
        <f t="array" aca="1" ref="H274" ca="1">ROW(INDIRECT(A274))</f>
        <v>155</v>
      </c>
      <c r="I274" cm="1">
        <f t="array" aca="1" ref="I274" ca="1">COLUMN(INDIRECT(A274))</f>
        <v>5</v>
      </c>
      <c r="M274" t="str" cm="1">
        <f t="array" aca="1" ref="M274" ca="1">IF(AND(J274="O",ISBLANK(INDIRECT(A274))),"Valeur obligatoire non renseignée","")</f>
        <v/>
      </c>
    </row>
    <row r="275" spans="1:13" x14ac:dyDescent="0.25">
      <c r="A275" s="91" t="s">
        <v>3152</v>
      </c>
      <c r="B275" cm="1">
        <f t="array" aca="1" ref="B275" ca="1">INDIRECT(A275)</f>
        <v>0</v>
      </c>
      <c r="C275">
        <f t="shared" ca="1" si="16"/>
        <v>4</v>
      </c>
      <c r="D275" t="str" cm="1">
        <f t="array" aca="1" ref="D275" ca="1">CELL("nomfichier",INDIRECT(A275))</f>
        <v>G:\SCPE\sdc\bq\6 - Mentions valorisantes\Certification environnementale\TEXTES_REGLEMENTATION_CE\Plans_contrôle et grilles\Grille audit niveau 3\Grille d'audit v1.11\[grille-audit-hvev4-v1.11-vf.xlsx]Surfaces</v>
      </c>
      <c r="E275">
        <f t="shared" ca="1" si="17"/>
        <v>200</v>
      </c>
      <c r="F275">
        <f t="shared" ca="1" si="18"/>
        <v>208</v>
      </c>
      <c r="G275" t="str">
        <f t="shared" ca="1" si="19"/>
        <v>Surfaces</v>
      </c>
      <c r="H275" cm="1">
        <f t="array" aca="1" ref="H275" ca="1">ROW(INDIRECT(A275))</f>
        <v>155</v>
      </c>
      <c r="I275" cm="1">
        <f t="array" aca="1" ref="I275" ca="1">COLUMN(INDIRECT(A275))</f>
        <v>15</v>
      </c>
      <c r="M275" t="str" cm="1">
        <f t="array" aca="1" ref="M275" ca="1">IF(AND(J275="O",ISBLANK(INDIRECT(A275))),"Valeur obligatoire non renseignée","")</f>
        <v/>
      </c>
    </row>
    <row r="276" spans="1:13" x14ac:dyDescent="0.25">
      <c r="A276" s="91" t="s">
        <v>3167</v>
      </c>
      <c r="B276" cm="1">
        <f t="array" aca="1" ref="B276" ca="1">INDIRECT(A276)</f>
        <v>0</v>
      </c>
      <c r="C276">
        <f t="shared" ca="1" si="16"/>
        <v>4</v>
      </c>
      <c r="D276" t="str" cm="1">
        <f t="array" aca="1" ref="D276" ca="1">CELL("nomfichier",INDIRECT(A276))</f>
        <v>G:\SCPE\sdc\bq\6 - Mentions valorisantes\Certification environnementale\TEXTES_REGLEMENTATION_CE\Plans_contrôle et grilles\Grille audit niveau 3\Grille d'audit v1.11\[grille-audit-hvev4-v1.11-vf.xlsx]Surfaces</v>
      </c>
      <c r="E276">
        <f t="shared" ca="1" si="17"/>
        <v>200</v>
      </c>
      <c r="F276">
        <f t="shared" ca="1" si="18"/>
        <v>208</v>
      </c>
      <c r="G276" t="str">
        <f t="shared" ca="1" si="19"/>
        <v>Surfaces</v>
      </c>
      <c r="H276" cm="1">
        <f t="array" aca="1" ref="H276" ca="1">ROW(INDIRECT(A276))</f>
        <v>155</v>
      </c>
      <c r="I276" cm="1">
        <f t="array" aca="1" ref="I276" ca="1">COLUMN(INDIRECT(A276))</f>
        <v>16</v>
      </c>
      <c r="M276" t="str" cm="1">
        <f t="array" aca="1" ref="M276" ca="1">IF(AND(J276="O",ISBLANK(INDIRECT(A276))),"Valeur obligatoire non renseignée","")</f>
        <v/>
      </c>
    </row>
    <row r="277" spans="1:13" x14ac:dyDescent="0.25">
      <c r="A277" s="91" t="s">
        <v>3182</v>
      </c>
      <c r="B277" cm="1">
        <f t="array" aca="1" ref="B277" ca="1">INDIRECT(A277)</f>
        <v>0</v>
      </c>
      <c r="C277">
        <f t="shared" ca="1" si="16"/>
        <v>4</v>
      </c>
      <c r="D277" t="str" cm="1">
        <f t="array" aca="1" ref="D277" ca="1">CELL("nomfichier",INDIRECT(A277))</f>
        <v>G:\SCPE\sdc\bq\6 - Mentions valorisantes\Certification environnementale\TEXTES_REGLEMENTATION_CE\Plans_contrôle et grilles\Grille audit niveau 3\Grille d'audit v1.11\[grille-audit-hvev4-v1.11-vf.xlsx]Surfaces</v>
      </c>
      <c r="E277">
        <f t="shared" ca="1" si="17"/>
        <v>200</v>
      </c>
      <c r="F277">
        <f t="shared" ca="1" si="18"/>
        <v>208</v>
      </c>
      <c r="G277" t="str">
        <f t="shared" ca="1" si="19"/>
        <v>Surfaces</v>
      </c>
      <c r="H277" cm="1">
        <f t="array" aca="1" ref="H277" ca="1">ROW(INDIRECT(A277))</f>
        <v>155</v>
      </c>
      <c r="I277" cm="1">
        <f t="array" aca="1" ref="I277" ca="1">COLUMN(INDIRECT(A277))</f>
        <v>17</v>
      </c>
      <c r="M277" t="str" cm="1">
        <f t="array" aca="1" ref="M277" ca="1">IF(AND(J277="O",ISBLANK(INDIRECT(A277))),"Valeur obligatoire non renseignée","")</f>
        <v/>
      </c>
    </row>
    <row r="278" spans="1:13" x14ac:dyDescent="0.25">
      <c r="A278" s="91" t="s">
        <v>3138</v>
      </c>
      <c r="B278" cm="1">
        <f t="array" aca="1" ref="B278" ca="1">INDIRECT(A278)</f>
        <v>0</v>
      </c>
      <c r="C278">
        <f t="shared" ca="1" si="16"/>
        <v>4</v>
      </c>
      <c r="D278" t="str" cm="1">
        <f t="array" aca="1" ref="D278" ca="1">CELL("nomfichier",INDIRECT(A278))</f>
        <v>G:\SCPE\sdc\bq\6 - Mentions valorisantes\Certification environnementale\TEXTES_REGLEMENTATION_CE\Plans_contrôle et grilles\Grille audit niveau 3\Grille d'audit v1.11\[grille-audit-hvev4-v1.11-vf.xlsx]Surfaces</v>
      </c>
      <c r="E278">
        <f t="shared" ca="1" si="17"/>
        <v>200</v>
      </c>
      <c r="F278">
        <f t="shared" ca="1" si="18"/>
        <v>208</v>
      </c>
      <c r="G278" t="str">
        <f t="shared" ca="1" si="19"/>
        <v>Surfaces</v>
      </c>
      <c r="H278" cm="1">
        <f t="array" aca="1" ref="H278" ca="1">ROW(INDIRECT(A278))</f>
        <v>156</v>
      </c>
      <c r="I278" cm="1">
        <f t="array" aca="1" ref="I278" ca="1">COLUMN(INDIRECT(A278))</f>
        <v>5</v>
      </c>
      <c r="M278" t="str" cm="1">
        <f t="array" aca="1" ref="M278" ca="1">IF(AND(J278="O",ISBLANK(INDIRECT(A278))),"Valeur obligatoire non renseignée","")</f>
        <v/>
      </c>
    </row>
    <row r="279" spans="1:13" x14ac:dyDescent="0.25">
      <c r="A279" s="91" t="s">
        <v>3153</v>
      </c>
      <c r="B279" cm="1">
        <f t="array" aca="1" ref="B279" ca="1">INDIRECT(A279)</f>
        <v>0</v>
      </c>
      <c r="C279">
        <f t="shared" ca="1" si="16"/>
        <v>4</v>
      </c>
      <c r="D279" t="str" cm="1">
        <f t="array" aca="1" ref="D279" ca="1">CELL("nomfichier",INDIRECT(A279))</f>
        <v>G:\SCPE\sdc\bq\6 - Mentions valorisantes\Certification environnementale\TEXTES_REGLEMENTATION_CE\Plans_contrôle et grilles\Grille audit niveau 3\Grille d'audit v1.11\[grille-audit-hvev4-v1.11-vf.xlsx]Surfaces</v>
      </c>
      <c r="E279">
        <f t="shared" ca="1" si="17"/>
        <v>200</v>
      </c>
      <c r="F279">
        <f t="shared" ca="1" si="18"/>
        <v>208</v>
      </c>
      <c r="G279" t="str">
        <f t="shared" ca="1" si="19"/>
        <v>Surfaces</v>
      </c>
      <c r="H279" cm="1">
        <f t="array" aca="1" ref="H279" ca="1">ROW(INDIRECT(A279))</f>
        <v>156</v>
      </c>
      <c r="I279" cm="1">
        <f t="array" aca="1" ref="I279" ca="1">COLUMN(INDIRECT(A279))</f>
        <v>15</v>
      </c>
      <c r="M279" t="str" cm="1">
        <f t="array" aca="1" ref="M279" ca="1">IF(AND(J279="O",ISBLANK(INDIRECT(A279))),"Valeur obligatoire non renseignée","")</f>
        <v/>
      </c>
    </row>
    <row r="280" spans="1:13" x14ac:dyDescent="0.25">
      <c r="A280" s="91" t="s">
        <v>3168</v>
      </c>
      <c r="B280" cm="1">
        <f t="array" aca="1" ref="B280" ca="1">INDIRECT(A280)</f>
        <v>0</v>
      </c>
      <c r="C280">
        <f t="shared" ca="1" si="16"/>
        <v>4</v>
      </c>
      <c r="D280" t="str" cm="1">
        <f t="array" aca="1" ref="D280" ca="1">CELL("nomfichier",INDIRECT(A280))</f>
        <v>G:\SCPE\sdc\bq\6 - Mentions valorisantes\Certification environnementale\TEXTES_REGLEMENTATION_CE\Plans_contrôle et grilles\Grille audit niveau 3\Grille d'audit v1.11\[grille-audit-hvev4-v1.11-vf.xlsx]Surfaces</v>
      </c>
      <c r="E280">
        <f t="shared" ca="1" si="17"/>
        <v>200</v>
      </c>
      <c r="F280">
        <f t="shared" ca="1" si="18"/>
        <v>208</v>
      </c>
      <c r="G280" t="str">
        <f t="shared" ca="1" si="19"/>
        <v>Surfaces</v>
      </c>
      <c r="H280" cm="1">
        <f t="array" aca="1" ref="H280" ca="1">ROW(INDIRECT(A280))</f>
        <v>156</v>
      </c>
      <c r="I280" cm="1">
        <f t="array" aca="1" ref="I280" ca="1">COLUMN(INDIRECT(A280))</f>
        <v>16</v>
      </c>
      <c r="M280" t="str" cm="1">
        <f t="array" aca="1" ref="M280" ca="1">IF(AND(J280="O",ISBLANK(INDIRECT(A280))),"Valeur obligatoire non renseignée","")</f>
        <v/>
      </c>
    </row>
    <row r="281" spans="1:13" x14ac:dyDescent="0.25">
      <c r="A281" s="91" t="s">
        <v>3183</v>
      </c>
      <c r="B281" cm="1">
        <f t="array" aca="1" ref="B281" ca="1">INDIRECT(A281)</f>
        <v>0</v>
      </c>
      <c r="C281">
        <f t="shared" ca="1" si="16"/>
        <v>4</v>
      </c>
      <c r="D281" t="str" cm="1">
        <f t="array" aca="1" ref="D281" ca="1">CELL("nomfichier",INDIRECT(A281))</f>
        <v>G:\SCPE\sdc\bq\6 - Mentions valorisantes\Certification environnementale\TEXTES_REGLEMENTATION_CE\Plans_contrôle et grilles\Grille audit niveau 3\Grille d'audit v1.11\[grille-audit-hvev4-v1.11-vf.xlsx]Surfaces</v>
      </c>
      <c r="E281">
        <f t="shared" ca="1" si="17"/>
        <v>200</v>
      </c>
      <c r="F281">
        <f t="shared" ca="1" si="18"/>
        <v>208</v>
      </c>
      <c r="G281" t="str">
        <f t="shared" ca="1" si="19"/>
        <v>Surfaces</v>
      </c>
      <c r="H281" cm="1">
        <f t="array" aca="1" ref="H281" ca="1">ROW(INDIRECT(A281))</f>
        <v>156</v>
      </c>
      <c r="I281" cm="1">
        <f t="array" aca="1" ref="I281" ca="1">COLUMN(INDIRECT(A281))</f>
        <v>17</v>
      </c>
      <c r="M281" t="str" cm="1">
        <f t="array" aca="1" ref="M281" ca="1">IF(AND(J281="O",ISBLANK(INDIRECT(A281))),"Valeur obligatoire non renseignée","")</f>
        <v/>
      </c>
    </row>
    <row r="282" spans="1:13" x14ac:dyDescent="0.25">
      <c r="A282" s="91" t="s">
        <v>3139</v>
      </c>
      <c r="B282" cm="1">
        <f t="array" aca="1" ref="B282" ca="1">INDIRECT(A282)</f>
        <v>0</v>
      </c>
      <c r="C282">
        <f t="shared" ca="1" si="16"/>
        <v>4</v>
      </c>
      <c r="D282" t="str" cm="1">
        <f t="array" aca="1" ref="D282" ca="1">CELL("nomfichier",INDIRECT(A282))</f>
        <v>G:\SCPE\sdc\bq\6 - Mentions valorisantes\Certification environnementale\TEXTES_REGLEMENTATION_CE\Plans_contrôle et grilles\Grille audit niveau 3\Grille d'audit v1.11\[grille-audit-hvev4-v1.11-vf.xlsx]Surfaces</v>
      </c>
      <c r="E282">
        <f t="shared" ca="1" si="17"/>
        <v>200</v>
      </c>
      <c r="F282">
        <f t="shared" ca="1" si="18"/>
        <v>208</v>
      </c>
      <c r="G282" t="str">
        <f t="shared" ca="1" si="19"/>
        <v>Surfaces</v>
      </c>
      <c r="H282" cm="1">
        <f t="array" aca="1" ref="H282" ca="1">ROW(INDIRECT(A282))</f>
        <v>157</v>
      </c>
      <c r="I282" cm="1">
        <f t="array" aca="1" ref="I282" ca="1">COLUMN(INDIRECT(A282))</f>
        <v>5</v>
      </c>
      <c r="M282" t="str" cm="1">
        <f t="array" aca="1" ref="M282" ca="1">IF(AND(J282="O",ISBLANK(INDIRECT(A282))),"Valeur obligatoire non renseignée","")</f>
        <v/>
      </c>
    </row>
    <row r="283" spans="1:13" x14ac:dyDescent="0.25">
      <c r="A283" s="91" t="s">
        <v>3154</v>
      </c>
      <c r="B283" cm="1">
        <f t="array" aca="1" ref="B283" ca="1">INDIRECT(A283)</f>
        <v>0</v>
      </c>
      <c r="C283">
        <f t="shared" ca="1" si="16"/>
        <v>4</v>
      </c>
      <c r="D283" t="str" cm="1">
        <f t="array" aca="1" ref="D283" ca="1">CELL("nomfichier",INDIRECT(A283))</f>
        <v>G:\SCPE\sdc\bq\6 - Mentions valorisantes\Certification environnementale\TEXTES_REGLEMENTATION_CE\Plans_contrôle et grilles\Grille audit niveau 3\Grille d'audit v1.11\[grille-audit-hvev4-v1.11-vf.xlsx]Surfaces</v>
      </c>
      <c r="E283">
        <f t="shared" ca="1" si="17"/>
        <v>200</v>
      </c>
      <c r="F283">
        <f t="shared" ca="1" si="18"/>
        <v>208</v>
      </c>
      <c r="G283" t="str">
        <f t="shared" ca="1" si="19"/>
        <v>Surfaces</v>
      </c>
      <c r="H283" cm="1">
        <f t="array" aca="1" ref="H283" ca="1">ROW(INDIRECT(A283))</f>
        <v>157</v>
      </c>
      <c r="I283" cm="1">
        <f t="array" aca="1" ref="I283" ca="1">COLUMN(INDIRECT(A283))</f>
        <v>15</v>
      </c>
      <c r="M283" t="str" cm="1">
        <f t="array" aca="1" ref="M283" ca="1">IF(AND(J283="O",ISBLANK(INDIRECT(A283))),"Valeur obligatoire non renseignée","")</f>
        <v/>
      </c>
    </row>
    <row r="284" spans="1:13" x14ac:dyDescent="0.25">
      <c r="A284" s="91" t="s">
        <v>3169</v>
      </c>
      <c r="B284" cm="1">
        <f t="array" aca="1" ref="B284" ca="1">INDIRECT(A284)</f>
        <v>0</v>
      </c>
      <c r="C284">
        <f t="shared" ca="1" si="16"/>
        <v>4</v>
      </c>
      <c r="D284" t="str" cm="1">
        <f t="array" aca="1" ref="D284" ca="1">CELL("nomfichier",INDIRECT(A284))</f>
        <v>G:\SCPE\sdc\bq\6 - Mentions valorisantes\Certification environnementale\TEXTES_REGLEMENTATION_CE\Plans_contrôle et grilles\Grille audit niveau 3\Grille d'audit v1.11\[grille-audit-hvev4-v1.11-vf.xlsx]Surfaces</v>
      </c>
      <c r="E284">
        <f t="shared" ca="1" si="17"/>
        <v>200</v>
      </c>
      <c r="F284">
        <f t="shared" ca="1" si="18"/>
        <v>208</v>
      </c>
      <c r="G284" t="str">
        <f t="shared" ca="1" si="19"/>
        <v>Surfaces</v>
      </c>
      <c r="H284" cm="1">
        <f t="array" aca="1" ref="H284" ca="1">ROW(INDIRECT(A284))</f>
        <v>157</v>
      </c>
      <c r="I284" cm="1">
        <f t="array" aca="1" ref="I284" ca="1">COLUMN(INDIRECT(A284))</f>
        <v>16</v>
      </c>
      <c r="M284" t="str" cm="1">
        <f t="array" aca="1" ref="M284" ca="1">IF(AND(J284="O",ISBLANK(INDIRECT(A284))),"Valeur obligatoire non renseignée","")</f>
        <v/>
      </c>
    </row>
    <row r="285" spans="1:13" x14ac:dyDescent="0.25">
      <c r="A285" s="91" t="s">
        <v>3184</v>
      </c>
      <c r="B285" cm="1">
        <f t="array" aca="1" ref="B285" ca="1">INDIRECT(A285)</f>
        <v>0</v>
      </c>
      <c r="C285">
        <f t="shared" ca="1" si="16"/>
        <v>4</v>
      </c>
      <c r="D285" t="str" cm="1">
        <f t="array" aca="1" ref="D285" ca="1">CELL("nomfichier",INDIRECT(A285))</f>
        <v>G:\SCPE\sdc\bq\6 - Mentions valorisantes\Certification environnementale\TEXTES_REGLEMENTATION_CE\Plans_contrôle et grilles\Grille audit niveau 3\Grille d'audit v1.11\[grille-audit-hvev4-v1.11-vf.xlsx]Surfaces</v>
      </c>
      <c r="E285">
        <f t="shared" ca="1" si="17"/>
        <v>200</v>
      </c>
      <c r="F285">
        <f t="shared" ca="1" si="18"/>
        <v>208</v>
      </c>
      <c r="G285" t="str">
        <f t="shared" ca="1" si="19"/>
        <v>Surfaces</v>
      </c>
      <c r="H285" cm="1">
        <f t="array" aca="1" ref="H285" ca="1">ROW(INDIRECT(A285))</f>
        <v>157</v>
      </c>
      <c r="I285" cm="1">
        <f t="array" aca="1" ref="I285" ca="1">COLUMN(INDIRECT(A285))</f>
        <v>17</v>
      </c>
      <c r="M285" t="str" cm="1">
        <f t="array" aca="1" ref="M285" ca="1">IF(AND(J285="O",ISBLANK(INDIRECT(A285))),"Valeur obligatoire non renseignée","")</f>
        <v/>
      </c>
    </row>
    <row r="286" spans="1:13" x14ac:dyDescent="0.25">
      <c r="A286" s="91" t="s">
        <v>3140</v>
      </c>
      <c r="B286" cm="1">
        <f t="array" aca="1" ref="B286" ca="1">INDIRECT(A286)</f>
        <v>0</v>
      </c>
      <c r="C286">
        <f t="shared" ca="1" si="16"/>
        <v>4</v>
      </c>
      <c r="D286" t="str" cm="1">
        <f t="array" aca="1" ref="D286" ca="1">CELL("nomfichier",INDIRECT(A286))</f>
        <v>G:\SCPE\sdc\bq\6 - Mentions valorisantes\Certification environnementale\TEXTES_REGLEMENTATION_CE\Plans_contrôle et grilles\Grille audit niveau 3\Grille d'audit v1.11\[grille-audit-hvev4-v1.11-vf.xlsx]Surfaces</v>
      </c>
      <c r="E286">
        <f t="shared" ca="1" si="17"/>
        <v>200</v>
      </c>
      <c r="F286">
        <f t="shared" ca="1" si="18"/>
        <v>208</v>
      </c>
      <c r="G286" t="str">
        <f t="shared" ca="1" si="19"/>
        <v>Surfaces</v>
      </c>
      <c r="H286" cm="1">
        <f t="array" aca="1" ref="H286" ca="1">ROW(INDIRECT(A286))</f>
        <v>158</v>
      </c>
      <c r="I286" cm="1">
        <f t="array" aca="1" ref="I286" ca="1">COLUMN(INDIRECT(A286))</f>
        <v>5</v>
      </c>
      <c r="M286" t="str" cm="1">
        <f t="array" aca="1" ref="M286" ca="1">IF(AND(J286="O",ISBLANK(INDIRECT(A286))),"Valeur obligatoire non renseignée","")</f>
        <v/>
      </c>
    </row>
    <row r="287" spans="1:13" x14ac:dyDescent="0.25">
      <c r="A287" s="91" t="s">
        <v>3155</v>
      </c>
      <c r="B287" cm="1">
        <f t="array" aca="1" ref="B287" ca="1">INDIRECT(A287)</f>
        <v>0</v>
      </c>
      <c r="C287">
        <f t="shared" ca="1" si="16"/>
        <v>4</v>
      </c>
      <c r="D287" t="str" cm="1">
        <f t="array" aca="1" ref="D287" ca="1">CELL("nomfichier",INDIRECT(A287))</f>
        <v>G:\SCPE\sdc\bq\6 - Mentions valorisantes\Certification environnementale\TEXTES_REGLEMENTATION_CE\Plans_contrôle et grilles\Grille audit niveau 3\Grille d'audit v1.11\[grille-audit-hvev4-v1.11-vf.xlsx]Surfaces</v>
      </c>
      <c r="E287">
        <f t="shared" ca="1" si="17"/>
        <v>200</v>
      </c>
      <c r="F287">
        <f t="shared" ca="1" si="18"/>
        <v>208</v>
      </c>
      <c r="G287" t="str">
        <f t="shared" ca="1" si="19"/>
        <v>Surfaces</v>
      </c>
      <c r="H287" cm="1">
        <f t="array" aca="1" ref="H287" ca="1">ROW(INDIRECT(A287))</f>
        <v>158</v>
      </c>
      <c r="I287" cm="1">
        <f t="array" aca="1" ref="I287" ca="1">COLUMN(INDIRECT(A287))</f>
        <v>15</v>
      </c>
      <c r="M287" t="str" cm="1">
        <f t="array" aca="1" ref="M287" ca="1">IF(AND(J287="O",ISBLANK(INDIRECT(A287))),"Valeur obligatoire non renseignée","")</f>
        <v/>
      </c>
    </row>
    <row r="288" spans="1:13" x14ac:dyDescent="0.25">
      <c r="A288" s="91" t="s">
        <v>3170</v>
      </c>
      <c r="B288" cm="1">
        <f t="array" aca="1" ref="B288" ca="1">INDIRECT(A288)</f>
        <v>0</v>
      </c>
      <c r="C288">
        <f t="shared" ca="1" si="16"/>
        <v>4</v>
      </c>
      <c r="D288" t="str" cm="1">
        <f t="array" aca="1" ref="D288" ca="1">CELL("nomfichier",INDIRECT(A288))</f>
        <v>G:\SCPE\sdc\bq\6 - Mentions valorisantes\Certification environnementale\TEXTES_REGLEMENTATION_CE\Plans_contrôle et grilles\Grille audit niveau 3\Grille d'audit v1.11\[grille-audit-hvev4-v1.11-vf.xlsx]Surfaces</v>
      </c>
      <c r="E288">
        <f t="shared" ca="1" si="17"/>
        <v>200</v>
      </c>
      <c r="F288">
        <f t="shared" ca="1" si="18"/>
        <v>208</v>
      </c>
      <c r="G288" t="str">
        <f t="shared" ca="1" si="19"/>
        <v>Surfaces</v>
      </c>
      <c r="H288" cm="1">
        <f t="array" aca="1" ref="H288" ca="1">ROW(INDIRECT(A288))</f>
        <v>158</v>
      </c>
      <c r="I288" cm="1">
        <f t="array" aca="1" ref="I288" ca="1">COLUMN(INDIRECT(A288))</f>
        <v>16</v>
      </c>
      <c r="M288" t="str" cm="1">
        <f t="array" aca="1" ref="M288" ca="1">IF(AND(J288="O",ISBLANK(INDIRECT(A288))),"Valeur obligatoire non renseignée","")</f>
        <v/>
      </c>
    </row>
    <row r="289" spans="1:13" x14ac:dyDescent="0.25">
      <c r="A289" s="91" t="s">
        <v>3185</v>
      </c>
      <c r="B289" cm="1">
        <f t="array" aca="1" ref="B289" ca="1">INDIRECT(A289)</f>
        <v>0</v>
      </c>
      <c r="C289">
        <f t="shared" ca="1" si="16"/>
        <v>4</v>
      </c>
      <c r="D289" t="str" cm="1">
        <f t="array" aca="1" ref="D289" ca="1">CELL("nomfichier",INDIRECT(A289))</f>
        <v>G:\SCPE\sdc\bq\6 - Mentions valorisantes\Certification environnementale\TEXTES_REGLEMENTATION_CE\Plans_contrôle et grilles\Grille audit niveau 3\Grille d'audit v1.11\[grille-audit-hvev4-v1.11-vf.xlsx]Surfaces</v>
      </c>
      <c r="E289">
        <f t="shared" ca="1" si="17"/>
        <v>200</v>
      </c>
      <c r="F289">
        <f t="shared" ca="1" si="18"/>
        <v>208</v>
      </c>
      <c r="G289" t="str">
        <f t="shared" ca="1" si="19"/>
        <v>Surfaces</v>
      </c>
      <c r="H289" cm="1">
        <f t="array" aca="1" ref="H289" ca="1">ROW(INDIRECT(A289))</f>
        <v>158</v>
      </c>
      <c r="I289" cm="1">
        <f t="array" aca="1" ref="I289" ca="1">COLUMN(INDIRECT(A289))</f>
        <v>17</v>
      </c>
      <c r="M289" t="str" cm="1">
        <f t="array" aca="1" ref="M289" ca="1">IF(AND(J289="O",ISBLANK(INDIRECT(A289))),"Valeur obligatoire non renseignée","")</f>
        <v/>
      </c>
    </row>
    <row r="290" spans="1:13" x14ac:dyDescent="0.25">
      <c r="A290" s="503" t="s">
        <v>2993</v>
      </c>
      <c r="B290" cm="1">
        <f t="array" aca="1" ref="B290" ca="1">INDIRECT(A290)</f>
        <v>0</v>
      </c>
      <c r="C290">
        <f t="shared" ca="1" si="16"/>
        <v>4</v>
      </c>
      <c r="D290" t="str" cm="1">
        <f t="array" aca="1" ref="D290" ca="1">CELL("nomfichier",INDIRECT(A290))</f>
        <v>G:\SCPE\sdc\bq\6 - Mentions valorisantes\Certification environnementale\TEXTES_REGLEMENTATION_CE\Plans_contrôle et grilles\Grille audit niveau 3\Grille d'audit v1.11\[grille-audit-hvev4-v1.11-vf.xlsx]Surfaces</v>
      </c>
      <c r="E290">
        <f t="shared" ca="1" si="17"/>
        <v>200</v>
      </c>
      <c r="F290">
        <f t="shared" ca="1" si="18"/>
        <v>208</v>
      </c>
      <c r="G290" t="str">
        <f t="shared" ca="1" si="19"/>
        <v>Surfaces</v>
      </c>
      <c r="H290" cm="1">
        <f t="array" aca="1" ref="H290" ca="1">ROW(INDIRECT(A290))</f>
        <v>161</v>
      </c>
      <c r="I290" cm="1">
        <f t="array" aca="1" ref="I290" ca="1">COLUMN(INDIRECT(A290))</f>
        <v>15</v>
      </c>
      <c r="M290" t="str" cm="1">
        <f t="array" aca="1" ref="M290" ca="1">IF(AND(J290="O",ISBLANK(INDIRECT(A290))),"Valeur obligatoire non renseignée","")</f>
        <v/>
      </c>
    </row>
    <row r="291" spans="1:13" x14ac:dyDescent="0.25">
      <c r="A291" s="503" t="s">
        <v>3059</v>
      </c>
      <c r="B291" cm="1">
        <f t="array" aca="1" ref="B291" ca="1">INDIRECT(A291)</f>
        <v>0</v>
      </c>
      <c r="C291">
        <f t="shared" ca="1" si="16"/>
        <v>4</v>
      </c>
      <c r="D291" t="str" cm="1">
        <f t="array" aca="1" ref="D291" ca="1">CELL("nomfichier",INDIRECT(A291))</f>
        <v>G:\SCPE\sdc\bq\6 - Mentions valorisantes\Certification environnementale\TEXTES_REGLEMENTATION_CE\Plans_contrôle et grilles\Grille audit niveau 3\Grille d'audit v1.11\[grille-audit-hvev4-v1.11-vf.xlsx]Surfaces</v>
      </c>
      <c r="E291">
        <f t="shared" ca="1" si="17"/>
        <v>200</v>
      </c>
      <c r="F291">
        <f t="shared" ca="1" si="18"/>
        <v>208</v>
      </c>
      <c r="G291" t="str">
        <f t="shared" ca="1" si="19"/>
        <v>Surfaces</v>
      </c>
      <c r="H291" cm="1">
        <f t="array" aca="1" ref="H291" ca="1">ROW(INDIRECT(A291))</f>
        <v>161</v>
      </c>
      <c r="I291" cm="1">
        <f t="array" aca="1" ref="I291" ca="1">COLUMN(INDIRECT(A291))</f>
        <v>16</v>
      </c>
      <c r="M291" t="str" cm="1">
        <f t="array" aca="1" ref="M291" ca="1">IF(AND(J291="O",ISBLANK(INDIRECT(A291))),"Valeur obligatoire non renseignée","")</f>
        <v/>
      </c>
    </row>
    <row r="292" spans="1:13" x14ac:dyDescent="0.25">
      <c r="A292" s="503" t="s">
        <v>3125</v>
      </c>
      <c r="B292" cm="1">
        <f t="array" aca="1" ref="B292" ca="1">INDIRECT(A292)</f>
        <v>0</v>
      </c>
      <c r="C292">
        <f t="shared" ca="1" si="16"/>
        <v>4</v>
      </c>
      <c r="D292" t="str" cm="1">
        <f t="array" aca="1" ref="D292" ca="1">CELL("nomfichier",INDIRECT(A292))</f>
        <v>G:\SCPE\sdc\bq\6 - Mentions valorisantes\Certification environnementale\TEXTES_REGLEMENTATION_CE\Plans_contrôle et grilles\Grille audit niveau 3\Grille d'audit v1.11\[grille-audit-hvev4-v1.11-vf.xlsx]Surfaces</v>
      </c>
      <c r="E292">
        <f t="shared" ca="1" si="17"/>
        <v>200</v>
      </c>
      <c r="F292">
        <f t="shared" ca="1" si="18"/>
        <v>208</v>
      </c>
      <c r="G292" t="str">
        <f t="shared" ca="1" si="19"/>
        <v>Surfaces</v>
      </c>
      <c r="H292" cm="1">
        <f t="array" aca="1" ref="H292" ca="1">ROW(INDIRECT(A292))</f>
        <v>161</v>
      </c>
      <c r="I292" cm="1">
        <f t="array" aca="1" ref="I292" ca="1">COLUMN(INDIRECT(A292))</f>
        <v>17</v>
      </c>
      <c r="M292" t="str" cm="1">
        <f t="array" aca="1" ref="M292" ca="1">IF(AND(J292="O",ISBLANK(INDIRECT(A292))),"Valeur obligatoire non renseignée","")</f>
        <v/>
      </c>
    </row>
    <row r="293" spans="1:13" x14ac:dyDescent="0.25">
      <c r="A293" s="91" t="s">
        <v>3186</v>
      </c>
      <c r="B293" cm="1">
        <f t="array" aca="1" ref="B293" ca="1">INDIRECT(A293)</f>
        <v>0</v>
      </c>
      <c r="C293">
        <f t="shared" ca="1" si="16"/>
        <v>5</v>
      </c>
      <c r="D293" t="str" cm="1">
        <f t="array" aca="1" ref="D293" ca="1">CELL("nomfichier",INDIRECT(A293))</f>
        <v>G:\SCPE\sdc\bq\6 - Mentions valorisantes\Certification environnementale\TEXTES_REGLEMENTATION_CE\Plans_contrôle et grilles\Grille audit niveau 3\Grille d'audit v1.11\[grille-audit-hvev4-v1.11-vf.xlsx]Surfaces_Horti</v>
      </c>
      <c r="E293">
        <f t="shared" ca="1" si="17"/>
        <v>200</v>
      </c>
      <c r="F293">
        <f t="shared" ca="1" si="18"/>
        <v>214</v>
      </c>
      <c r="G293" t="str">
        <f t="shared" ca="1" si="19"/>
        <v>Surfaces_Horti</v>
      </c>
      <c r="H293" cm="1">
        <f t="array" aca="1" ref="H293" ca="1">ROW(INDIRECT(A293))</f>
        <v>12</v>
      </c>
      <c r="I293" cm="1">
        <f t="array" aca="1" ref="I293" ca="1">COLUMN(INDIRECT(A293))</f>
        <v>2</v>
      </c>
      <c r="M293" t="str" cm="1">
        <f t="array" aca="1" ref="M293" ca="1">IF(AND(J293="O",ISBLANK(INDIRECT(A293))),"Valeur obligatoire non renseignée","")</f>
        <v/>
      </c>
    </row>
    <row r="294" spans="1:13" x14ac:dyDescent="0.25">
      <c r="A294" s="91" t="s">
        <v>3213</v>
      </c>
      <c r="B294" cm="1">
        <f t="array" aca="1" ref="B294" ca="1">INDIRECT(A294)</f>
        <v>0</v>
      </c>
      <c r="C294">
        <f t="shared" ca="1" si="16"/>
        <v>5</v>
      </c>
      <c r="D294" t="str" cm="1">
        <f t="array" aca="1" ref="D294" ca="1">CELL("nomfichier",INDIRECT(A294))</f>
        <v>G:\SCPE\sdc\bq\6 - Mentions valorisantes\Certification environnementale\TEXTES_REGLEMENTATION_CE\Plans_contrôle et grilles\Grille audit niveau 3\Grille d'audit v1.11\[grille-audit-hvev4-v1.11-vf.xlsx]Surfaces_Horti</v>
      </c>
      <c r="E294">
        <f t="shared" ca="1" si="17"/>
        <v>200</v>
      </c>
      <c r="F294">
        <f t="shared" ca="1" si="18"/>
        <v>214</v>
      </c>
      <c r="G294" t="str">
        <f t="shared" ca="1" si="19"/>
        <v>Surfaces_Horti</v>
      </c>
      <c r="H294" cm="1">
        <f t="array" aca="1" ref="H294" ca="1">ROW(INDIRECT(A294))</f>
        <v>12</v>
      </c>
      <c r="I294" cm="1">
        <f t="array" aca="1" ref="I294" ca="1">COLUMN(INDIRECT(A294))</f>
        <v>3</v>
      </c>
      <c r="M294" t="str" cm="1">
        <f t="array" aca="1" ref="M294" ca="1">IF(AND(J294="O",ISBLANK(INDIRECT(A294))),"Valeur obligatoire non renseignée","")</f>
        <v/>
      </c>
    </row>
    <row r="295" spans="1:13" x14ac:dyDescent="0.25">
      <c r="A295" s="91" t="s">
        <v>3240</v>
      </c>
      <c r="B295" cm="1">
        <f t="array" aca="1" ref="B295" ca="1">INDIRECT(A295)</f>
        <v>0</v>
      </c>
      <c r="C295">
        <f t="shared" ca="1" si="16"/>
        <v>5</v>
      </c>
      <c r="D295" t="str" cm="1">
        <f t="array" aca="1" ref="D295" ca="1">CELL("nomfichier",INDIRECT(A295))</f>
        <v>G:\SCPE\sdc\bq\6 - Mentions valorisantes\Certification environnementale\TEXTES_REGLEMENTATION_CE\Plans_contrôle et grilles\Grille audit niveau 3\Grille d'audit v1.11\[grille-audit-hvev4-v1.11-vf.xlsx]Surfaces_Horti</v>
      </c>
      <c r="E295">
        <f t="shared" ca="1" si="17"/>
        <v>200</v>
      </c>
      <c r="F295">
        <f t="shared" ca="1" si="18"/>
        <v>214</v>
      </c>
      <c r="G295" t="str">
        <f t="shared" ca="1" si="19"/>
        <v>Surfaces_Horti</v>
      </c>
      <c r="H295" cm="1">
        <f t="array" aca="1" ref="H295" ca="1">ROW(INDIRECT(A295))</f>
        <v>12</v>
      </c>
      <c r="I295" cm="1">
        <f t="array" aca="1" ref="I295" ca="1">COLUMN(INDIRECT(A295))</f>
        <v>4</v>
      </c>
      <c r="M295" t="str" cm="1">
        <f t="array" aca="1" ref="M295" ca="1">IF(AND(J295="O",ISBLANK(INDIRECT(A295))),"Valeur obligatoire non renseignée","")</f>
        <v/>
      </c>
    </row>
    <row r="296" spans="1:13" x14ac:dyDescent="0.25">
      <c r="A296" s="91" t="s">
        <v>3267</v>
      </c>
      <c r="B296" cm="1">
        <f t="array" aca="1" ref="B296" ca="1">INDIRECT(A296)</f>
        <v>0</v>
      </c>
      <c r="C296">
        <f t="shared" ca="1" si="16"/>
        <v>5</v>
      </c>
      <c r="D296" t="str" cm="1">
        <f t="array" aca="1" ref="D296" ca="1">CELL("nomfichier",INDIRECT(A296))</f>
        <v>G:\SCPE\sdc\bq\6 - Mentions valorisantes\Certification environnementale\TEXTES_REGLEMENTATION_CE\Plans_contrôle et grilles\Grille audit niveau 3\Grille d'audit v1.11\[grille-audit-hvev4-v1.11-vf.xlsx]Surfaces_Horti</v>
      </c>
      <c r="E296">
        <f t="shared" ca="1" si="17"/>
        <v>200</v>
      </c>
      <c r="F296">
        <f t="shared" ca="1" si="18"/>
        <v>214</v>
      </c>
      <c r="G296" t="str">
        <f t="shared" ca="1" si="19"/>
        <v>Surfaces_Horti</v>
      </c>
      <c r="H296" cm="1">
        <f t="array" aca="1" ref="H296" ca="1">ROW(INDIRECT(A296))</f>
        <v>12</v>
      </c>
      <c r="I296" cm="1">
        <f t="array" aca="1" ref="I296" ca="1">COLUMN(INDIRECT(A296))</f>
        <v>5</v>
      </c>
      <c r="M296" t="str" cm="1">
        <f t="array" aca="1" ref="M296" ca="1">IF(AND(J296="O",ISBLANK(INDIRECT(A296))),"Valeur obligatoire non renseignée","")</f>
        <v/>
      </c>
    </row>
    <row r="297" spans="1:13" x14ac:dyDescent="0.25">
      <c r="A297" s="91" t="s">
        <v>3294</v>
      </c>
      <c r="B297" cm="1">
        <f t="array" aca="1" ref="B297" ca="1">INDIRECT(A297)</f>
        <v>0</v>
      </c>
      <c r="C297">
        <f t="shared" ca="1" si="16"/>
        <v>5</v>
      </c>
      <c r="D297" t="str" cm="1">
        <f t="array" aca="1" ref="D297" ca="1">CELL("nomfichier",INDIRECT(A297))</f>
        <v>G:\SCPE\sdc\bq\6 - Mentions valorisantes\Certification environnementale\TEXTES_REGLEMENTATION_CE\Plans_contrôle et grilles\Grille audit niveau 3\Grille d'audit v1.11\[grille-audit-hvev4-v1.11-vf.xlsx]Surfaces_Horti</v>
      </c>
      <c r="E297">
        <f t="shared" ca="1" si="17"/>
        <v>200</v>
      </c>
      <c r="F297">
        <f t="shared" ca="1" si="18"/>
        <v>214</v>
      </c>
      <c r="G297" t="str">
        <f t="shared" ca="1" si="19"/>
        <v>Surfaces_Horti</v>
      </c>
      <c r="H297" cm="1">
        <f t="array" aca="1" ref="H297" ca="1">ROW(INDIRECT(A297))</f>
        <v>12</v>
      </c>
      <c r="I297" cm="1">
        <f t="array" aca="1" ref="I297" ca="1">COLUMN(INDIRECT(A297))</f>
        <v>6</v>
      </c>
      <c r="M297" t="str" cm="1">
        <f t="array" aca="1" ref="M297" ca="1">IF(AND(J297="O",ISBLANK(INDIRECT(A297))),"Valeur obligatoire non renseignée","")</f>
        <v/>
      </c>
    </row>
    <row r="298" spans="1:13" x14ac:dyDescent="0.25">
      <c r="A298" s="91" t="s">
        <v>3321</v>
      </c>
      <c r="B298" cm="1">
        <f t="array" aca="1" ref="B298" ca="1">INDIRECT(A298)</f>
        <v>0</v>
      </c>
      <c r="C298">
        <f t="shared" ca="1" si="16"/>
        <v>5</v>
      </c>
      <c r="D298" t="str" cm="1">
        <f t="array" aca="1" ref="D298" ca="1">CELL("nomfichier",INDIRECT(A298))</f>
        <v>G:\SCPE\sdc\bq\6 - Mentions valorisantes\Certification environnementale\TEXTES_REGLEMENTATION_CE\Plans_contrôle et grilles\Grille audit niveau 3\Grille d'audit v1.11\[grille-audit-hvev4-v1.11-vf.xlsx]Surfaces_Horti</v>
      </c>
      <c r="E298">
        <f t="shared" ca="1" si="17"/>
        <v>200</v>
      </c>
      <c r="F298">
        <f t="shared" ca="1" si="18"/>
        <v>214</v>
      </c>
      <c r="G298" t="str">
        <f t="shared" ca="1" si="19"/>
        <v>Surfaces_Horti</v>
      </c>
      <c r="H298" cm="1">
        <f t="array" aca="1" ref="H298" ca="1">ROW(INDIRECT(A298))</f>
        <v>12</v>
      </c>
      <c r="I298" cm="1">
        <f t="array" aca="1" ref="I298" ca="1">COLUMN(INDIRECT(A298))</f>
        <v>7</v>
      </c>
      <c r="M298" t="str" cm="1">
        <f t="array" aca="1" ref="M298" ca="1">IF(AND(J298="O",ISBLANK(INDIRECT(A298))),"Valeur obligatoire non renseignée","")</f>
        <v/>
      </c>
    </row>
    <row r="299" spans="1:13" x14ac:dyDescent="0.25">
      <c r="A299" s="91" t="s">
        <v>3348</v>
      </c>
      <c r="B299" cm="1">
        <f t="array" aca="1" ref="B299" ca="1">INDIRECT(A299)</f>
        <v>0</v>
      </c>
      <c r="C299">
        <f t="shared" ca="1" si="16"/>
        <v>5</v>
      </c>
      <c r="D299" t="str" cm="1">
        <f t="array" aca="1" ref="D299" ca="1">CELL("nomfichier",INDIRECT(A299))</f>
        <v>G:\SCPE\sdc\bq\6 - Mentions valorisantes\Certification environnementale\TEXTES_REGLEMENTATION_CE\Plans_contrôle et grilles\Grille audit niveau 3\Grille d'audit v1.11\[grille-audit-hvev4-v1.11-vf.xlsx]Surfaces_Horti</v>
      </c>
      <c r="E299">
        <f t="shared" ca="1" si="17"/>
        <v>200</v>
      </c>
      <c r="F299">
        <f t="shared" ca="1" si="18"/>
        <v>214</v>
      </c>
      <c r="G299" t="str">
        <f t="shared" ca="1" si="19"/>
        <v>Surfaces_Horti</v>
      </c>
      <c r="H299" cm="1">
        <f t="array" aca="1" ref="H299" ca="1">ROW(INDIRECT(A299))</f>
        <v>12</v>
      </c>
      <c r="I299" cm="1">
        <f t="array" aca="1" ref="I299" ca="1">COLUMN(INDIRECT(A299))</f>
        <v>8</v>
      </c>
      <c r="M299" t="str" cm="1">
        <f t="array" aca="1" ref="M299" ca="1">IF(AND(J299="O",ISBLANK(INDIRECT(A299))),"Valeur obligatoire non renseignée","")</f>
        <v/>
      </c>
    </row>
    <row r="300" spans="1:13" x14ac:dyDescent="0.25">
      <c r="A300" s="91" t="s">
        <v>3375</v>
      </c>
      <c r="B300" cm="1">
        <f t="array" aca="1" ref="B300" ca="1">INDIRECT(A300)</f>
        <v>0</v>
      </c>
      <c r="C300">
        <f t="shared" ca="1" si="16"/>
        <v>5</v>
      </c>
      <c r="D300" t="str" cm="1">
        <f t="array" aca="1" ref="D300" ca="1">CELL("nomfichier",INDIRECT(A300))</f>
        <v>G:\SCPE\sdc\bq\6 - Mentions valorisantes\Certification environnementale\TEXTES_REGLEMENTATION_CE\Plans_contrôle et grilles\Grille audit niveau 3\Grille d'audit v1.11\[grille-audit-hvev4-v1.11-vf.xlsx]Surfaces_Horti</v>
      </c>
      <c r="E300">
        <f t="shared" ca="1" si="17"/>
        <v>200</v>
      </c>
      <c r="F300">
        <f t="shared" ca="1" si="18"/>
        <v>214</v>
      </c>
      <c r="G300" t="str">
        <f t="shared" ca="1" si="19"/>
        <v>Surfaces_Horti</v>
      </c>
      <c r="H300" cm="1">
        <f t="array" aca="1" ref="H300" ca="1">ROW(INDIRECT(A300))</f>
        <v>12</v>
      </c>
      <c r="I300" cm="1">
        <f t="array" aca="1" ref="I300" ca="1">COLUMN(INDIRECT(A300))</f>
        <v>9</v>
      </c>
      <c r="M300" t="str" cm="1">
        <f t="array" aca="1" ref="M300" ca="1">IF(AND(J300="O",ISBLANK(INDIRECT(A300))),"Valeur obligatoire non renseignée","")</f>
        <v/>
      </c>
    </row>
    <row r="301" spans="1:13" x14ac:dyDescent="0.25">
      <c r="A301" s="91" t="s">
        <v>3402</v>
      </c>
      <c r="B301" cm="1">
        <f t="array" aca="1" ref="B301" ca="1">INDIRECT(A301)</f>
        <v>0</v>
      </c>
      <c r="C301">
        <f t="shared" ca="1" si="16"/>
        <v>5</v>
      </c>
      <c r="D301" t="str" cm="1">
        <f t="array" aca="1" ref="D301" ca="1">CELL("nomfichier",INDIRECT(A301))</f>
        <v>G:\SCPE\sdc\bq\6 - Mentions valorisantes\Certification environnementale\TEXTES_REGLEMENTATION_CE\Plans_contrôle et grilles\Grille audit niveau 3\Grille d'audit v1.11\[grille-audit-hvev4-v1.11-vf.xlsx]Surfaces_Horti</v>
      </c>
      <c r="E301">
        <f t="shared" ca="1" si="17"/>
        <v>200</v>
      </c>
      <c r="F301">
        <f t="shared" ca="1" si="18"/>
        <v>214</v>
      </c>
      <c r="G301" t="str">
        <f t="shared" ca="1" si="19"/>
        <v>Surfaces_Horti</v>
      </c>
      <c r="H301" cm="1">
        <f t="array" aca="1" ref="H301" ca="1">ROW(INDIRECT(A301))</f>
        <v>12</v>
      </c>
      <c r="I301" cm="1">
        <f t="array" aca="1" ref="I301" ca="1">COLUMN(INDIRECT(A301))</f>
        <v>10</v>
      </c>
      <c r="M301" t="str" cm="1">
        <f t="array" aca="1" ref="M301" ca="1">IF(AND(J301="O",ISBLANK(INDIRECT(A301))),"Valeur obligatoire non renseignée","")</f>
        <v/>
      </c>
    </row>
    <row r="302" spans="1:13" x14ac:dyDescent="0.25">
      <c r="A302" s="91" t="s">
        <v>3429</v>
      </c>
      <c r="B302" cm="1">
        <f t="array" aca="1" ref="B302" ca="1">INDIRECT(A302)</f>
        <v>0</v>
      </c>
      <c r="C302">
        <f t="shared" ca="1" si="16"/>
        <v>5</v>
      </c>
      <c r="D302" t="str" cm="1">
        <f t="array" aca="1" ref="D302" ca="1">CELL("nomfichier",INDIRECT(A302))</f>
        <v>G:\SCPE\sdc\bq\6 - Mentions valorisantes\Certification environnementale\TEXTES_REGLEMENTATION_CE\Plans_contrôle et grilles\Grille audit niveau 3\Grille d'audit v1.11\[grille-audit-hvev4-v1.11-vf.xlsx]Surfaces_Horti</v>
      </c>
      <c r="E302">
        <f t="shared" ca="1" si="17"/>
        <v>200</v>
      </c>
      <c r="F302">
        <f t="shared" ca="1" si="18"/>
        <v>214</v>
      </c>
      <c r="G302" t="str">
        <f t="shared" ca="1" si="19"/>
        <v>Surfaces_Horti</v>
      </c>
      <c r="H302" cm="1">
        <f t="array" aca="1" ref="H302" ca="1">ROW(INDIRECT(A302))</f>
        <v>12</v>
      </c>
      <c r="I302" cm="1">
        <f t="array" aca="1" ref="I302" ca="1">COLUMN(INDIRECT(A302))</f>
        <v>11</v>
      </c>
      <c r="M302" t="str" cm="1">
        <f t="array" aca="1" ref="M302" ca="1">IF(AND(J302="O",ISBLANK(INDIRECT(A302))),"Valeur obligatoire non renseignée","")</f>
        <v/>
      </c>
    </row>
    <row r="303" spans="1:13" x14ac:dyDescent="0.25">
      <c r="A303" s="91" t="s">
        <v>3456</v>
      </c>
      <c r="B303" cm="1">
        <f t="array" aca="1" ref="B303" ca="1">INDIRECT(A303)</f>
        <v>0</v>
      </c>
      <c r="C303">
        <f t="shared" ca="1" si="16"/>
        <v>5</v>
      </c>
      <c r="D303" t="str" cm="1">
        <f t="array" aca="1" ref="D303" ca="1">CELL("nomfichier",INDIRECT(A303))</f>
        <v>G:\SCPE\sdc\bq\6 - Mentions valorisantes\Certification environnementale\TEXTES_REGLEMENTATION_CE\Plans_contrôle et grilles\Grille audit niveau 3\Grille d'audit v1.11\[grille-audit-hvev4-v1.11-vf.xlsx]Surfaces_Horti</v>
      </c>
      <c r="E303">
        <f t="shared" ca="1" si="17"/>
        <v>200</v>
      </c>
      <c r="F303">
        <f t="shared" ca="1" si="18"/>
        <v>214</v>
      </c>
      <c r="G303" t="str">
        <f t="shared" ca="1" si="19"/>
        <v>Surfaces_Horti</v>
      </c>
      <c r="H303" cm="1">
        <f t="array" aca="1" ref="H303" ca="1">ROW(INDIRECT(A303))</f>
        <v>12</v>
      </c>
      <c r="I303" cm="1">
        <f t="array" aca="1" ref="I303" ca="1">COLUMN(INDIRECT(A303))</f>
        <v>12</v>
      </c>
      <c r="M303" t="str" cm="1">
        <f t="array" aca="1" ref="M303" ca="1">IF(AND(J303="O",ISBLANK(INDIRECT(A303))),"Valeur obligatoire non renseignée","")</f>
        <v/>
      </c>
    </row>
    <row r="304" spans="1:13" x14ac:dyDescent="0.25">
      <c r="A304" s="91" t="s">
        <v>3483</v>
      </c>
      <c r="B304" cm="1">
        <f t="array" aca="1" ref="B304" ca="1">INDIRECT(A304)</f>
        <v>0</v>
      </c>
      <c r="C304">
        <f t="shared" ca="1" si="16"/>
        <v>5</v>
      </c>
      <c r="D304" t="str" cm="1">
        <f t="array" aca="1" ref="D304" ca="1">CELL("nomfichier",INDIRECT(A304))</f>
        <v>G:\SCPE\sdc\bq\6 - Mentions valorisantes\Certification environnementale\TEXTES_REGLEMENTATION_CE\Plans_contrôle et grilles\Grille audit niveau 3\Grille d'audit v1.11\[grille-audit-hvev4-v1.11-vf.xlsx]Surfaces_Horti</v>
      </c>
      <c r="E304">
        <f t="shared" ca="1" si="17"/>
        <v>200</v>
      </c>
      <c r="F304">
        <f t="shared" ca="1" si="18"/>
        <v>214</v>
      </c>
      <c r="G304" t="str">
        <f t="shared" ca="1" si="19"/>
        <v>Surfaces_Horti</v>
      </c>
      <c r="H304" cm="1">
        <f t="array" aca="1" ref="H304" ca="1">ROW(INDIRECT(A304))</f>
        <v>12</v>
      </c>
      <c r="I304" cm="1">
        <f t="array" aca="1" ref="I304" ca="1">COLUMN(INDIRECT(A304))</f>
        <v>13</v>
      </c>
      <c r="M304" t="str" cm="1">
        <f t="array" aca="1" ref="M304" ca="1">IF(AND(J304="O",ISBLANK(INDIRECT(A304))),"Valeur obligatoire non renseignée","")</f>
        <v/>
      </c>
    </row>
    <row r="305" spans="1:13" x14ac:dyDescent="0.25">
      <c r="A305" s="91" t="s">
        <v>3510</v>
      </c>
      <c r="B305" cm="1">
        <f t="array" aca="1" ref="B305" ca="1">INDIRECT(A305)</f>
        <v>0</v>
      </c>
      <c r="C305">
        <f t="shared" ca="1" si="16"/>
        <v>5</v>
      </c>
      <c r="D305" t="str" cm="1">
        <f t="array" aca="1" ref="D305" ca="1">CELL("nomfichier",INDIRECT(A305))</f>
        <v>G:\SCPE\sdc\bq\6 - Mentions valorisantes\Certification environnementale\TEXTES_REGLEMENTATION_CE\Plans_contrôle et grilles\Grille audit niveau 3\Grille d'audit v1.11\[grille-audit-hvev4-v1.11-vf.xlsx]Surfaces_Horti</v>
      </c>
      <c r="E305">
        <f t="shared" ca="1" si="17"/>
        <v>200</v>
      </c>
      <c r="F305">
        <f t="shared" ca="1" si="18"/>
        <v>214</v>
      </c>
      <c r="G305" t="str">
        <f t="shared" ca="1" si="19"/>
        <v>Surfaces_Horti</v>
      </c>
      <c r="H305" cm="1">
        <f t="array" aca="1" ref="H305" ca="1">ROW(INDIRECT(A305))</f>
        <v>12</v>
      </c>
      <c r="I305" cm="1">
        <f t="array" aca="1" ref="I305" ca="1">COLUMN(INDIRECT(A305))</f>
        <v>14</v>
      </c>
      <c r="M305" t="str" cm="1">
        <f t="array" aca="1" ref="M305" ca="1">IF(AND(J305="O",ISBLANK(INDIRECT(A305))),"Valeur obligatoire non renseignée","")</f>
        <v/>
      </c>
    </row>
    <row r="306" spans="1:13" x14ac:dyDescent="0.25">
      <c r="A306" s="91" t="s">
        <v>3187</v>
      </c>
      <c r="B306" cm="1">
        <f t="array" aca="1" ref="B306" ca="1">INDIRECT(A306)</f>
        <v>0</v>
      </c>
      <c r="C306">
        <f t="shared" ca="1" si="16"/>
        <v>5</v>
      </c>
      <c r="D306" t="str" cm="1">
        <f t="array" aca="1" ref="D306" ca="1">CELL("nomfichier",INDIRECT(A306))</f>
        <v>G:\SCPE\sdc\bq\6 - Mentions valorisantes\Certification environnementale\TEXTES_REGLEMENTATION_CE\Plans_contrôle et grilles\Grille audit niveau 3\Grille d'audit v1.11\[grille-audit-hvev4-v1.11-vf.xlsx]Surfaces_Horti</v>
      </c>
      <c r="E306">
        <f t="shared" ca="1" si="17"/>
        <v>200</v>
      </c>
      <c r="F306">
        <f t="shared" ca="1" si="18"/>
        <v>214</v>
      </c>
      <c r="G306" t="str">
        <f t="shared" ca="1" si="19"/>
        <v>Surfaces_Horti</v>
      </c>
      <c r="H306" cm="1">
        <f t="array" aca="1" ref="H306" ca="1">ROW(INDIRECT(A306))</f>
        <v>13</v>
      </c>
      <c r="I306" cm="1">
        <f t="array" aca="1" ref="I306" ca="1">COLUMN(INDIRECT(A306))</f>
        <v>2</v>
      </c>
      <c r="M306" t="str" cm="1">
        <f t="array" aca="1" ref="M306" ca="1">IF(AND(J306="O",ISBLANK(INDIRECT(A306))),"Valeur obligatoire non renseignée","")</f>
        <v/>
      </c>
    </row>
    <row r="307" spans="1:13" x14ac:dyDescent="0.25">
      <c r="A307" s="91" t="s">
        <v>3214</v>
      </c>
      <c r="B307" cm="1">
        <f t="array" aca="1" ref="B307" ca="1">INDIRECT(A307)</f>
        <v>0</v>
      </c>
      <c r="C307">
        <f t="shared" ca="1" si="16"/>
        <v>5</v>
      </c>
      <c r="D307" t="str" cm="1">
        <f t="array" aca="1" ref="D307" ca="1">CELL("nomfichier",INDIRECT(A307))</f>
        <v>G:\SCPE\sdc\bq\6 - Mentions valorisantes\Certification environnementale\TEXTES_REGLEMENTATION_CE\Plans_contrôle et grilles\Grille audit niveau 3\Grille d'audit v1.11\[grille-audit-hvev4-v1.11-vf.xlsx]Surfaces_Horti</v>
      </c>
      <c r="E307">
        <f t="shared" ca="1" si="17"/>
        <v>200</v>
      </c>
      <c r="F307">
        <f t="shared" ca="1" si="18"/>
        <v>214</v>
      </c>
      <c r="G307" t="str">
        <f t="shared" ca="1" si="19"/>
        <v>Surfaces_Horti</v>
      </c>
      <c r="H307" cm="1">
        <f t="array" aca="1" ref="H307" ca="1">ROW(INDIRECT(A307))</f>
        <v>13</v>
      </c>
      <c r="I307" cm="1">
        <f t="array" aca="1" ref="I307" ca="1">COLUMN(INDIRECT(A307))</f>
        <v>3</v>
      </c>
      <c r="M307" t="str" cm="1">
        <f t="array" aca="1" ref="M307" ca="1">IF(AND(J307="O",ISBLANK(INDIRECT(A307))),"Valeur obligatoire non renseignée","")</f>
        <v/>
      </c>
    </row>
    <row r="308" spans="1:13" x14ac:dyDescent="0.25">
      <c r="A308" s="91" t="s">
        <v>3241</v>
      </c>
      <c r="B308" cm="1">
        <f t="array" aca="1" ref="B308" ca="1">INDIRECT(A308)</f>
        <v>0</v>
      </c>
      <c r="C308">
        <f t="shared" ca="1" si="16"/>
        <v>5</v>
      </c>
      <c r="D308" t="str" cm="1">
        <f t="array" aca="1" ref="D308" ca="1">CELL("nomfichier",INDIRECT(A308))</f>
        <v>G:\SCPE\sdc\bq\6 - Mentions valorisantes\Certification environnementale\TEXTES_REGLEMENTATION_CE\Plans_contrôle et grilles\Grille audit niveau 3\Grille d'audit v1.11\[grille-audit-hvev4-v1.11-vf.xlsx]Surfaces_Horti</v>
      </c>
      <c r="E308">
        <f t="shared" ca="1" si="17"/>
        <v>200</v>
      </c>
      <c r="F308">
        <f t="shared" ca="1" si="18"/>
        <v>214</v>
      </c>
      <c r="G308" t="str">
        <f t="shared" ca="1" si="19"/>
        <v>Surfaces_Horti</v>
      </c>
      <c r="H308" cm="1">
        <f t="array" aca="1" ref="H308" ca="1">ROW(INDIRECT(A308))</f>
        <v>13</v>
      </c>
      <c r="I308" cm="1">
        <f t="array" aca="1" ref="I308" ca="1">COLUMN(INDIRECT(A308))</f>
        <v>4</v>
      </c>
      <c r="M308" t="str" cm="1">
        <f t="array" aca="1" ref="M308" ca="1">IF(AND(J308="O",ISBLANK(INDIRECT(A308))),"Valeur obligatoire non renseignée","")</f>
        <v/>
      </c>
    </row>
    <row r="309" spans="1:13" x14ac:dyDescent="0.25">
      <c r="A309" s="91" t="s">
        <v>3268</v>
      </c>
      <c r="B309" cm="1">
        <f t="array" aca="1" ref="B309" ca="1">INDIRECT(A309)</f>
        <v>0</v>
      </c>
      <c r="C309">
        <f t="shared" ca="1" si="16"/>
        <v>5</v>
      </c>
      <c r="D309" t="str" cm="1">
        <f t="array" aca="1" ref="D309" ca="1">CELL("nomfichier",INDIRECT(A309))</f>
        <v>G:\SCPE\sdc\bq\6 - Mentions valorisantes\Certification environnementale\TEXTES_REGLEMENTATION_CE\Plans_contrôle et grilles\Grille audit niveau 3\Grille d'audit v1.11\[grille-audit-hvev4-v1.11-vf.xlsx]Surfaces_Horti</v>
      </c>
      <c r="E309">
        <f t="shared" ca="1" si="17"/>
        <v>200</v>
      </c>
      <c r="F309">
        <f t="shared" ca="1" si="18"/>
        <v>214</v>
      </c>
      <c r="G309" t="str">
        <f t="shared" ca="1" si="19"/>
        <v>Surfaces_Horti</v>
      </c>
      <c r="H309" cm="1">
        <f t="array" aca="1" ref="H309" ca="1">ROW(INDIRECT(A309))</f>
        <v>13</v>
      </c>
      <c r="I309" cm="1">
        <f t="array" aca="1" ref="I309" ca="1">COLUMN(INDIRECT(A309))</f>
        <v>5</v>
      </c>
      <c r="M309" t="str" cm="1">
        <f t="array" aca="1" ref="M309" ca="1">IF(AND(J309="O",ISBLANK(INDIRECT(A309))),"Valeur obligatoire non renseignée","")</f>
        <v/>
      </c>
    </row>
    <row r="310" spans="1:13" x14ac:dyDescent="0.25">
      <c r="A310" s="91" t="s">
        <v>3295</v>
      </c>
      <c r="B310" cm="1">
        <f t="array" aca="1" ref="B310" ca="1">INDIRECT(A310)</f>
        <v>0</v>
      </c>
      <c r="C310">
        <f t="shared" ca="1" si="16"/>
        <v>5</v>
      </c>
      <c r="D310" t="str" cm="1">
        <f t="array" aca="1" ref="D310" ca="1">CELL("nomfichier",INDIRECT(A310))</f>
        <v>G:\SCPE\sdc\bq\6 - Mentions valorisantes\Certification environnementale\TEXTES_REGLEMENTATION_CE\Plans_contrôle et grilles\Grille audit niveau 3\Grille d'audit v1.11\[grille-audit-hvev4-v1.11-vf.xlsx]Surfaces_Horti</v>
      </c>
      <c r="E310">
        <f t="shared" ca="1" si="17"/>
        <v>200</v>
      </c>
      <c r="F310">
        <f t="shared" ca="1" si="18"/>
        <v>214</v>
      </c>
      <c r="G310" t="str">
        <f t="shared" ca="1" si="19"/>
        <v>Surfaces_Horti</v>
      </c>
      <c r="H310" cm="1">
        <f t="array" aca="1" ref="H310" ca="1">ROW(INDIRECT(A310))</f>
        <v>13</v>
      </c>
      <c r="I310" cm="1">
        <f t="array" aca="1" ref="I310" ca="1">COLUMN(INDIRECT(A310))</f>
        <v>6</v>
      </c>
      <c r="M310" t="str" cm="1">
        <f t="array" aca="1" ref="M310" ca="1">IF(AND(J310="O",ISBLANK(INDIRECT(A310))),"Valeur obligatoire non renseignée","")</f>
        <v/>
      </c>
    </row>
    <row r="311" spans="1:13" x14ac:dyDescent="0.25">
      <c r="A311" s="91" t="s">
        <v>3322</v>
      </c>
      <c r="B311" cm="1">
        <f t="array" aca="1" ref="B311" ca="1">INDIRECT(A311)</f>
        <v>0</v>
      </c>
      <c r="C311">
        <f t="shared" ca="1" si="16"/>
        <v>5</v>
      </c>
      <c r="D311" t="str" cm="1">
        <f t="array" aca="1" ref="D311" ca="1">CELL("nomfichier",INDIRECT(A311))</f>
        <v>G:\SCPE\sdc\bq\6 - Mentions valorisantes\Certification environnementale\TEXTES_REGLEMENTATION_CE\Plans_contrôle et grilles\Grille audit niveau 3\Grille d'audit v1.11\[grille-audit-hvev4-v1.11-vf.xlsx]Surfaces_Horti</v>
      </c>
      <c r="E311">
        <f t="shared" ca="1" si="17"/>
        <v>200</v>
      </c>
      <c r="F311">
        <f t="shared" ca="1" si="18"/>
        <v>214</v>
      </c>
      <c r="G311" t="str">
        <f t="shared" ca="1" si="19"/>
        <v>Surfaces_Horti</v>
      </c>
      <c r="H311" cm="1">
        <f t="array" aca="1" ref="H311" ca="1">ROW(INDIRECT(A311))</f>
        <v>13</v>
      </c>
      <c r="I311" cm="1">
        <f t="array" aca="1" ref="I311" ca="1">COLUMN(INDIRECT(A311))</f>
        <v>7</v>
      </c>
      <c r="M311" t="str" cm="1">
        <f t="array" aca="1" ref="M311" ca="1">IF(AND(J311="O",ISBLANK(INDIRECT(A311))),"Valeur obligatoire non renseignée","")</f>
        <v/>
      </c>
    </row>
    <row r="312" spans="1:13" x14ac:dyDescent="0.25">
      <c r="A312" s="91" t="s">
        <v>3349</v>
      </c>
      <c r="B312" cm="1">
        <f t="array" aca="1" ref="B312" ca="1">INDIRECT(A312)</f>
        <v>0</v>
      </c>
      <c r="C312">
        <f t="shared" ca="1" si="16"/>
        <v>5</v>
      </c>
      <c r="D312" t="str" cm="1">
        <f t="array" aca="1" ref="D312" ca="1">CELL("nomfichier",INDIRECT(A312))</f>
        <v>G:\SCPE\sdc\bq\6 - Mentions valorisantes\Certification environnementale\TEXTES_REGLEMENTATION_CE\Plans_contrôle et grilles\Grille audit niveau 3\Grille d'audit v1.11\[grille-audit-hvev4-v1.11-vf.xlsx]Surfaces_Horti</v>
      </c>
      <c r="E312">
        <f t="shared" ca="1" si="17"/>
        <v>200</v>
      </c>
      <c r="F312">
        <f t="shared" ca="1" si="18"/>
        <v>214</v>
      </c>
      <c r="G312" t="str">
        <f t="shared" ca="1" si="19"/>
        <v>Surfaces_Horti</v>
      </c>
      <c r="H312" cm="1">
        <f t="array" aca="1" ref="H312" ca="1">ROW(INDIRECT(A312))</f>
        <v>13</v>
      </c>
      <c r="I312" cm="1">
        <f t="array" aca="1" ref="I312" ca="1">COLUMN(INDIRECT(A312))</f>
        <v>8</v>
      </c>
      <c r="M312" t="str" cm="1">
        <f t="array" aca="1" ref="M312" ca="1">IF(AND(J312="O",ISBLANK(INDIRECT(A312))),"Valeur obligatoire non renseignée","")</f>
        <v/>
      </c>
    </row>
    <row r="313" spans="1:13" x14ac:dyDescent="0.25">
      <c r="A313" s="91" t="s">
        <v>3376</v>
      </c>
      <c r="B313" cm="1">
        <f t="array" aca="1" ref="B313" ca="1">INDIRECT(A313)</f>
        <v>0</v>
      </c>
      <c r="C313">
        <f t="shared" ca="1" si="16"/>
        <v>5</v>
      </c>
      <c r="D313" t="str" cm="1">
        <f t="array" aca="1" ref="D313" ca="1">CELL("nomfichier",INDIRECT(A313))</f>
        <v>G:\SCPE\sdc\bq\6 - Mentions valorisantes\Certification environnementale\TEXTES_REGLEMENTATION_CE\Plans_contrôle et grilles\Grille audit niveau 3\Grille d'audit v1.11\[grille-audit-hvev4-v1.11-vf.xlsx]Surfaces_Horti</v>
      </c>
      <c r="E313">
        <f t="shared" ca="1" si="17"/>
        <v>200</v>
      </c>
      <c r="F313">
        <f t="shared" ca="1" si="18"/>
        <v>214</v>
      </c>
      <c r="G313" t="str">
        <f t="shared" ca="1" si="19"/>
        <v>Surfaces_Horti</v>
      </c>
      <c r="H313" cm="1">
        <f t="array" aca="1" ref="H313" ca="1">ROW(INDIRECT(A313))</f>
        <v>13</v>
      </c>
      <c r="I313" cm="1">
        <f t="array" aca="1" ref="I313" ca="1">COLUMN(INDIRECT(A313))</f>
        <v>9</v>
      </c>
      <c r="M313" t="str" cm="1">
        <f t="array" aca="1" ref="M313" ca="1">IF(AND(J313="O",ISBLANK(INDIRECT(A313))),"Valeur obligatoire non renseignée","")</f>
        <v/>
      </c>
    </row>
    <row r="314" spans="1:13" x14ac:dyDescent="0.25">
      <c r="A314" s="91" t="s">
        <v>3403</v>
      </c>
      <c r="B314" cm="1">
        <f t="array" aca="1" ref="B314" ca="1">INDIRECT(A314)</f>
        <v>0</v>
      </c>
      <c r="C314">
        <f t="shared" ca="1" si="16"/>
        <v>5</v>
      </c>
      <c r="D314" t="str" cm="1">
        <f t="array" aca="1" ref="D314" ca="1">CELL("nomfichier",INDIRECT(A314))</f>
        <v>G:\SCPE\sdc\bq\6 - Mentions valorisantes\Certification environnementale\TEXTES_REGLEMENTATION_CE\Plans_contrôle et grilles\Grille audit niveau 3\Grille d'audit v1.11\[grille-audit-hvev4-v1.11-vf.xlsx]Surfaces_Horti</v>
      </c>
      <c r="E314">
        <f t="shared" ca="1" si="17"/>
        <v>200</v>
      </c>
      <c r="F314">
        <f t="shared" ca="1" si="18"/>
        <v>214</v>
      </c>
      <c r="G314" t="str">
        <f t="shared" ca="1" si="19"/>
        <v>Surfaces_Horti</v>
      </c>
      <c r="H314" cm="1">
        <f t="array" aca="1" ref="H314" ca="1">ROW(INDIRECT(A314))</f>
        <v>13</v>
      </c>
      <c r="I314" cm="1">
        <f t="array" aca="1" ref="I314" ca="1">COLUMN(INDIRECT(A314))</f>
        <v>10</v>
      </c>
      <c r="M314" t="str" cm="1">
        <f t="array" aca="1" ref="M314" ca="1">IF(AND(J314="O",ISBLANK(INDIRECT(A314))),"Valeur obligatoire non renseignée","")</f>
        <v/>
      </c>
    </row>
    <row r="315" spans="1:13" x14ac:dyDescent="0.25">
      <c r="A315" s="91" t="s">
        <v>3430</v>
      </c>
      <c r="B315" cm="1">
        <f t="array" aca="1" ref="B315" ca="1">INDIRECT(A315)</f>
        <v>0</v>
      </c>
      <c r="C315">
        <f t="shared" ca="1" si="16"/>
        <v>5</v>
      </c>
      <c r="D315" t="str" cm="1">
        <f t="array" aca="1" ref="D315" ca="1">CELL("nomfichier",INDIRECT(A315))</f>
        <v>G:\SCPE\sdc\bq\6 - Mentions valorisantes\Certification environnementale\TEXTES_REGLEMENTATION_CE\Plans_contrôle et grilles\Grille audit niveau 3\Grille d'audit v1.11\[grille-audit-hvev4-v1.11-vf.xlsx]Surfaces_Horti</v>
      </c>
      <c r="E315">
        <f t="shared" ca="1" si="17"/>
        <v>200</v>
      </c>
      <c r="F315">
        <f t="shared" ca="1" si="18"/>
        <v>214</v>
      </c>
      <c r="G315" t="str">
        <f t="shared" ca="1" si="19"/>
        <v>Surfaces_Horti</v>
      </c>
      <c r="H315" cm="1">
        <f t="array" aca="1" ref="H315" ca="1">ROW(INDIRECT(A315))</f>
        <v>13</v>
      </c>
      <c r="I315" cm="1">
        <f t="array" aca="1" ref="I315" ca="1">COLUMN(INDIRECT(A315))</f>
        <v>11</v>
      </c>
      <c r="M315" t="str" cm="1">
        <f t="array" aca="1" ref="M315" ca="1">IF(AND(J315="O",ISBLANK(INDIRECT(A315))),"Valeur obligatoire non renseignée","")</f>
        <v/>
      </c>
    </row>
    <row r="316" spans="1:13" x14ac:dyDescent="0.25">
      <c r="A316" s="91" t="s">
        <v>3457</v>
      </c>
      <c r="B316" cm="1">
        <f t="array" aca="1" ref="B316" ca="1">INDIRECT(A316)</f>
        <v>0</v>
      </c>
      <c r="C316">
        <f t="shared" ca="1" si="16"/>
        <v>5</v>
      </c>
      <c r="D316" t="str" cm="1">
        <f t="array" aca="1" ref="D316" ca="1">CELL("nomfichier",INDIRECT(A316))</f>
        <v>G:\SCPE\sdc\bq\6 - Mentions valorisantes\Certification environnementale\TEXTES_REGLEMENTATION_CE\Plans_contrôle et grilles\Grille audit niveau 3\Grille d'audit v1.11\[grille-audit-hvev4-v1.11-vf.xlsx]Surfaces_Horti</v>
      </c>
      <c r="E316">
        <f t="shared" ca="1" si="17"/>
        <v>200</v>
      </c>
      <c r="F316">
        <f t="shared" ca="1" si="18"/>
        <v>214</v>
      </c>
      <c r="G316" t="str">
        <f t="shared" ca="1" si="19"/>
        <v>Surfaces_Horti</v>
      </c>
      <c r="H316" cm="1">
        <f t="array" aca="1" ref="H316" ca="1">ROW(INDIRECT(A316))</f>
        <v>13</v>
      </c>
      <c r="I316" cm="1">
        <f t="array" aca="1" ref="I316" ca="1">COLUMN(INDIRECT(A316))</f>
        <v>12</v>
      </c>
      <c r="M316" t="str" cm="1">
        <f t="array" aca="1" ref="M316" ca="1">IF(AND(J316="O",ISBLANK(INDIRECT(A316))),"Valeur obligatoire non renseignée","")</f>
        <v/>
      </c>
    </row>
    <row r="317" spans="1:13" x14ac:dyDescent="0.25">
      <c r="A317" s="91" t="s">
        <v>3484</v>
      </c>
      <c r="B317" cm="1">
        <f t="array" aca="1" ref="B317" ca="1">INDIRECT(A317)</f>
        <v>0</v>
      </c>
      <c r="C317">
        <f t="shared" ca="1" si="16"/>
        <v>5</v>
      </c>
      <c r="D317" t="str" cm="1">
        <f t="array" aca="1" ref="D317" ca="1">CELL("nomfichier",INDIRECT(A317))</f>
        <v>G:\SCPE\sdc\bq\6 - Mentions valorisantes\Certification environnementale\TEXTES_REGLEMENTATION_CE\Plans_contrôle et grilles\Grille audit niveau 3\Grille d'audit v1.11\[grille-audit-hvev4-v1.11-vf.xlsx]Surfaces_Horti</v>
      </c>
      <c r="E317">
        <f t="shared" ca="1" si="17"/>
        <v>200</v>
      </c>
      <c r="F317">
        <f t="shared" ca="1" si="18"/>
        <v>214</v>
      </c>
      <c r="G317" t="str">
        <f t="shared" ca="1" si="19"/>
        <v>Surfaces_Horti</v>
      </c>
      <c r="H317" cm="1">
        <f t="array" aca="1" ref="H317" ca="1">ROW(INDIRECT(A317))</f>
        <v>13</v>
      </c>
      <c r="I317" cm="1">
        <f t="array" aca="1" ref="I317" ca="1">COLUMN(INDIRECT(A317))</f>
        <v>13</v>
      </c>
      <c r="M317" t="str" cm="1">
        <f t="array" aca="1" ref="M317" ca="1">IF(AND(J317="O",ISBLANK(INDIRECT(A317))),"Valeur obligatoire non renseignée","")</f>
        <v/>
      </c>
    </row>
    <row r="318" spans="1:13" x14ac:dyDescent="0.25">
      <c r="A318" s="91" t="s">
        <v>3511</v>
      </c>
      <c r="B318" cm="1">
        <f t="array" aca="1" ref="B318" ca="1">INDIRECT(A318)</f>
        <v>0</v>
      </c>
      <c r="C318">
        <f t="shared" ca="1" si="16"/>
        <v>5</v>
      </c>
      <c r="D318" t="str" cm="1">
        <f t="array" aca="1" ref="D318" ca="1">CELL("nomfichier",INDIRECT(A318))</f>
        <v>G:\SCPE\sdc\bq\6 - Mentions valorisantes\Certification environnementale\TEXTES_REGLEMENTATION_CE\Plans_contrôle et grilles\Grille audit niveau 3\Grille d'audit v1.11\[grille-audit-hvev4-v1.11-vf.xlsx]Surfaces_Horti</v>
      </c>
      <c r="E318">
        <f t="shared" ca="1" si="17"/>
        <v>200</v>
      </c>
      <c r="F318">
        <f t="shared" ca="1" si="18"/>
        <v>214</v>
      </c>
      <c r="G318" t="str">
        <f t="shared" ca="1" si="19"/>
        <v>Surfaces_Horti</v>
      </c>
      <c r="H318" cm="1">
        <f t="array" aca="1" ref="H318" ca="1">ROW(INDIRECT(A318))</f>
        <v>13</v>
      </c>
      <c r="I318" cm="1">
        <f t="array" aca="1" ref="I318" ca="1">COLUMN(INDIRECT(A318))</f>
        <v>14</v>
      </c>
      <c r="M318" t="str" cm="1">
        <f t="array" aca="1" ref="M318" ca="1">IF(AND(J318="O",ISBLANK(INDIRECT(A318))),"Valeur obligatoire non renseignée","")</f>
        <v/>
      </c>
    </row>
    <row r="319" spans="1:13" x14ac:dyDescent="0.25">
      <c r="A319" s="91" t="s">
        <v>3188</v>
      </c>
      <c r="B319" cm="1">
        <f t="array" aca="1" ref="B319" ca="1">INDIRECT(A319)</f>
        <v>0</v>
      </c>
      <c r="C319">
        <f t="shared" ca="1" si="16"/>
        <v>5</v>
      </c>
      <c r="D319" t="str" cm="1">
        <f t="array" aca="1" ref="D319" ca="1">CELL("nomfichier",INDIRECT(A319))</f>
        <v>G:\SCPE\sdc\bq\6 - Mentions valorisantes\Certification environnementale\TEXTES_REGLEMENTATION_CE\Plans_contrôle et grilles\Grille audit niveau 3\Grille d'audit v1.11\[grille-audit-hvev4-v1.11-vf.xlsx]Surfaces_Horti</v>
      </c>
      <c r="E319">
        <f t="shared" ca="1" si="17"/>
        <v>200</v>
      </c>
      <c r="F319">
        <f t="shared" ca="1" si="18"/>
        <v>214</v>
      </c>
      <c r="G319" t="str">
        <f t="shared" ca="1" si="19"/>
        <v>Surfaces_Horti</v>
      </c>
      <c r="H319" cm="1">
        <f t="array" aca="1" ref="H319" ca="1">ROW(INDIRECT(A319))</f>
        <v>14</v>
      </c>
      <c r="I319" cm="1">
        <f t="array" aca="1" ref="I319" ca="1">COLUMN(INDIRECT(A319))</f>
        <v>2</v>
      </c>
      <c r="M319" t="str" cm="1">
        <f t="array" aca="1" ref="M319" ca="1">IF(AND(J319="O",ISBLANK(INDIRECT(A319))),"Valeur obligatoire non renseignée","")</f>
        <v/>
      </c>
    </row>
    <row r="320" spans="1:13" x14ac:dyDescent="0.25">
      <c r="A320" s="91" t="s">
        <v>3215</v>
      </c>
      <c r="B320" cm="1">
        <f t="array" aca="1" ref="B320" ca="1">INDIRECT(A320)</f>
        <v>0</v>
      </c>
      <c r="C320">
        <f t="shared" ca="1" si="16"/>
        <v>5</v>
      </c>
      <c r="D320" t="str" cm="1">
        <f t="array" aca="1" ref="D320" ca="1">CELL("nomfichier",INDIRECT(A320))</f>
        <v>G:\SCPE\sdc\bq\6 - Mentions valorisantes\Certification environnementale\TEXTES_REGLEMENTATION_CE\Plans_contrôle et grilles\Grille audit niveau 3\Grille d'audit v1.11\[grille-audit-hvev4-v1.11-vf.xlsx]Surfaces_Horti</v>
      </c>
      <c r="E320">
        <f t="shared" ca="1" si="17"/>
        <v>200</v>
      </c>
      <c r="F320">
        <f t="shared" ca="1" si="18"/>
        <v>214</v>
      </c>
      <c r="G320" t="str">
        <f t="shared" ca="1" si="19"/>
        <v>Surfaces_Horti</v>
      </c>
      <c r="H320" cm="1">
        <f t="array" aca="1" ref="H320" ca="1">ROW(INDIRECT(A320))</f>
        <v>14</v>
      </c>
      <c r="I320" cm="1">
        <f t="array" aca="1" ref="I320" ca="1">COLUMN(INDIRECT(A320))</f>
        <v>3</v>
      </c>
      <c r="M320" t="str" cm="1">
        <f t="array" aca="1" ref="M320" ca="1">IF(AND(J320="O",ISBLANK(INDIRECT(A320))),"Valeur obligatoire non renseignée","")</f>
        <v/>
      </c>
    </row>
    <row r="321" spans="1:13" x14ac:dyDescent="0.25">
      <c r="A321" s="91" t="s">
        <v>3242</v>
      </c>
      <c r="B321" cm="1">
        <f t="array" aca="1" ref="B321" ca="1">INDIRECT(A321)</f>
        <v>0</v>
      </c>
      <c r="C321">
        <f t="shared" ca="1" si="16"/>
        <v>5</v>
      </c>
      <c r="D321" t="str" cm="1">
        <f t="array" aca="1" ref="D321" ca="1">CELL("nomfichier",INDIRECT(A321))</f>
        <v>G:\SCPE\sdc\bq\6 - Mentions valorisantes\Certification environnementale\TEXTES_REGLEMENTATION_CE\Plans_contrôle et grilles\Grille audit niveau 3\Grille d'audit v1.11\[grille-audit-hvev4-v1.11-vf.xlsx]Surfaces_Horti</v>
      </c>
      <c r="E321">
        <f t="shared" ca="1" si="17"/>
        <v>200</v>
      </c>
      <c r="F321">
        <f t="shared" ca="1" si="18"/>
        <v>214</v>
      </c>
      <c r="G321" t="str">
        <f t="shared" ca="1" si="19"/>
        <v>Surfaces_Horti</v>
      </c>
      <c r="H321" cm="1">
        <f t="array" aca="1" ref="H321" ca="1">ROW(INDIRECT(A321))</f>
        <v>14</v>
      </c>
      <c r="I321" cm="1">
        <f t="array" aca="1" ref="I321" ca="1">COLUMN(INDIRECT(A321))</f>
        <v>4</v>
      </c>
      <c r="M321" t="str" cm="1">
        <f t="array" aca="1" ref="M321" ca="1">IF(AND(J321="O",ISBLANK(INDIRECT(A321))),"Valeur obligatoire non renseignée","")</f>
        <v/>
      </c>
    </row>
    <row r="322" spans="1:13" x14ac:dyDescent="0.25">
      <c r="A322" s="91" t="s">
        <v>3269</v>
      </c>
      <c r="B322" cm="1">
        <f t="array" aca="1" ref="B322" ca="1">INDIRECT(A322)</f>
        <v>0</v>
      </c>
      <c r="C322">
        <f t="shared" ref="C322:C385" ca="1" si="20">_xlfn.SHEET(INDIRECT(A322))</f>
        <v>5</v>
      </c>
      <c r="D322" t="str" cm="1">
        <f t="array" aca="1" ref="D322" ca="1">CELL("nomfichier",INDIRECT(A322))</f>
        <v>G:\SCPE\sdc\bq\6 - Mentions valorisantes\Certification environnementale\TEXTES_REGLEMENTATION_CE\Plans_contrôle et grilles\Grille audit niveau 3\Grille d'audit v1.11\[grille-audit-hvev4-v1.11-vf.xlsx]Surfaces_Horti</v>
      </c>
      <c r="E322">
        <f t="shared" ref="E322:E385" ca="1" si="21">FIND("]",D322)</f>
        <v>200</v>
      </c>
      <c r="F322">
        <f t="shared" ref="F322:F385" ca="1" si="22">LEN(D322)</f>
        <v>214</v>
      </c>
      <c r="G322" t="str">
        <f t="shared" ref="G322:G385" ca="1" si="23">RIGHT(D322,F322-E322)</f>
        <v>Surfaces_Horti</v>
      </c>
      <c r="H322" cm="1">
        <f t="array" aca="1" ref="H322" ca="1">ROW(INDIRECT(A322))</f>
        <v>14</v>
      </c>
      <c r="I322" cm="1">
        <f t="array" aca="1" ref="I322" ca="1">COLUMN(INDIRECT(A322))</f>
        <v>5</v>
      </c>
      <c r="M322" t="str" cm="1">
        <f t="array" aca="1" ref="M322" ca="1">IF(AND(J322="O",ISBLANK(INDIRECT(A322))),"Valeur obligatoire non renseignée","")</f>
        <v/>
      </c>
    </row>
    <row r="323" spans="1:13" x14ac:dyDescent="0.25">
      <c r="A323" s="91" t="s">
        <v>3296</v>
      </c>
      <c r="B323" cm="1">
        <f t="array" aca="1" ref="B323" ca="1">INDIRECT(A323)</f>
        <v>0</v>
      </c>
      <c r="C323">
        <f t="shared" ca="1" si="20"/>
        <v>5</v>
      </c>
      <c r="D323" t="str" cm="1">
        <f t="array" aca="1" ref="D323" ca="1">CELL("nomfichier",INDIRECT(A323))</f>
        <v>G:\SCPE\sdc\bq\6 - Mentions valorisantes\Certification environnementale\TEXTES_REGLEMENTATION_CE\Plans_contrôle et grilles\Grille audit niveau 3\Grille d'audit v1.11\[grille-audit-hvev4-v1.11-vf.xlsx]Surfaces_Horti</v>
      </c>
      <c r="E323">
        <f t="shared" ca="1" si="21"/>
        <v>200</v>
      </c>
      <c r="F323">
        <f t="shared" ca="1" si="22"/>
        <v>214</v>
      </c>
      <c r="G323" t="str">
        <f t="shared" ca="1" si="23"/>
        <v>Surfaces_Horti</v>
      </c>
      <c r="H323" cm="1">
        <f t="array" aca="1" ref="H323" ca="1">ROW(INDIRECT(A323))</f>
        <v>14</v>
      </c>
      <c r="I323" cm="1">
        <f t="array" aca="1" ref="I323" ca="1">COLUMN(INDIRECT(A323))</f>
        <v>6</v>
      </c>
      <c r="M323" t="str" cm="1">
        <f t="array" aca="1" ref="M323" ca="1">IF(AND(J323="O",ISBLANK(INDIRECT(A323))),"Valeur obligatoire non renseignée","")</f>
        <v/>
      </c>
    </row>
    <row r="324" spans="1:13" x14ac:dyDescent="0.25">
      <c r="A324" s="91" t="s">
        <v>3323</v>
      </c>
      <c r="B324" cm="1">
        <f t="array" aca="1" ref="B324" ca="1">INDIRECT(A324)</f>
        <v>0</v>
      </c>
      <c r="C324">
        <f t="shared" ca="1" si="20"/>
        <v>5</v>
      </c>
      <c r="D324" t="str" cm="1">
        <f t="array" aca="1" ref="D324" ca="1">CELL("nomfichier",INDIRECT(A324))</f>
        <v>G:\SCPE\sdc\bq\6 - Mentions valorisantes\Certification environnementale\TEXTES_REGLEMENTATION_CE\Plans_contrôle et grilles\Grille audit niveau 3\Grille d'audit v1.11\[grille-audit-hvev4-v1.11-vf.xlsx]Surfaces_Horti</v>
      </c>
      <c r="E324">
        <f t="shared" ca="1" si="21"/>
        <v>200</v>
      </c>
      <c r="F324">
        <f t="shared" ca="1" si="22"/>
        <v>214</v>
      </c>
      <c r="G324" t="str">
        <f t="shared" ca="1" si="23"/>
        <v>Surfaces_Horti</v>
      </c>
      <c r="H324" cm="1">
        <f t="array" aca="1" ref="H324" ca="1">ROW(INDIRECT(A324))</f>
        <v>14</v>
      </c>
      <c r="I324" cm="1">
        <f t="array" aca="1" ref="I324" ca="1">COLUMN(INDIRECT(A324))</f>
        <v>7</v>
      </c>
      <c r="M324" t="str" cm="1">
        <f t="array" aca="1" ref="M324" ca="1">IF(AND(J324="O",ISBLANK(INDIRECT(A324))),"Valeur obligatoire non renseignée","")</f>
        <v/>
      </c>
    </row>
    <row r="325" spans="1:13" x14ac:dyDescent="0.25">
      <c r="A325" s="91" t="s">
        <v>3350</v>
      </c>
      <c r="B325" cm="1">
        <f t="array" aca="1" ref="B325" ca="1">INDIRECT(A325)</f>
        <v>0</v>
      </c>
      <c r="C325">
        <f t="shared" ca="1" si="20"/>
        <v>5</v>
      </c>
      <c r="D325" t="str" cm="1">
        <f t="array" aca="1" ref="D325" ca="1">CELL("nomfichier",INDIRECT(A325))</f>
        <v>G:\SCPE\sdc\bq\6 - Mentions valorisantes\Certification environnementale\TEXTES_REGLEMENTATION_CE\Plans_contrôle et grilles\Grille audit niveau 3\Grille d'audit v1.11\[grille-audit-hvev4-v1.11-vf.xlsx]Surfaces_Horti</v>
      </c>
      <c r="E325">
        <f t="shared" ca="1" si="21"/>
        <v>200</v>
      </c>
      <c r="F325">
        <f t="shared" ca="1" si="22"/>
        <v>214</v>
      </c>
      <c r="G325" t="str">
        <f t="shared" ca="1" si="23"/>
        <v>Surfaces_Horti</v>
      </c>
      <c r="H325" cm="1">
        <f t="array" aca="1" ref="H325" ca="1">ROW(INDIRECT(A325))</f>
        <v>14</v>
      </c>
      <c r="I325" cm="1">
        <f t="array" aca="1" ref="I325" ca="1">COLUMN(INDIRECT(A325))</f>
        <v>8</v>
      </c>
      <c r="M325" t="str" cm="1">
        <f t="array" aca="1" ref="M325" ca="1">IF(AND(J325="O",ISBLANK(INDIRECT(A325))),"Valeur obligatoire non renseignée","")</f>
        <v/>
      </c>
    </row>
    <row r="326" spans="1:13" x14ac:dyDescent="0.25">
      <c r="A326" s="91" t="s">
        <v>3377</v>
      </c>
      <c r="B326" cm="1">
        <f t="array" aca="1" ref="B326" ca="1">INDIRECT(A326)</f>
        <v>0</v>
      </c>
      <c r="C326">
        <f t="shared" ca="1" si="20"/>
        <v>5</v>
      </c>
      <c r="D326" t="str" cm="1">
        <f t="array" aca="1" ref="D326" ca="1">CELL("nomfichier",INDIRECT(A326))</f>
        <v>G:\SCPE\sdc\bq\6 - Mentions valorisantes\Certification environnementale\TEXTES_REGLEMENTATION_CE\Plans_contrôle et grilles\Grille audit niveau 3\Grille d'audit v1.11\[grille-audit-hvev4-v1.11-vf.xlsx]Surfaces_Horti</v>
      </c>
      <c r="E326">
        <f t="shared" ca="1" si="21"/>
        <v>200</v>
      </c>
      <c r="F326">
        <f t="shared" ca="1" si="22"/>
        <v>214</v>
      </c>
      <c r="G326" t="str">
        <f t="shared" ca="1" si="23"/>
        <v>Surfaces_Horti</v>
      </c>
      <c r="H326" cm="1">
        <f t="array" aca="1" ref="H326" ca="1">ROW(INDIRECT(A326))</f>
        <v>14</v>
      </c>
      <c r="I326" cm="1">
        <f t="array" aca="1" ref="I326" ca="1">COLUMN(INDIRECT(A326))</f>
        <v>9</v>
      </c>
      <c r="M326" t="str" cm="1">
        <f t="array" aca="1" ref="M326" ca="1">IF(AND(J326="O",ISBLANK(INDIRECT(A326))),"Valeur obligatoire non renseignée","")</f>
        <v/>
      </c>
    </row>
    <row r="327" spans="1:13" x14ac:dyDescent="0.25">
      <c r="A327" s="91" t="s">
        <v>3404</v>
      </c>
      <c r="B327" cm="1">
        <f t="array" aca="1" ref="B327" ca="1">INDIRECT(A327)</f>
        <v>0</v>
      </c>
      <c r="C327">
        <f t="shared" ca="1" si="20"/>
        <v>5</v>
      </c>
      <c r="D327" t="str" cm="1">
        <f t="array" aca="1" ref="D327" ca="1">CELL("nomfichier",INDIRECT(A327))</f>
        <v>G:\SCPE\sdc\bq\6 - Mentions valorisantes\Certification environnementale\TEXTES_REGLEMENTATION_CE\Plans_contrôle et grilles\Grille audit niveau 3\Grille d'audit v1.11\[grille-audit-hvev4-v1.11-vf.xlsx]Surfaces_Horti</v>
      </c>
      <c r="E327">
        <f t="shared" ca="1" si="21"/>
        <v>200</v>
      </c>
      <c r="F327">
        <f t="shared" ca="1" si="22"/>
        <v>214</v>
      </c>
      <c r="G327" t="str">
        <f t="shared" ca="1" si="23"/>
        <v>Surfaces_Horti</v>
      </c>
      <c r="H327" cm="1">
        <f t="array" aca="1" ref="H327" ca="1">ROW(INDIRECT(A327))</f>
        <v>14</v>
      </c>
      <c r="I327" cm="1">
        <f t="array" aca="1" ref="I327" ca="1">COLUMN(INDIRECT(A327))</f>
        <v>10</v>
      </c>
      <c r="M327" t="str" cm="1">
        <f t="array" aca="1" ref="M327" ca="1">IF(AND(J327="O",ISBLANK(INDIRECT(A327))),"Valeur obligatoire non renseignée","")</f>
        <v/>
      </c>
    </row>
    <row r="328" spans="1:13" x14ac:dyDescent="0.25">
      <c r="A328" s="91" t="s">
        <v>3431</v>
      </c>
      <c r="B328" cm="1">
        <f t="array" aca="1" ref="B328" ca="1">INDIRECT(A328)</f>
        <v>0</v>
      </c>
      <c r="C328">
        <f t="shared" ca="1" si="20"/>
        <v>5</v>
      </c>
      <c r="D328" t="str" cm="1">
        <f t="array" aca="1" ref="D328" ca="1">CELL("nomfichier",INDIRECT(A328))</f>
        <v>G:\SCPE\sdc\bq\6 - Mentions valorisantes\Certification environnementale\TEXTES_REGLEMENTATION_CE\Plans_contrôle et grilles\Grille audit niveau 3\Grille d'audit v1.11\[grille-audit-hvev4-v1.11-vf.xlsx]Surfaces_Horti</v>
      </c>
      <c r="E328">
        <f t="shared" ca="1" si="21"/>
        <v>200</v>
      </c>
      <c r="F328">
        <f t="shared" ca="1" si="22"/>
        <v>214</v>
      </c>
      <c r="G328" t="str">
        <f t="shared" ca="1" si="23"/>
        <v>Surfaces_Horti</v>
      </c>
      <c r="H328" cm="1">
        <f t="array" aca="1" ref="H328" ca="1">ROW(INDIRECT(A328))</f>
        <v>14</v>
      </c>
      <c r="I328" cm="1">
        <f t="array" aca="1" ref="I328" ca="1">COLUMN(INDIRECT(A328))</f>
        <v>11</v>
      </c>
      <c r="M328" t="str" cm="1">
        <f t="array" aca="1" ref="M328" ca="1">IF(AND(J328="O",ISBLANK(INDIRECT(A328))),"Valeur obligatoire non renseignée","")</f>
        <v/>
      </c>
    </row>
    <row r="329" spans="1:13" x14ac:dyDescent="0.25">
      <c r="A329" s="91" t="s">
        <v>3458</v>
      </c>
      <c r="B329" cm="1">
        <f t="array" aca="1" ref="B329" ca="1">INDIRECT(A329)</f>
        <v>0</v>
      </c>
      <c r="C329">
        <f t="shared" ca="1" si="20"/>
        <v>5</v>
      </c>
      <c r="D329" t="str" cm="1">
        <f t="array" aca="1" ref="D329" ca="1">CELL("nomfichier",INDIRECT(A329))</f>
        <v>G:\SCPE\sdc\bq\6 - Mentions valorisantes\Certification environnementale\TEXTES_REGLEMENTATION_CE\Plans_contrôle et grilles\Grille audit niveau 3\Grille d'audit v1.11\[grille-audit-hvev4-v1.11-vf.xlsx]Surfaces_Horti</v>
      </c>
      <c r="E329">
        <f t="shared" ca="1" si="21"/>
        <v>200</v>
      </c>
      <c r="F329">
        <f t="shared" ca="1" si="22"/>
        <v>214</v>
      </c>
      <c r="G329" t="str">
        <f t="shared" ca="1" si="23"/>
        <v>Surfaces_Horti</v>
      </c>
      <c r="H329" cm="1">
        <f t="array" aca="1" ref="H329" ca="1">ROW(INDIRECT(A329))</f>
        <v>14</v>
      </c>
      <c r="I329" cm="1">
        <f t="array" aca="1" ref="I329" ca="1">COLUMN(INDIRECT(A329))</f>
        <v>12</v>
      </c>
      <c r="M329" t="str" cm="1">
        <f t="array" aca="1" ref="M329" ca="1">IF(AND(J329="O",ISBLANK(INDIRECT(A329))),"Valeur obligatoire non renseignée","")</f>
        <v/>
      </c>
    </row>
    <row r="330" spans="1:13" x14ac:dyDescent="0.25">
      <c r="A330" s="91" t="s">
        <v>3485</v>
      </c>
      <c r="B330" cm="1">
        <f t="array" aca="1" ref="B330" ca="1">INDIRECT(A330)</f>
        <v>0</v>
      </c>
      <c r="C330">
        <f t="shared" ca="1" si="20"/>
        <v>5</v>
      </c>
      <c r="D330" t="str" cm="1">
        <f t="array" aca="1" ref="D330" ca="1">CELL("nomfichier",INDIRECT(A330))</f>
        <v>G:\SCPE\sdc\bq\6 - Mentions valorisantes\Certification environnementale\TEXTES_REGLEMENTATION_CE\Plans_contrôle et grilles\Grille audit niveau 3\Grille d'audit v1.11\[grille-audit-hvev4-v1.11-vf.xlsx]Surfaces_Horti</v>
      </c>
      <c r="E330">
        <f t="shared" ca="1" si="21"/>
        <v>200</v>
      </c>
      <c r="F330">
        <f t="shared" ca="1" si="22"/>
        <v>214</v>
      </c>
      <c r="G330" t="str">
        <f t="shared" ca="1" si="23"/>
        <v>Surfaces_Horti</v>
      </c>
      <c r="H330" cm="1">
        <f t="array" aca="1" ref="H330" ca="1">ROW(INDIRECT(A330))</f>
        <v>14</v>
      </c>
      <c r="I330" cm="1">
        <f t="array" aca="1" ref="I330" ca="1">COLUMN(INDIRECT(A330))</f>
        <v>13</v>
      </c>
      <c r="M330" t="str" cm="1">
        <f t="array" aca="1" ref="M330" ca="1">IF(AND(J330="O",ISBLANK(INDIRECT(A330))),"Valeur obligatoire non renseignée","")</f>
        <v/>
      </c>
    </row>
    <row r="331" spans="1:13" x14ac:dyDescent="0.25">
      <c r="A331" s="91" t="s">
        <v>3512</v>
      </c>
      <c r="B331" cm="1">
        <f t="array" aca="1" ref="B331" ca="1">INDIRECT(A331)</f>
        <v>0</v>
      </c>
      <c r="C331">
        <f t="shared" ca="1" si="20"/>
        <v>5</v>
      </c>
      <c r="D331" t="str" cm="1">
        <f t="array" aca="1" ref="D331" ca="1">CELL("nomfichier",INDIRECT(A331))</f>
        <v>G:\SCPE\sdc\bq\6 - Mentions valorisantes\Certification environnementale\TEXTES_REGLEMENTATION_CE\Plans_contrôle et grilles\Grille audit niveau 3\Grille d'audit v1.11\[grille-audit-hvev4-v1.11-vf.xlsx]Surfaces_Horti</v>
      </c>
      <c r="E331">
        <f t="shared" ca="1" si="21"/>
        <v>200</v>
      </c>
      <c r="F331">
        <f t="shared" ca="1" si="22"/>
        <v>214</v>
      </c>
      <c r="G331" t="str">
        <f t="shared" ca="1" si="23"/>
        <v>Surfaces_Horti</v>
      </c>
      <c r="H331" cm="1">
        <f t="array" aca="1" ref="H331" ca="1">ROW(INDIRECT(A331))</f>
        <v>14</v>
      </c>
      <c r="I331" cm="1">
        <f t="array" aca="1" ref="I331" ca="1">COLUMN(INDIRECT(A331))</f>
        <v>14</v>
      </c>
      <c r="M331" t="str" cm="1">
        <f t="array" aca="1" ref="M331" ca="1">IF(AND(J331="O",ISBLANK(INDIRECT(A331))),"Valeur obligatoire non renseignée","")</f>
        <v/>
      </c>
    </row>
    <row r="332" spans="1:13" x14ac:dyDescent="0.25">
      <c r="A332" s="91" t="s">
        <v>3189</v>
      </c>
      <c r="B332" cm="1">
        <f t="array" aca="1" ref="B332" ca="1">INDIRECT(A332)</f>
        <v>0</v>
      </c>
      <c r="C332">
        <f t="shared" ca="1" si="20"/>
        <v>5</v>
      </c>
      <c r="D332" t="str" cm="1">
        <f t="array" aca="1" ref="D332" ca="1">CELL("nomfichier",INDIRECT(A332))</f>
        <v>G:\SCPE\sdc\bq\6 - Mentions valorisantes\Certification environnementale\TEXTES_REGLEMENTATION_CE\Plans_contrôle et grilles\Grille audit niveau 3\Grille d'audit v1.11\[grille-audit-hvev4-v1.11-vf.xlsx]Surfaces_Horti</v>
      </c>
      <c r="E332">
        <f t="shared" ca="1" si="21"/>
        <v>200</v>
      </c>
      <c r="F332">
        <f t="shared" ca="1" si="22"/>
        <v>214</v>
      </c>
      <c r="G332" t="str">
        <f t="shared" ca="1" si="23"/>
        <v>Surfaces_Horti</v>
      </c>
      <c r="H332" cm="1">
        <f t="array" aca="1" ref="H332" ca="1">ROW(INDIRECT(A332))</f>
        <v>15</v>
      </c>
      <c r="I332" cm="1">
        <f t="array" aca="1" ref="I332" ca="1">COLUMN(INDIRECT(A332))</f>
        <v>2</v>
      </c>
      <c r="M332" t="str" cm="1">
        <f t="array" aca="1" ref="M332" ca="1">IF(AND(J332="O",ISBLANK(INDIRECT(A332))),"Valeur obligatoire non renseignée","")</f>
        <v/>
      </c>
    </row>
    <row r="333" spans="1:13" x14ac:dyDescent="0.25">
      <c r="A333" s="91" t="s">
        <v>3216</v>
      </c>
      <c r="B333" cm="1">
        <f t="array" aca="1" ref="B333" ca="1">INDIRECT(A333)</f>
        <v>0</v>
      </c>
      <c r="C333">
        <f t="shared" ca="1" si="20"/>
        <v>5</v>
      </c>
      <c r="D333" t="str" cm="1">
        <f t="array" aca="1" ref="D333" ca="1">CELL("nomfichier",INDIRECT(A333))</f>
        <v>G:\SCPE\sdc\bq\6 - Mentions valorisantes\Certification environnementale\TEXTES_REGLEMENTATION_CE\Plans_contrôle et grilles\Grille audit niveau 3\Grille d'audit v1.11\[grille-audit-hvev4-v1.11-vf.xlsx]Surfaces_Horti</v>
      </c>
      <c r="E333">
        <f t="shared" ca="1" si="21"/>
        <v>200</v>
      </c>
      <c r="F333">
        <f t="shared" ca="1" si="22"/>
        <v>214</v>
      </c>
      <c r="G333" t="str">
        <f t="shared" ca="1" si="23"/>
        <v>Surfaces_Horti</v>
      </c>
      <c r="H333" cm="1">
        <f t="array" aca="1" ref="H333" ca="1">ROW(INDIRECT(A333))</f>
        <v>15</v>
      </c>
      <c r="I333" cm="1">
        <f t="array" aca="1" ref="I333" ca="1">COLUMN(INDIRECT(A333))</f>
        <v>3</v>
      </c>
      <c r="M333" t="str" cm="1">
        <f t="array" aca="1" ref="M333" ca="1">IF(AND(J333="O",ISBLANK(INDIRECT(A333))),"Valeur obligatoire non renseignée","")</f>
        <v/>
      </c>
    </row>
    <row r="334" spans="1:13" x14ac:dyDescent="0.25">
      <c r="A334" s="91" t="s">
        <v>3243</v>
      </c>
      <c r="B334" cm="1">
        <f t="array" aca="1" ref="B334" ca="1">INDIRECT(A334)</f>
        <v>0</v>
      </c>
      <c r="C334">
        <f t="shared" ca="1" si="20"/>
        <v>5</v>
      </c>
      <c r="D334" t="str" cm="1">
        <f t="array" aca="1" ref="D334" ca="1">CELL("nomfichier",INDIRECT(A334))</f>
        <v>G:\SCPE\sdc\bq\6 - Mentions valorisantes\Certification environnementale\TEXTES_REGLEMENTATION_CE\Plans_contrôle et grilles\Grille audit niveau 3\Grille d'audit v1.11\[grille-audit-hvev4-v1.11-vf.xlsx]Surfaces_Horti</v>
      </c>
      <c r="E334">
        <f t="shared" ca="1" si="21"/>
        <v>200</v>
      </c>
      <c r="F334">
        <f t="shared" ca="1" si="22"/>
        <v>214</v>
      </c>
      <c r="G334" t="str">
        <f t="shared" ca="1" si="23"/>
        <v>Surfaces_Horti</v>
      </c>
      <c r="H334" cm="1">
        <f t="array" aca="1" ref="H334" ca="1">ROW(INDIRECT(A334))</f>
        <v>15</v>
      </c>
      <c r="I334" cm="1">
        <f t="array" aca="1" ref="I334" ca="1">COLUMN(INDIRECT(A334))</f>
        <v>4</v>
      </c>
      <c r="M334" t="str" cm="1">
        <f t="array" aca="1" ref="M334" ca="1">IF(AND(J334="O",ISBLANK(INDIRECT(A334))),"Valeur obligatoire non renseignée","")</f>
        <v/>
      </c>
    </row>
    <row r="335" spans="1:13" x14ac:dyDescent="0.25">
      <c r="A335" s="91" t="s">
        <v>3270</v>
      </c>
      <c r="B335" cm="1">
        <f t="array" aca="1" ref="B335" ca="1">INDIRECT(A335)</f>
        <v>0</v>
      </c>
      <c r="C335">
        <f t="shared" ca="1" si="20"/>
        <v>5</v>
      </c>
      <c r="D335" t="str" cm="1">
        <f t="array" aca="1" ref="D335" ca="1">CELL("nomfichier",INDIRECT(A335))</f>
        <v>G:\SCPE\sdc\bq\6 - Mentions valorisantes\Certification environnementale\TEXTES_REGLEMENTATION_CE\Plans_contrôle et grilles\Grille audit niveau 3\Grille d'audit v1.11\[grille-audit-hvev4-v1.11-vf.xlsx]Surfaces_Horti</v>
      </c>
      <c r="E335">
        <f t="shared" ca="1" si="21"/>
        <v>200</v>
      </c>
      <c r="F335">
        <f t="shared" ca="1" si="22"/>
        <v>214</v>
      </c>
      <c r="G335" t="str">
        <f t="shared" ca="1" si="23"/>
        <v>Surfaces_Horti</v>
      </c>
      <c r="H335" cm="1">
        <f t="array" aca="1" ref="H335" ca="1">ROW(INDIRECT(A335))</f>
        <v>15</v>
      </c>
      <c r="I335" cm="1">
        <f t="array" aca="1" ref="I335" ca="1">COLUMN(INDIRECT(A335))</f>
        <v>5</v>
      </c>
      <c r="M335" t="str" cm="1">
        <f t="array" aca="1" ref="M335" ca="1">IF(AND(J335="O",ISBLANK(INDIRECT(A335))),"Valeur obligatoire non renseignée","")</f>
        <v/>
      </c>
    </row>
    <row r="336" spans="1:13" x14ac:dyDescent="0.25">
      <c r="A336" s="91" t="s">
        <v>3297</v>
      </c>
      <c r="B336" cm="1">
        <f t="array" aca="1" ref="B336" ca="1">INDIRECT(A336)</f>
        <v>0</v>
      </c>
      <c r="C336">
        <f t="shared" ca="1" si="20"/>
        <v>5</v>
      </c>
      <c r="D336" t="str" cm="1">
        <f t="array" aca="1" ref="D336" ca="1">CELL("nomfichier",INDIRECT(A336))</f>
        <v>G:\SCPE\sdc\bq\6 - Mentions valorisantes\Certification environnementale\TEXTES_REGLEMENTATION_CE\Plans_contrôle et grilles\Grille audit niveau 3\Grille d'audit v1.11\[grille-audit-hvev4-v1.11-vf.xlsx]Surfaces_Horti</v>
      </c>
      <c r="E336">
        <f t="shared" ca="1" si="21"/>
        <v>200</v>
      </c>
      <c r="F336">
        <f t="shared" ca="1" si="22"/>
        <v>214</v>
      </c>
      <c r="G336" t="str">
        <f t="shared" ca="1" si="23"/>
        <v>Surfaces_Horti</v>
      </c>
      <c r="H336" cm="1">
        <f t="array" aca="1" ref="H336" ca="1">ROW(INDIRECT(A336))</f>
        <v>15</v>
      </c>
      <c r="I336" cm="1">
        <f t="array" aca="1" ref="I336" ca="1">COLUMN(INDIRECT(A336))</f>
        <v>6</v>
      </c>
      <c r="M336" t="str" cm="1">
        <f t="array" aca="1" ref="M336" ca="1">IF(AND(J336="O",ISBLANK(INDIRECT(A336))),"Valeur obligatoire non renseignée","")</f>
        <v/>
      </c>
    </row>
    <row r="337" spans="1:13" x14ac:dyDescent="0.25">
      <c r="A337" s="91" t="s">
        <v>3324</v>
      </c>
      <c r="B337" cm="1">
        <f t="array" aca="1" ref="B337" ca="1">INDIRECT(A337)</f>
        <v>0</v>
      </c>
      <c r="C337">
        <f t="shared" ca="1" si="20"/>
        <v>5</v>
      </c>
      <c r="D337" t="str" cm="1">
        <f t="array" aca="1" ref="D337" ca="1">CELL("nomfichier",INDIRECT(A337))</f>
        <v>G:\SCPE\sdc\bq\6 - Mentions valorisantes\Certification environnementale\TEXTES_REGLEMENTATION_CE\Plans_contrôle et grilles\Grille audit niveau 3\Grille d'audit v1.11\[grille-audit-hvev4-v1.11-vf.xlsx]Surfaces_Horti</v>
      </c>
      <c r="E337">
        <f t="shared" ca="1" si="21"/>
        <v>200</v>
      </c>
      <c r="F337">
        <f t="shared" ca="1" si="22"/>
        <v>214</v>
      </c>
      <c r="G337" t="str">
        <f t="shared" ca="1" si="23"/>
        <v>Surfaces_Horti</v>
      </c>
      <c r="H337" cm="1">
        <f t="array" aca="1" ref="H337" ca="1">ROW(INDIRECT(A337))</f>
        <v>15</v>
      </c>
      <c r="I337" cm="1">
        <f t="array" aca="1" ref="I337" ca="1">COLUMN(INDIRECT(A337))</f>
        <v>7</v>
      </c>
      <c r="M337" t="str" cm="1">
        <f t="array" aca="1" ref="M337" ca="1">IF(AND(J337="O",ISBLANK(INDIRECT(A337))),"Valeur obligatoire non renseignée","")</f>
        <v/>
      </c>
    </row>
    <row r="338" spans="1:13" x14ac:dyDescent="0.25">
      <c r="A338" s="91" t="s">
        <v>3351</v>
      </c>
      <c r="B338" cm="1">
        <f t="array" aca="1" ref="B338" ca="1">INDIRECT(A338)</f>
        <v>0</v>
      </c>
      <c r="C338">
        <f t="shared" ca="1" si="20"/>
        <v>5</v>
      </c>
      <c r="D338" t="str" cm="1">
        <f t="array" aca="1" ref="D338" ca="1">CELL("nomfichier",INDIRECT(A338))</f>
        <v>G:\SCPE\sdc\bq\6 - Mentions valorisantes\Certification environnementale\TEXTES_REGLEMENTATION_CE\Plans_contrôle et grilles\Grille audit niveau 3\Grille d'audit v1.11\[grille-audit-hvev4-v1.11-vf.xlsx]Surfaces_Horti</v>
      </c>
      <c r="E338">
        <f t="shared" ca="1" si="21"/>
        <v>200</v>
      </c>
      <c r="F338">
        <f t="shared" ca="1" si="22"/>
        <v>214</v>
      </c>
      <c r="G338" t="str">
        <f t="shared" ca="1" si="23"/>
        <v>Surfaces_Horti</v>
      </c>
      <c r="H338" cm="1">
        <f t="array" aca="1" ref="H338" ca="1">ROW(INDIRECT(A338))</f>
        <v>15</v>
      </c>
      <c r="I338" cm="1">
        <f t="array" aca="1" ref="I338" ca="1">COLUMN(INDIRECT(A338))</f>
        <v>8</v>
      </c>
      <c r="M338" t="str" cm="1">
        <f t="array" aca="1" ref="M338" ca="1">IF(AND(J338="O",ISBLANK(INDIRECT(A338))),"Valeur obligatoire non renseignée","")</f>
        <v/>
      </c>
    </row>
    <row r="339" spans="1:13" x14ac:dyDescent="0.25">
      <c r="A339" s="91" t="s">
        <v>3378</v>
      </c>
      <c r="B339" cm="1">
        <f t="array" aca="1" ref="B339" ca="1">INDIRECT(A339)</f>
        <v>0</v>
      </c>
      <c r="C339">
        <f t="shared" ca="1" si="20"/>
        <v>5</v>
      </c>
      <c r="D339" t="str" cm="1">
        <f t="array" aca="1" ref="D339" ca="1">CELL("nomfichier",INDIRECT(A339))</f>
        <v>G:\SCPE\sdc\bq\6 - Mentions valorisantes\Certification environnementale\TEXTES_REGLEMENTATION_CE\Plans_contrôle et grilles\Grille audit niveau 3\Grille d'audit v1.11\[grille-audit-hvev4-v1.11-vf.xlsx]Surfaces_Horti</v>
      </c>
      <c r="E339">
        <f t="shared" ca="1" si="21"/>
        <v>200</v>
      </c>
      <c r="F339">
        <f t="shared" ca="1" si="22"/>
        <v>214</v>
      </c>
      <c r="G339" t="str">
        <f t="shared" ca="1" si="23"/>
        <v>Surfaces_Horti</v>
      </c>
      <c r="H339" cm="1">
        <f t="array" aca="1" ref="H339" ca="1">ROW(INDIRECT(A339))</f>
        <v>15</v>
      </c>
      <c r="I339" cm="1">
        <f t="array" aca="1" ref="I339" ca="1">COLUMN(INDIRECT(A339))</f>
        <v>9</v>
      </c>
      <c r="M339" t="str" cm="1">
        <f t="array" aca="1" ref="M339" ca="1">IF(AND(J339="O",ISBLANK(INDIRECT(A339))),"Valeur obligatoire non renseignée","")</f>
        <v/>
      </c>
    </row>
    <row r="340" spans="1:13" x14ac:dyDescent="0.25">
      <c r="A340" s="91" t="s">
        <v>3405</v>
      </c>
      <c r="B340" cm="1">
        <f t="array" aca="1" ref="B340" ca="1">INDIRECT(A340)</f>
        <v>0</v>
      </c>
      <c r="C340">
        <f t="shared" ca="1" si="20"/>
        <v>5</v>
      </c>
      <c r="D340" t="str" cm="1">
        <f t="array" aca="1" ref="D340" ca="1">CELL("nomfichier",INDIRECT(A340))</f>
        <v>G:\SCPE\sdc\bq\6 - Mentions valorisantes\Certification environnementale\TEXTES_REGLEMENTATION_CE\Plans_contrôle et grilles\Grille audit niveau 3\Grille d'audit v1.11\[grille-audit-hvev4-v1.11-vf.xlsx]Surfaces_Horti</v>
      </c>
      <c r="E340">
        <f t="shared" ca="1" si="21"/>
        <v>200</v>
      </c>
      <c r="F340">
        <f t="shared" ca="1" si="22"/>
        <v>214</v>
      </c>
      <c r="G340" t="str">
        <f t="shared" ca="1" si="23"/>
        <v>Surfaces_Horti</v>
      </c>
      <c r="H340" cm="1">
        <f t="array" aca="1" ref="H340" ca="1">ROW(INDIRECT(A340))</f>
        <v>15</v>
      </c>
      <c r="I340" cm="1">
        <f t="array" aca="1" ref="I340" ca="1">COLUMN(INDIRECT(A340))</f>
        <v>10</v>
      </c>
      <c r="M340" t="str" cm="1">
        <f t="array" aca="1" ref="M340" ca="1">IF(AND(J340="O",ISBLANK(INDIRECT(A340))),"Valeur obligatoire non renseignée","")</f>
        <v/>
      </c>
    </row>
    <row r="341" spans="1:13" x14ac:dyDescent="0.25">
      <c r="A341" s="91" t="s">
        <v>3432</v>
      </c>
      <c r="B341" cm="1">
        <f t="array" aca="1" ref="B341" ca="1">INDIRECT(A341)</f>
        <v>0</v>
      </c>
      <c r="C341">
        <f t="shared" ca="1" si="20"/>
        <v>5</v>
      </c>
      <c r="D341" t="str" cm="1">
        <f t="array" aca="1" ref="D341" ca="1">CELL("nomfichier",INDIRECT(A341))</f>
        <v>G:\SCPE\sdc\bq\6 - Mentions valorisantes\Certification environnementale\TEXTES_REGLEMENTATION_CE\Plans_contrôle et grilles\Grille audit niveau 3\Grille d'audit v1.11\[grille-audit-hvev4-v1.11-vf.xlsx]Surfaces_Horti</v>
      </c>
      <c r="E341">
        <f t="shared" ca="1" si="21"/>
        <v>200</v>
      </c>
      <c r="F341">
        <f t="shared" ca="1" si="22"/>
        <v>214</v>
      </c>
      <c r="G341" t="str">
        <f t="shared" ca="1" si="23"/>
        <v>Surfaces_Horti</v>
      </c>
      <c r="H341" cm="1">
        <f t="array" aca="1" ref="H341" ca="1">ROW(INDIRECT(A341))</f>
        <v>15</v>
      </c>
      <c r="I341" cm="1">
        <f t="array" aca="1" ref="I341" ca="1">COLUMN(INDIRECT(A341))</f>
        <v>11</v>
      </c>
      <c r="M341" t="str" cm="1">
        <f t="array" aca="1" ref="M341" ca="1">IF(AND(J341="O",ISBLANK(INDIRECT(A341))),"Valeur obligatoire non renseignée","")</f>
        <v/>
      </c>
    </row>
    <row r="342" spans="1:13" x14ac:dyDescent="0.25">
      <c r="A342" s="91" t="s">
        <v>3459</v>
      </c>
      <c r="B342" cm="1">
        <f t="array" aca="1" ref="B342" ca="1">INDIRECT(A342)</f>
        <v>0</v>
      </c>
      <c r="C342">
        <f t="shared" ca="1" si="20"/>
        <v>5</v>
      </c>
      <c r="D342" t="str" cm="1">
        <f t="array" aca="1" ref="D342" ca="1">CELL("nomfichier",INDIRECT(A342))</f>
        <v>G:\SCPE\sdc\bq\6 - Mentions valorisantes\Certification environnementale\TEXTES_REGLEMENTATION_CE\Plans_contrôle et grilles\Grille audit niveau 3\Grille d'audit v1.11\[grille-audit-hvev4-v1.11-vf.xlsx]Surfaces_Horti</v>
      </c>
      <c r="E342">
        <f t="shared" ca="1" si="21"/>
        <v>200</v>
      </c>
      <c r="F342">
        <f t="shared" ca="1" si="22"/>
        <v>214</v>
      </c>
      <c r="G342" t="str">
        <f t="shared" ca="1" si="23"/>
        <v>Surfaces_Horti</v>
      </c>
      <c r="H342" cm="1">
        <f t="array" aca="1" ref="H342" ca="1">ROW(INDIRECT(A342))</f>
        <v>15</v>
      </c>
      <c r="I342" cm="1">
        <f t="array" aca="1" ref="I342" ca="1">COLUMN(INDIRECT(A342))</f>
        <v>12</v>
      </c>
      <c r="M342" t="str" cm="1">
        <f t="array" aca="1" ref="M342" ca="1">IF(AND(J342="O",ISBLANK(INDIRECT(A342))),"Valeur obligatoire non renseignée","")</f>
        <v/>
      </c>
    </row>
    <row r="343" spans="1:13" x14ac:dyDescent="0.25">
      <c r="A343" s="91" t="s">
        <v>3486</v>
      </c>
      <c r="B343" cm="1">
        <f t="array" aca="1" ref="B343" ca="1">INDIRECT(A343)</f>
        <v>0</v>
      </c>
      <c r="C343">
        <f t="shared" ca="1" si="20"/>
        <v>5</v>
      </c>
      <c r="D343" t="str" cm="1">
        <f t="array" aca="1" ref="D343" ca="1">CELL("nomfichier",INDIRECT(A343))</f>
        <v>G:\SCPE\sdc\bq\6 - Mentions valorisantes\Certification environnementale\TEXTES_REGLEMENTATION_CE\Plans_contrôle et grilles\Grille audit niveau 3\Grille d'audit v1.11\[grille-audit-hvev4-v1.11-vf.xlsx]Surfaces_Horti</v>
      </c>
      <c r="E343">
        <f t="shared" ca="1" si="21"/>
        <v>200</v>
      </c>
      <c r="F343">
        <f t="shared" ca="1" si="22"/>
        <v>214</v>
      </c>
      <c r="G343" t="str">
        <f t="shared" ca="1" si="23"/>
        <v>Surfaces_Horti</v>
      </c>
      <c r="H343" cm="1">
        <f t="array" aca="1" ref="H343" ca="1">ROW(INDIRECT(A343))</f>
        <v>15</v>
      </c>
      <c r="I343" cm="1">
        <f t="array" aca="1" ref="I343" ca="1">COLUMN(INDIRECT(A343))</f>
        <v>13</v>
      </c>
      <c r="M343" t="str" cm="1">
        <f t="array" aca="1" ref="M343" ca="1">IF(AND(J343="O",ISBLANK(INDIRECT(A343))),"Valeur obligatoire non renseignée","")</f>
        <v/>
      </c>
    </row>
    <row r="344" spans="1:13" x14ac:dyDescent="0.25">
      <c r="A344" s="91" t="s">
        <v>3513</v>
      </c>
      <c r="B344" cm="1">
        <f t="array" aca="1" ref="B344" ca="1">INDIRECT(A344)</f>
        <v>0</v>
      </c>
      <c r="C344">
        <f t="shared" ca="1" si="20"/>
        <v>5</v>
      </c>
      <c r="D344" t="str" cm="1">
        <f t="array" aca="1" ref="D344" ca="1">CELL("nomfichier",INDIRECT(A344))</f>
        <v>G:\SCPE\sdc\bq\6 - Mentions valorisantes\Certification environnementale\TEXTES_REGLEMENTATION_CE\Plans_contrôle et grilles\Grille audit niveau 3\Grille d'audit v1.11\[grille-audit-hvev4-v1.11-vf.xlsx]Surfaces_Horti</v>
      </c>
      <c r="E344">
        <f t="shared" ca="1" si="21"/>
        <v>200</v>
      </c>
      <c r="F344">
        <f t="shared" ca="1" si="22"/>
        <v>214</v>
      </c>
      <c r="G344" t="str">
        <f t="shared" ca="1" si="23"/>
        <v>Surfaces_Horti</v>
      </c>
      <c r="H344" cm="1">
        <f t="array" aca="1" ref="H344" ca="1">ROW(INDIRECT(A344))</f>
        <v>15</v>
      </c>
      <c r="I344" cm="1">
        <f t="array" aca="1" ref="I344" ca="1">COLUMN(INDIRECT(A344))</f>
        <v>14</v>
      </c>
      <c r="M344" t="str" cm="1">
        <f t="array" aca="1" ref="M344" ca="1">IF(AND(J344="O",ISBLANK(INDIRECT(A344))),"Valeur obligatoire non renseignée","")</f>
        <v/>
      </c>
    </row>
    <row r="345" spans="1:13" x14ac:dyDescent="0.25">
      <c r="A345" s="91" t="s">
        <v>3190</v>
      </c>
      <c r="B345" cm="1">
        <f t="array" aca="1" ref="B345" ca="1">INDIRECT(A345)</f>
        <v>0</v>
      </c>
      <c r="C345">
        <f t="shared" ca="1" si="20"/>
        <v>5</v>
      </c>
      <c r="D345" t="str" cm="1">
        <f t="array" aca="1" ref="D345" ca="1">CELL("nomfichier",INDIRECT(A345))</f>
        <v>G:\SCPE\sdc\bq\6 - Mentions valorisantes\Certification environnementale\TEXTES_REGLEMENTATION_CE\Plans_contrôle et grilles\Grille audit niveau 3\Grille d'audit v1.11\[grille-audit-hvev4-v1.11-vf.xlsx]Surfaces_Horti</v>
      </c>
      <c r="E345">
        <f t="shared" ca="1" si="21"/>
        <v>200</v>
      </c>
      <c r="F345">
        <f t="shared" ca="1" si="22"/>
        <v>214</v>
      </c>
      <c r="G345" t="str">
        <f t="shared" ca="1" si="23"/>
        <v>Surfaces_Horti</v>
      </c>
      <c r="H345" cm="1">
        <f t="array" aca="1" ref="H345" ca="1">ROW(INDIRECT(A345))</f>
        <v>16</v>
      </c>
      <c r="I345" cm="1">
        <f t="array" aca="1" ref="I345" ca="1">COLUMN(INDIRECT(A345))</f>
        <v>2</v>
      </c>
      <c r="M345" t="str" cm="1">
        <f t="array" aca="1" ref="M345" ca="1">IF(AND(J345="O",ISBLANK(INDIRECT(A345))),"Valeur obligatoire non renseignée","")</f>
        <v/>
      </c>
    </row>
    <row r="346" spans="1:13" x14ac:dyDescent="0.25">
      <c r="A346" s="91" t="s">
        <v>3217</v>
      </c>
      <c r="B346" cm="1">
        <f t="array" aca="1" ref="B346" ca="1">INDIRECT(A346)</f>
        <v>0</v>
      </c>
      <c r="C346">
        <f t="shared" ca="1" si="20"/>
        <v>5</v>
      </c>
      <c r="D346" t="str" cm="1">
        <f t="array" aca="1" ref="D346" ca="1">CELL("nomfichier",INDIRECT(A346))</f>
        <v>G:\SCPE\sdc\bq\6 - Mentions valorisantes\Certification environnementale\TEXTES_REGLEMENTATION_CE\Plans_contrôle et grilles\Grille audit niveau 3\Grille d'audit v1.11\[grille-audit-hvev4-v1.11-vf.xlsx]Surfaces_Horti</v>
      </c>
      <c r="E346">
        <f t="shared" ca="1" si="21"/>
        <v>200</v>
      </c>
      <c r="F346">
        <f t="shared" ca="1" si="22"/>
        <v>214</v>
      </c>
      <c r="G346" t="str">
        <f t="shared" ca="1" si="23"/>
        <v>Surfaces_Horti</v>
      </c>
      <c r="H346" cm="1">
        <f t="array" aca="1" ref="H346" ca="1">ROW(INDIRECT(A346))</f>
        <v>16</v>
      </c>
      <c r="I346" cm="1">
        <f t="array" aca="1" ref="I346" ca="1">COLUMN(INDIRECT(A346))</f>
        <v>3</v>
      </c>
      <c r="M346" t="str" cm="1">
        <f t="array" aca="1" ref="M346" ca="1">IF(AND(J346="O",ISBLANK(INDIRECT(A346))),"Valeur obligatoire non renseignée","")</f>
        <v/>
      </c>
    </row>
    <row r="347" spans="1:13" x14ac:dyDescent="0.25">
      <c r="A347" s="91" t="s">
        <v>3244</v>
      </c>
      <c r="B347" cm="1">
        <f t="array" aca="1" ref="B347" ca="1">INDIRECT(A347)</f>
        <v>0</v>
      </c>
      <c r="C347">
        <f t="shared" ca="1" si="20"/>
        <v>5</v>
      </c>
      <c r="D347" t="str" cm="1">
        <f t="array" aca="1" ref="D347" ca="1">CELL("nomfichier",INDIRECT(A347))</f>
        <v>G:\SCPE\sdc\bq\6 - Mentions valorisantes\Certification environnementale\TEXTES_REGLEMENTATION_CE\Plans_contrôle et grilles\Grille audit niveau 3\Grille d'audit v1.11\[grille-audit-hvev4-v1.11-vf.xlsx]Surfaces_Horti</v>
      </c>
      <c r="E347">
        <f t="shared" ca="1" si="21"/>
        <v>200</v>
      </c>
      <c r="F347">
        <f t="shared" ca="1" si="22"/>
        <v>214</v>
      </c>
      <c r="G347" t="str">
        <f t="shared" ca="1" si="23"/>
        <v>Surfaces_Horti</v>
      </c>
      <c r="H347" cm="1">
        <f t="array" aca="1" ref="H347" ca="1">ROW(INDIRECT(A347))</f>
        <v>16</v>
      </c>
      <c r="I347" cm="1">
        <f t="array" aca="1" ref="I347" ca="1">COLUMN(INDIRECT(A347))</f>
        <v>4</v>
      </c>
      <c r="M347" t="str" cm="1">
        <f t="array" aca="1" ref="M347" ca="1">IF(AND(J347="O",ISBLANK(INDIRECT(A347))),"Valeur obligatoire non renseignée","")</f>
        <v/>
      </c>
    </row>
    <row r="348" spans="1:13" x14ac:dyDescent="0.25">
      <c r="A348" s="91" t="s">
        <v>3271</v>
      </c>
      <c r="B348" cm="1">
        <f t="array" aca="1" ref="B348" ca="1">INDIRECT(A348)</f>
        <v>0</v>
      </c>
      <c r="C348">
        <f t="shared" ca="1" si="20"/>
        <v>5</v>
      </c>
      <c r="D348" t="str" cm="1">
        <f t="array" aca="1" ref="D348" ca="1">CELL("nomfichier",INDIRECT(A348))</f>
        <v>G:\SCPE\sdc\bq\6 - Mentions valorisantes\Certification environnementale\TEXTES_REGLEMENTATION_CE\Plans_contrôle et grilles\Grille audit niveau 3\Grille d'audit v1.11\[grille-audit-hvev4-v1.11-vf.xlsx]Surfaces_Horti</v>
      </c>
      <c r="E348">
        <f t="shared" ca="1" si="21"/>
        <v>200</v>
      </c>
      <c r="F348">
        <f t="shared" ca="1" si="22"/>
        <v>214</v>
      </c>
      <c r="G348" t="str">
        <f t="shared" ca="1" si="23"/>
        <v>Surfaces_Horti</v>
      </c>
      <c r="H348" cm="1">
        <f t="array" aca="1" ref="H348" ca="1">ROW(INDIRECT(A348))</f>
        <v>16</v>
      </c>
      <c r="I348" cm="1">
        <f t="array" aca="1" ref="I348" ca="1">COLUMN(INDIRECT(A348))</f>
        <v>5</v>
      </c>
      <c r="M348" t="str" cm="1">
        <f t="array" aca="1" ref="M348" ca="1">IF(AND(J348="O",ISBLANK(INDIRECT(A348))),"Valeur obligatoire non renseignée","")</f>
        <v/>
      </c>
    </row>
    <row r="349" spans="1:13" x14ac:dyDescent="0.25">
      <c r="A349" s="91" t="s">
        <v>3298</v>
      </c>
      <c r="B349" cm="1">
        <f t="array" aca="1" ref="B349" ca="1">INDIRECT(A349)</f>
        <v>0</v>
      </c>
      <c r="C349">
        <f t="shared" ca="1" si="20"/>
        <v>5</v>
      </c>
      <c r="D349" t="str" cm="1">
        <f t="array" aca="1" ref="D349" ca="1">CELL("nomfichier",INDIRECT(A349))</f>
        <v>G:\SCPE\sdc\bq\6 - Mentions valorisantes\Certification environnementale\TEXTES_REGLEMENTATION_CE\Plans_contrôle et grilles\Grille audit niveau 3\Grille d'audit v1.11\[grille-audit-hvev4-v1.11-vf.xlsx]Surfaces_Horti</v>
      </c>
      <c r="E349">
        <f t="shared" ca="1" si="21"/>
        <v>200</v>
      </c>
      <c r="F349">
        <f t="shared" ca="1" si="22"/>
        <v>214</v>
      </c>
      <c r="G349" t="str">
        <f t="shared" ca="1" si="23"/>
        <v>Surfaces_Horti</v>
      </c>
      <c r="H349" cm="1">
        <f t="array" aca="1" ref="H349" ca="1">ROW(INDIRECT(A349))</f>
        <v>16</v>
      </c>
      <c r="I349" cm="1">
        <f t="array" aca="1" ref="I349" ca="1">COLUMN(INDIRECT(A349))</f>
        <v>6</v>
      </c>
      <c r="M349" t="str" cm="1">
        <f t="array" aca="1" ref="M349" ca="1">IF(AND(J349="O",ISBLANK(INDIRECT(A349))),"Valeur obligatoire non renseignée","")</f>
        <v/>
      </c>
    </row>
    <row r="350" spans="1:13" x14ac:dyDescent="0.25">
      <c r="A350" s="91" t="s">
        <v>3325</v>
      </c>
      <c r="B350" cm="1">
        <f t="array" aca="1" ref="B350" ca="1">INDIRECT(A350)</f>
        <v>0</v>
      </c>
      <c r="C350">
        <f t="shared" ca="1" si="20"/>
        <v>5</v>
      </c>
      <c r="D350" t="str" cm="1">
        <f t="array" aca="1" ref="D350" ca="1">CELL("nomfichier",INDIRECT(A350))</f>
        <v>G:\SCPE\sdc\bq\6 - Mentions valorisantes\Certification environnementale\TEXTES_REGLEMENTATION_CE\Plans_contrôle et grilles\Grille audit niveau 3\Grille d'audit v1.11\[grille-audit-hvev4-v1.11-vf.xlsx]Surfaces_Horti</v>
      </c>
      <c r="E350">
        <f t="shared" ca="1" si="21"/>
        <v>200</v>
      </c>
      <c r="F350">
        <f t="shared" ca="1" si="22"/>
        <v>214</v>
      </c>
      <c r="G350" t="str">
        <f t="shared" ca="1" si="23"/>
        <v>Surfaces_Horti</v>
      </c>
      <c r="H350" cm="1">
        <f t="array" aca="1" ref="H350" ca="1">ROW(INDIRECT(A350))</f>
        <v>16</v>
      </c>
      <c r="I350" cm="1">
        <f t="array" aca="1" ref="I350" ca="1">COLUMN(INDIRECT(A350))</f>
        <v>7</v>
      </c>
      <c r="M350" t="str" cm="1">
        <f t="array" aca="1" ref="M350" ca="1">IF(AND(J350="O",ISBLANK(INDIRECT(A350))),"Valeur obligatoire non renseignée","")</f>
        <v/>
      </c>
    </row>
    <row r="351" spans="1:13" x14ac:dyDescent="0.25">
      <c r="A351" s="91" t="s">
        <v>3352</v>
      </c>
      <c r="B351" cm="1">
        <f t="array" aca="1" ref="B351" ca="1">INDIRECT(A351)</f>
        <v>0</v>
      </c>
      <c r="C351">
        <f t="shared" ca="1" si="20"/>
        <v>5</v>
      </c>
      <c r="D351" t="str" cm="1">
        <f t="array" aca="1" ref="D351" ca="1">CELL("nomfichier",INDIRECT(A351))</f>
        <v>G:\SCPE\sdc\bq\6 - Mentions valorisantes\Certification environnementale\TEXTES_REGLEMENTATION_CE\Plans_contrôle et grilles\Grille audit niveau 3\Grille d'audit v1.11\[grille-audit-hvev4-v1.11-vf.xlsx]Surfaces_Horti</v>
      </c>
      <c r="E351">
        <f t="shared" ca="1" si="21"/>
        <v>200</v>
      </c>
      <c r="F351">
        <f t="shared" ca="1" si="22"/>
        <v>214</v>
      </c>
      <c r="G351" t="str">
        <f t="shared" ca="1" si="23"/>
        <v>Surfaces_Horti</v>
      </c>
      <c r="H351" cm="1">
        <f t="array" aca="1" ref="H351" ca="1">ROW(INDIRECT(A351))</f>
        <v>16</v>
      </c>
      <c r="I351" cm="1">
        <f t="array" aca="1" ref="I351" ca="1">COLUMN(INDIRECT(A351))</f>
        <v>8</v>
      </c>
      <c r="M351" t="str" cm="1">
        <f t="array" aca="1" ref="M351" ca="1">IF(AND(J351="O",ISBLANK(INDIRECT(A351))),"Valeur obligatoire non renseignée","")</f>
        <v/>
      </c>
    </row>
    <row r="352" spans="1:13" x14ac:dyDescent="0.25">
      <c r="A352" s="91" t="s">
        <v>3379</v>
      </c>
      <c r="B352" cm="1">
        <f t="array" aca="1" ref="B352" ca="1">INDIRECT(A352)</f>
        <v>0</v>
      </c>
      <c r="C352">
        <f t="shared" ca="1" si="20"/>
        <v>5</v>
      </c>
      <c r="D352" t="str" cm="1">
        <f t="array" aca="1" ref="D352" ca="1">CELL("nomfichier",INDIRECT(A352))</f>
        <v>G:\SCPE\sdc\bq\6 - Mentions valorisantes\Certification environnementale\TEXTES_REGLEMENTATION_CE\Plans_contrôle et grilles\Grille audit niveau 3\Grille d'audit v1.11\[grille-audit-hvev4-v1.11-vf.xlsx]Surfaces_Horti</v>
      </c>
      <c r="E352">
        <f t="shared" ca="1" si="21"/>
        <v>200</v>
      </c>
      <c r="F352">
        <f t="shared" ca="1" si="22"/>
        <v>214</v>
      </c>
      <c r="G352" t="str">
        <f t="shared" ca="1" si="23"/>
        <v>Surfaces_Horti</v>
      </c>
      <c r="H352" cm="1">
        <f t="array" aca="1" ref="H352" ca="1">ROW(INDIRECT(A352))</f>
        <v>16</v>
      </c>
      <c r="I352" cm="1">
        <f t="array" aca="1" ref="I352" ca="1">COLUMN(INDIRECT(A352))</f>
        <v>9</v>
      </c>
      <c r="M352" t="str" cm="1">
        <f t="array" aca="1" ref="M352" ca="1">IF(AND(J352="O",ISBLANK(INDIRECT(A352))),"Valeur obligatoire non renseignée","")</f>
        <v/>
      </c>
    </row>
    <row r="353" spans="1:13" x14ac:dyDescent="0.25">
      <c r="A353" s="91" t="s">
        <v>3406</v>
      </c>
      <c r="B353" cm="1">
        <f t="array" aca="1" ref="B353" ca="1">INDIRECT(A353)</f>
        <v>0</v>
      </c>
      <c r="C353">
        <f t="shared" ca="1" si="20"/>
        <v>5</v>
      </c>
      <c r="D353" t="str" cm="1">
        <f t="array" aca="1" ref="D353" ca="1">CELL("nomfichier",INDIRECT(A353))</f>
        <v>G:\SCPE\sdc\bq\6 - Mentions valorisantes\Certification environnementale\TEXTES_REGLEMENTATION_CE\Plans_contrôle et grilles\Grille audit niveau 3\Grille d'audit v1.11\[grille-audit-hvev4-v1.11-vf.xlsx]Surfaces_Horti</v>
      </c>
      <c r="E353">
        <f t="shared" ca="1" si="21"/>
        <v>200</v>
      </c>
      <c r="F353">
        <f t="shared" ca="1" si="22"/>
        <v>214</v>
      </c>
      <c r="G353" t="str">
        <f t="shared" ca="1" si="23"/>
        <v>Surfaces_Horti</v>
      </c>
      <c r="H353" cm="1">
        <f t="array" aca="1" ref="H353" ca="1">ROW(INDIRECT(A353))</f>
        <v>16</v>
      </c>
      <c r="I353" cm="1">
        <f t="array" aca="1" ref="I353" ca="1">COLUMN(INDIRECT(A353))</f>
        <v>10</v>
      </c>
      <c r="M353" t="str" cm="1">
        <f t="array" aca="1" ref="M353" ca="1">IF(AND(J353="O",ISBLANK(INDIRECT(A353))),"Valeur obligatoire non renseignée","")</f>
        <v/>
      </c>
    </row>
    <row r="354" spans="1:13" x14ac:dyDescent="0.25">
      <c r="A354" s="91" t="s">
        <v>3433</v>
      </c>
      <c r="B354" cm="1">
        <f t="array" aca="1" ref="B354" ca="1">INDIRECT(A354)</f>
        <v>0</v>
      </c>
      <c r="C354">
        <f t="shared" ca="1" si="20"/>
        <v>5</v>
      </c>
      <c r="D354" t="str" cm="1">
        <f t="array" aca="1" ref="D354" ca="1">CELL("nomfichier",INDIRECT(A354))</f>
        <v>G:\SCPE\sdc\bq\6 - Mentions valorisantes\Certification environnementale\TEXTES_REGLEMENTATION_CE\Plans_contrôle et grilles\Grille audit niveau 3\Grille d'audit v1.11\[grille-audit-hvev4-v1.11-vf.xlsx]Surfaces_Horti</v>
      </c>
      <c r="E354">
        <f t="shared" ca="1" si="21"/>
        <v>200</v>
      </c>
      <c r="F354">
        <f t="shared" ca="1" si="22"/>
        <v>214</v>
      </c>
      <c r="G354" t="str">
        <f t="shared" ca="1" si="23"/>
        <v>Surfaces_Horti</v>
      </c>
      <c r="H354" cm="1">
        <f t="array" aca="1" ref="H354" ca="1">ROW(INDIRECT(A354))</f>
        <v>16</v>
      </c>
      <c r="I354" cm="1">
        <f t="array" aca="1" ref="I354" ca="1">COLUMN(INDIRECT(A354))</f>
        <v>11</v>
      </c>
      <c r="M354" t="str" cm="1">
        <f t="array" aca="1" ref="M354" ca="1">IF(AND(J354="O",ISBLANK(INDIRECT(A354))),"Valeur obligatoire non renseignée","")</f>
        <v/>
      </c>
    </row>
    <row r="355" spans="1:13" x14ac:dyDescent="0.25">
      <c r="A355" s="91" t="s">
        <v>3460</v>
      </c>
      <c r="B355" cm="1">
        <f t="array" aca="1" ref="B355" ca="1">INDIRECT(A355)</f>
        <v>0</v>
      </c>
      <c r="C355">
        <f t="shared" ca="1" si="20"/>
        <v>5</v>
      </c>
      <c r="D355" t="str" cm="1">
        <f t="array" aca="1" ref="D355" ca="1">CELL("nomfichier",INDIRECT(A355))</f>
        <v>G:\SCPE\sdc\bq\6 - Mentions valorisantes\Certification environnementale\TEXTES_REGLEMENTATION_CE\Plans_contrôle et grilles\Grille audit niveau 3\Grille d'audit v1.11\[grille-audit-hvev4-v1.11-vf.xlsx]Surfaces_Horti</v>
      </c>
      <c r="E355">
        <f t="shared" ca="1" si="21"/>
        <v>200</v>
      </c>
      <c r="F355">
        <f t="shared" ca="1" si="22"/>
        <v>214</v>
      </c>
      <c r="G355" t="str">
        <f t="shared" ca="1" si="23"/>
        <v>Surfaces_Horti</v>
      </c>
      <c r="H355" cm="1">
        <f t="array" aca="1" ref="H355" ca="1">ROW(INDIRECT(A355))</f>
        <v>16</v>
      </c>
      <c r="I355" cm="1">
        <f t="array" aca="1" ref="I355" ca="1">COLUMN(INDIRECT(A355))</f>
        <v>12</v>
      </c>
      <c r="M355" t="str" cm="1">
        <f t="array" aca="1" ref="M355" ca="1">IF(AND(J355="O",ISBLANK(INDIRECT(A355))),"Valeur obligatoire non renseignée","")</f>
        <v/>
      </c>
    </row>
    <row r="356" spans="1:13" x14ac:dyDescent="0.25">
      <c r="A356" s="91" t="s">
        <v>3487</v>
      </c>
      <c r="B356" cm="1">
        <f t="array" aca="1" ref="B356" ca="1">INDIRECT(A356)</f>
        <v>0</v>
      </c>
      <c r="C356">
        <f t="shared" ca="1" si="20"/>
        <v>5</v>
      </c>
      <c r="D356" t="str" cm="1">
        <f t="array" aca="1" ref="D356" ca="1">CELL("nomfichier",INDIRECT(A356))</f>
        <v>G:\SCPE\sdc\bq\6 - Mentions valorisantes\Certification environnementale\TEXTES_REGLEMENTATION_CE\Plans_contrôle et grilles\Grille audit niveau 3\Grille d'audit v1.11\[grille-audit-hvev4-v1.11-vf.xlsx]Surfaces_Horti</v>
      </c>
      <c r="E356">
        <f t="shared" ca="1" si="21"/>
        <v>200</v>
      </c>
      <c r="F356">
        <f t="shared" ca="1" si="22"/>
        <v>214</v>
      </c>
      <c r="G356" t="str">
        <f t="shared" ca="1" si="23"/>
        <v>Surfaces_Horti</v>
      </c>
      <c r="H356" cm="1">
        <f t="array" aca="1" ref="H356" ca="1">ROW(INDIRECT(A356))</f>
        <v>16</v>
      </c>
      <c r="I356" cm="1">
        <f t="array" aca="1" ref="I356" ca="1">COLUMN(INDIRECT(A356))</f>
        <v>13</v>
      </c>
      <c r="M356" t="str" cm="1">
        <f t="array" aca="1" ref="M356" ca="1">IF(AND(J356="O",ISBLANK(INDIRECT(A356))),"Valeur obligatoire non renseignée","")</f>
        <v/>
      </c>
    </row>
    <row r="357" spans="1:13" x14ac:dyDescent="0.25">
      <c r="A357" s="91" t="s">
        <v>3514</v>
      </c>
      <c r="B357" cm="1">
        <f t="array" aca="1" ref="B357" ca="1">INDIRECT(A357)</f>
        <v>0</v>
      </c>
      <c r="C357">
        <f t="shared" ca="1" si="20"/>
        <v>5</v>
      </c>
      <c r="D357" t="str" cm="1">
        <f t="array" aca="1" ref="D357" ca="1">CELL("nomfichier",INDIRECT(A357))</f>
        <v>G:\SCPE\sdc\bq\6 - Mentions valorisantes\Certification environnementale\TEXTES_REGLEMENTATION_CE\Plans_contrôle et grilles\Grille audit niveau 3\Grille d'audit v1.11\[grille-audit-hvev4-v1.11-vf.xlsx]Surfaces_Horti</v>
      </c>
      <c r="E357">
        <f t="shared" ca="1" si="21"/>
        <v>200</v>
      </c>
      <c r="F357">
        <f t="shared" ca="1" si="22"/>
        <v>214</v>
      </c>
      <c r="G357" t="str">
        <f t="shared" ca="1" si="23"/>
        <v>Surfaces_Horti</v>
      </c>
      <c r="H357" cm="1">
        <f t="array" aca="1" ref="H357" ca="1">ROW(INDIRECT(A357))</f>
        <v>16</v>
      </c>
      <c r="I357" cm="1">
        <f t="array" aca="1" ref="I357" ca="1">COLUMN(INDIRECT(A357))</f>
        <v>14</v>
      </c>
      <c r="M357" t="str" cm="1">
        <f t="array" aca="1" ref="M357" ca="1">IF(AND(J357="O",ISBLANK(INDIRECT(A357))),"Valeur obligatoire non renseignée","")</f>
        <v/>
      </c>
    </row>
    <row r="358" spans="1:13" x14ac:dyDescent="0.25">
      <c r="A358" s="91" t="s">
        <v>3191</v>
      </c>
      <c r="B358" cm="1">
        <f t="array" aca="1" ref="B358" ca="1">INDIRECT(A358)</f>
        <v>0</v>
      </c>
      <c r="C358">
        <f t="shared" ca="1" si="20"/>
        <v>5</v>
      </c>
      <c r="D358" t="str" cm="1">
        <f t="array" aca="1" ref="D358" ca="1">CELL("nomfichier",INDIRECT(A358))</f>
        <v>G:\SCPE\sdc\bq\6 - Mentions valorisantes\Certification environnementale\TEXTES_REGLEMENTATION_CE\Plans_contrôle et grilles\Grille audit niveau 3\Grille d'audit v1.11\[grille-audit-hvev4-v1.11-vf.xlsx]Surfaces_Horti</v>
      </c>
      <c r="E358">
        <f t="shared" ca="1" si="21"/>
        <v>200</v>
      </c>
      <c r="F358">
        <f t="shared" ca="1" si="22"/>
        <v>214</v>
      </c>
      <c r="G358" t="str">
        <f t="shared" ca="1" si="23"/>
        <v>Surfaces_Horti</v>
      </c>
      <c r="H358" cm="1">
        <f t="array" aca="1" ref="H358" ca="1">ROW(INDIRECT(A358))</f>
        <v>17</v>
      </c>
      <c r="I358" cm="1">
        <f t="array" aca="1" ref="I358" ca="1">COLUMN(INDIRECT(A358))</f>
        <v>2</v>
      </c>
      <c r="M358" t="str" cm="1">
        <f t="array" aca="1" ref="M358" ca="1">IF(AND(J358="O",ISBLANK(INDIRECT(A358))),"Valeur obligatoire non renseignée","")</f>
        <v/>
      </c>
    </row>
    <row r="359" spans="1:13" x14ac:dyDescent="0.25">
      <c r="A359" s="91" t="s">
        <v>3218</v>
      </c>
      <c r="B359" cm="1">
        <f t="array" aca="1" ref="B359" ca="1">INDIRECT(A359)</f>
        <v>0</v>
      </c>
      <c r="C359">
        <f t="shared" ca="1" si="20"/>
        <v>5</v>
      </c>
      <c r="D359" t="str" cm="1">
        <f t="array" aca="1" ref="D359" ca="1">CELL("nomfichier",INDIRECT(A359))</f>
        <v>G:\SCPE\sdc\bq\6 - Mentions valorisantes\Certification environnementale\TEXTES_REGLEMENTATION_CE\Plans_contrôle et grilles\Grille audit niveau 3\Grille d'audit v1.11\[grille-audit-hvev4-v1.11-vf.xlsx]Surfaces_Horti</v>
      </c>
      <c r="E359">
        <f t="shared" ca="1" si="21"/>
        <v>200</v>
      </c>
      <c r="F359">
        <f t="shared" ca="1" si="22"/>
        <v>214</v>
      </c>
      <c r="G359" t="str">
        <f t="shared" ca="1" si="23"/>
        <v>Surfaces_Horti</v>
      </c>
      <c r="H359" cm="1">
        <f t="array" aca="1" ref="H359" ca="1">ROW(INDIRECT(A359))</f>
        <v>17</v>
      </c>
      <c r="I359" cm="1">
        <f t="array" aca="1" ref="I359" ca="1">COLUMN(INDIRECT(A359))</f>
        <v>3</v>
      </c>
      <c r="M359" t="str" cm="1">
        <f t="array" aca="1" ref="M359" ca="1">IF(AND(J359="O",ISBLANK(INDIRECT(A359))),"Valeur obligatoire non renseignée","")</f>
        <v/>
      </c>
    </row>
    <row r="360" spans="1:13" x14ac:dyDescent="0.25">
      <c r="A360" s="91" t="s">
        <v>3245</v>
      </c>
      <c r="B360" cm="1">
        <f t="array" aca="1" ref="B360" ca="1">INDIRECT(A360)</f>
        <v>0</v>
      </c>
      <c r="C360">
        <f t="shared" ca="1" si="20"/>
        <v>5</v>
      </c>
      <c r="D360" t="str" cm="1">
        <f t="array" aca="1" ref="D360" ca="1">CELL("nomfichier",INDIRECT(A360))</f>
        <v>G:\SCPE\sdc\bq\6 - Mentions valorisantes\Certification environnementale\TEXTES_REGLEMENTATION_CE\Plans_contrôle et grilles\Grille audit niveau 3\Grille d'audit v1.11\[grille-audit-hvev4-v1.11-vf.xlsx]Surfaces_Horti</v>
      </c>
      <c r="E360">
        <f t="shared" ca="1" si="21"/>
        <v>200</v>
      </c>
      <c r="F360">
        <f t="shared" ca="1" si="22"/>
        <v>214</v>
      </c>
      <c r="G360" t="str">
        <f t="shared" ca="1" si="23"/>
        <v>Surfaces_Horti</v>
      </c>
      <c r="H360" cm="1">
        <f t="array" aca="1" ref="H360" ca="1">ROW(INDIRECT(A360))</f>
        <v>17</v>
      </c>
      <c r="I360" cm="1">
        <f t="array" aca="1" ref="I360" ca="1">COLUMN(INDIRECT(A360))</f>
        <v>4</v>
      </c>
      <c r="M360" t="str" cm="1">
        <f t="array" aca="1" ref="M360" ca="1">IF(AND(J360="O",ISBLANK(INDIRECT(A360))),"Valeur obligatoire non renseignée","")</f>
        <v/>
      </c>
    </row>
    <row r="361" spans="1:13" x14ac:dyDescent="0.25">
      <c r="A361" s="91" t="s">
        <v>3272</v>
      </c>
      <c r="B361" cm="1">
        <f t="array" aca="1" ref="B361" ca="1">INDIRECT(A361)</f>
        <v>0</v>
      </c>
      <c r="C361">
        <f t="shared" ca="1" si="20"/>
        <v>5</v>
      </c>
      <c r="D361" t="str" cm="1">
        <f t="array" aca="1" ref="D361" ca="1">CELL("nomfichier",INDIRECT(A361))</f>
        <v>G:\SCPE\sdc\bq\6 - Mentions valorisantes\Certification environnementale\TEXTES_REGLEMENTATION_CE\Plans_contrôle et grilles\Grille audit niveau 3\Grille d'audit v1.11\[grille-audit-hvev4-v1.11-vf.xlsx]Surfaces_Horti</v>
      </c>
      <c r="E361">
        <f t="shared" ca="1" si="21"/>
        <v>200</v>
      </c>
      <c r="F361">
        <f t="shared" ca="1" si="22"/>
        <v>214</v>
      </c>
      <c r="G361" t="str">
        <f t="shared" ca="1" si="23"/>
        <v>Surfaces_Horti</v>
      </c>
      <c r="H361" cm="1">
        <f t="array" aca="1" ref="H361" ca="1">ROW(INDIRECT(A361))</f>
        <v>17</v>
      </c>
      <c r="I361" cm="1">
        <f t="array" aca="1" ref="I361" ca="1">COLUMN(INDIRECT(A361))</f>
        <v>5</v>
      </c>
      <c r="M361" t="str" cm="1">
        <f t="array" aca="1" ref="M361" ca="1">IF(AND(J361="O",ISBLANK(INDIRECT(A361))),"Valeur obligatoire non renseignée","")</f>
        <v/>
      </c>
    </row>
    <row r="362" spans="1:13" x14ac:dyDescent="0.25">
      <c r="A362" s="91" t="s">
        <v>3299</v>
      </c>
      <c r="B362" cm="1">
        <f t="array" aca="1" ref="B362" ca="1">INDIRECT(A362)</f>
        <v>0</v>
      </c>
      <c r="C362">
        <f t="shared" ca="1" si="20"/>
        <v>5</v>
      </c>
      <c r="D362" t="str" cm="1">
        <f t="array" aca="1" ref="D362" ca="1">CELL("nomfichier",INDIRECT(A362))</f>
        <v>G:\SCPE\sdc\bq\6 - Mentions valorisantes\Certification environnementale\TEXTES_REGLEMENTATION_CE\Plans_contrôle et grilles\Grille audit niveau 3\Grille d'audit v1.11\[grille-audit-hvev4-v1.11-vf.xlsx]Surfaces_Horti</v>
      </c>
      <c r="E362">
        <f t="shared" ca="1" si="21"/>
        <v>200</v>
      </c>
      <c r="F362">
        <f t="shared" ca="1" si="22"/>
        <v>214</v>
      </c>
      <c r="G362" t="str">
        <f t="shared" ca="1" si="23"/>
        <v>Surfaces_Horti</v>
      </c>
      <c r="H362" cm="1">
        <f t="array" aca="1" ref="H362" ca="1">ROW(INDIRECT(A362))</f>
        <v>17</v>
      </c>
      <c r="I362" cm="1">
        <f t="array" aca="1" ref="I362" ca="1">COLUMN(INDIRECT(A362))</f>
        <v>6</v>
      </c>
      <c r="M362" t="str" cm="1">
        <f t="array" aca="1" ref="M362" ca="1">IF(AND(J362="O",ISBLANK(INDIRECT(A362))),"Valeur obligatoire non renseignée","")</f>
        <v/>
      </c>
    </row>
    <row r="363" spans="1:13" x14ac:dyDescent="0.25">
      <c r="A363" s="91" t="s">
        <v>3326</v>
      </c>
      <c r="B363" cm="1">
        <f t="array" aca="1" ref="B363" ca="1">INDIRECT(A363)</f>
        <v>0</v>
      </c>
      <c r="C363">
        <f t="shared" ca="1" si="20"/>
        <v>5</v>
      </c>
      <c r="D363" t="str" cm="1">
        <f t="array" aca="1" ref="D363" ca="1">CELL("nomfichier",INDIRECT(A363))</f>
        <v>G:\SCPE\sdc\bq\6 - Mentions valorisantes\Certification environnementale\TEXTES_REGLEMENTATION_CE\Plans_contrôle et grilles\Grille audit niveau 3\Grille d'audit v1.11\[grille-audit-hvev4-v1.11-vf.xlsx]Surfaces_Horti</v>
      </c>
      <c r="E363">
        <f t="shared" ca="1" si="21"/>
        <v>200</v>
      </c>
      <c r="F363">
        <f t="shared" ca="1" si="22"/>
        <v>214</v>
      </c>
      <c r="G363" t="str">
        <f t="shared" ca="1" si="23"/>
        <v>Surfaces_Horti</v>
      </c>
      <c r="H363" cm="1">
        <f t="array" aca="1" ref="H363" ca="1">ROW(INDIRECT(A363))</f>
        <v>17</v>
      </c>
      <c r="I363" cm="1">
        <f t="array" aca="1" ref="I363" ca="1">COLUMN(INDIRECT(A363))</f>
        <v>7</v>
      </c>
      <c r="M363" t="str" cm="1">
        <f t="array" aca="1" ref="M363" ca="1">IF(AND(J363="O",ISBLANK(INDIRECT(A363))),"Valeur obligatoire non renseignée","")</f>
        <v/>
      </c>
    </row>
    <row r="364" spans="1:13" x14ac:dyDescent="0.25">
      <c r="A364" s="91" t="s">
        <v>3353</v>
      </c>
      <c r="B364" cm="1">
        <f t="array" aca="1" ref="B364" ca="1">INDIRECT(A364)</f>
        <v>0</v>
      </c>
      <c r="C364">
        <f t="shared" ca="1" si="20"/>
        <v>5</v>
      </c>
      <c r="D364" t="str" cm="1">
        <f t="array" aca="1" ref="D364" ca="1">CELL("nomfichier",INDIRECT(A364))</f>
        <v>G:\SCPE\sdc\bq\6 - Mentions valorisantes\Certification environnementale\TEXTES_REGLEMENTATION_CE\Plans_contrôle et grilles\Grille audit niveau 3\Grille d'audit v1.11\[grille-audit-hvev4-v1.11-vf.xlsx]Surfaces_Horti</v>
      </c>
      <c r="E364">
        <f t="shared" ca="1" si="21"/>
        <v>200</v>
      </c>
      <c r="F364">
        <f t="shared" ca="1" si="22"/>
        <v>214</v>
      </c>
      <c r="G364" t="str">
        <f t="shared" ca="1" si="23"/>
        <v>Surfaces_Horti</v>
      </c>
      <c r="H364" cm="1">
        <f t="array" aca="1" ref="H364" ca="1">ROW(INDIRECT(A364))</f>
        <v>17</v>
      </c>
      <c r="I364" cm="1">
        <f t="array" aca="1" ref="I364" ca="1">COLUMN(INDIRECT(A364))</f>
        <v>8</v>
      </c>
      <c r="M364" t="str" cm="1">
        <f t="array" aca="1" ref="M364" ca="1">IF(AND(J364="O",ISBLANK(INDIRECT(A364))),"Valeur obligatoire non renseignée","")</f>
        <v/>
      </c>
    </row>
    <row r="365" spans="1:13" x14ac:dyDescent="0.25">
      <c r="A365" s="91" t="s">
        <v>3380</v>
      </c>
      <c r="B365" cm="1">
        <f t="array" aca="1" ref="B365" ca="1">INDIRECT(A365)</f>
        <v>0</v>
      </c>
      <c r="C365">
        <f t="shared" ca="1" si="20"/>
        <v>5</v>
      </c>
      <c r="D365" t="str" cm="1">
        <f t="array" aca="1" ref="D365" ca="1">CELL("nomfichier",INDIRECT(A365))</f>
        <v>G:\SCPE\sdc\bq\6 - Mentions valorisantes\Certification environnementale\TEXTES_REGLEMENTATION_CE\Plans_contrôle et grilles\Grille audit niveau 3\Grille d'audit v1.11\[grille-audit-hvev4-v1.11-vf.xlsx]Surfaces_Horti</v>
      </c>
      <c r="E365">
        <f t="shared" ca="1" si="21"/>
        <v>200</v>
      </c>
      <c r="F365">
        <f t="shared" ca="1" si="22"/>
        <v>214</v>
      </c>
      <c r="G365" t="str">
        <f t="shared" ca="1" si="23"/>
        <v>Surfaces_Horti</v>
      </c>
      <c r="H365" cm="1">
        <f t="array" aca="1" ref="H365" ca="1">ROW(INDIRECT(A365))</f>
        <v>17</v>
      </c>
      <c r="I365" cm="1">
        <f t="array" aca="1" ref="I365" ca="1">COLUMN(INDIRECT(A365))</f>
        <v>9</v>
      </c>
      <c r="M365" t="str" cm="1">
        <f t="array" aca="1" ref="M365" ca="1">IF(AND(J365="O",ISBLANK(INDIRECT(A365))),"Valeur obligatoire non renseignée","")</f>
        <v/>
      </c>
    </row>
    <row r="366" spans="1:13" x14ac:dyDescent="0.25">
      <c r="A366" s="91" t="s">
        <v>3407</v>
      </c>
      <c r="B366" cm="1">
        <f t="array" aca="1" ref="B366" ca="1">INDIRECT(A366)</f>
        <v>0</v>
      </c>
      <c r="C366">
        <f t="shared" ca="1" si="20"/>
        <v>5</v>
      </c>
      <c r="D366" t="str" cm="1">
        <f t="array" aca="1" ref="D366" ca="1">CELL("nomfichier",INDIRECT(A366))</f>
        <v>G:\SCPE\sdc\bq\6 - Mentions valorisantes\Certification environnementale\TEXTES_REGLEMENTATION_CE\Plans_contrôle et grilles\Grille audit niveau 3\Grille d'audit v1.11\[grille-audit-hvev4-v1.11-vf.xlsx]Surfaces_Horti</v>
      </c>
      <c r="E366">
        <f t="shared" ca="1" si="21"/>
        <v>200</v>
      </c>
      <c r="F366">
        <f t="shared" ca="1" si="22"/>
        <v>214</v>
      </c>
      <c r="G366" t="str">
        <f t="shared" ca="1" si="23"/>
        <v>Surfaces_Horti</v>
      </c>
      <c r="H366" cm="1">
        <f t="array" aca="1" ref="H366" ca="1">ROW(INDIRECT(A366))</f>
        <v>17</v>
      </c>
      <c r="I366" cm="1">
        <f t="array" aca="1" ref="I366" ca="1">COLUMN(INDIRECT(A366))</f>
        <v>10</v>
      </c>
      <c r="M366" t="str" cm="1">
        <f t="array" aca="1" ref="M366" ca="1">IF(AND(J366="O",ISBLANK(INDIRECT(A366))),"Valeur obligatoire non renseignée","")</f>
        <v/>
      </c>
    </row>
    <row r="367" spans="1:13" x14ac:dyDescent="0.25">
      <c r="A367" s="91" t="s">
        <v>3434</v>
      </c>
      <c r="B367" cm="1">
        <f t="array" aca="1" ref="B367" ca="1">INDIRECT(A367)</f>
        <v>0</v>
      </c>
      <c r="C367">
        <f t="shared" ca="1" si="20"/>
        <v>5</v>
      </c>
      <c r="D367" t="str" cm="1">
        <f t="array" aca="1" ref="D367" ca="1">CELL("nomfichier",INDIRECT(A367))</f>
        <v>G:\SCPE\sdc\bq\6 - Mentions valorisantes\Certification environnementale\TEXTES_REGLEMENTATION_CE\Plans_contrôle et grilles\Grille audit niveau 3\Grille d'audit v1.11\[grille-audit-hvev4-v1.11-vf.xlsx]Surfaces_Horti</v>
      </c>
      <c r="E367">
        <f t="shared" ca="1" si="21"/>
        <v>200</v>
      </c>
      <c r="F367">
        <f t="shared" ca="1" si="22"/>
        <v>214</v>
      </c>
      <c r="G367" t="str">
        <f t="shared" ca="1" si="23"/>
        <v>Surfaces_Horti</v>
      </c>
      <c r="H367" cm="1">
        <f t="array" aca="1" ref="H367" ca="1">ROW(INDIRECT(A367))</f>
        <v>17</v>
      </c>
      <c r="I367" cm="1">
        <f t="array" aca="1" ref="I367" ca="1">COLUMN(INDIRECT(A367))</f>
        <v>11</v>
      </c>
      <c r="M367" t="str" cm="1">
        <f t="array" aca="1" ref="M367" ca="1">IF(AND(J367="O",ISBLANK(INDIRECT(A367))),"Valeur obligatoire non renseignée","")</f>
        <v/>
      </c>
    </row>
    <row r="368" spans="1:13" x14ac:dyDescent="0.25">
      <c r="A368" s="91" t="s">
        <v>3461</v>
      </c>
      <c r="B368" cm="1">
        <f t="array" aca="1" ref="B368" ca="1">INDIRECT(A368)</f>
        <v>0</v>
      </c>
      <c r="C368">
        <f t="shared" ca="1" si="20"/>
        <v>5</v>
      </c>
      <c r="D368" t="str" cm="1">
        <f t="array" aca="1" ref="D368" ca="1">CELL("nomfichier",INDIRECT(A368))</f>
        <v>G:\SCPE\sdc\bq\6 - Mentions valorisantes\Certification environnementale\TEXTES_REGLEMENTATION_CE\Plans_contrôle et grilles\Grille audit niveau 3\Grille d'audit v1.11\[grille-audit-hvev4-v1.11-vf.xlsx]Surfaces_Horti</v>
      </c>
      <c r="E368">
        <f t="shared" ca="1" si="21"/>
        <v>200</v>
      </c>
      <c r="F368">
        <f t="shared" ca="1" si="22"/>
        <v>214</v>
      </c>
      <c r="G368" t="str">
        <f t="shared" ca="1" si="23"/>
        <v>Surfaces_Horti</v>
      </c>
      <c r="H368" cm="1">
        <f t="array" aca="1" ref="H368" ca="1">ROW(INDIRECT(A368))</f>
        <v>17</v>
      </c>
      <c r="I368" cm="1">
        <f t="array" aca="1" ref="I368" ca="1">COLUMN(INDIRECT(A368))</f>
        <v>12</v>
      </c>
      <c r="M368" t="str" cm="1">
        <f t="array" aca="1" ref="M368" ca="1">IF(AND(J368="O",ISBLANK(INDIRECT(A368))),"Valeur obligatoire non renseignée","")</f>
        <v/>
      </c>
    </row>
    <row r="369" spans="1:13" x14ac:dyDescent="0.25">
      <c r="A369" s="91" t="s">
        <v>3488</v>
      </c>
      <c r="B369" cm="1">
        <f t="array" aca="1" ref="B369" ca="1">INDIRECT(A369)</f>
        <v>0</v>
      </c>
      <c r="C369">
        <f t="shared" ca="1" si="20"/>
        <v>5</v>
      </c>
      <c r="D369" t="str" cm="1">
        <f t="array" aca="1" ref="D369" ca="1">CELL("nomfichier",INDIRECT(A369))</f>
        <v>G:\SCPE\sdc\bq\6 - Mentions valorisantes\Certification environnementale\TEXTES_REGLEMENTATION_CE\Plans_contrôle et grilles\Grille audit niveau 3\Grille d'audit v1.11\[grille-audit-hvev4-v1.11-vf.xlsx]Surfaces_Horti</v>
      </c>
      <c r="E369">
        <f t="shared" ca="1" si="21"/>
        <v>200</v>
      </c>
      <c r="F369">
        <f t="shared" ca="1" si="22"/>
        <v>214</v>
      </c>
      <c r="G369" t="str">
        <f t="shared" ca="1" si="23"/>
        <v>Surfaces_Horti</v>
      </c>
      <c r="H369" cm="1">
        <f t="array" aca="1" ref="H369" ca="1">ROW(INDIRECT(A369))</f>
        <v>17</v>
      </c>
      <c r="I369" cm="1">
        <f t="array" aca="1" ref="I369" ca="1">COLUMN(INDIRECT(A369))</f>
        <v>13</v>
      </c>
      <c r="M369" t="str" cm="1">
        <f t="array" aca="1" ref="M369" ca="1">IF(AND(J369="O",ISBLANK(INDIRECT(A369))),"Valeur obligatoire non renseignée","")</f>
        <v/>
      </c>
    </row>
    <row r="370" spans="1:13" x14ac:dyDescent="0.25">
      <c r="A370" s="91" t="s">
        <v>3515</v>
      </c>
      <c r="B370" cm="1">
        <f t="array" aca="1" ref="B370" ca="1">INDIRECT(A370)</f>
        <v>0</v>
      </c>
      <c r="C370">
        <f t="shared" ca="1" si="20"/>
        <v>5</v>
      </c>
      <c r="D370" t="str" cm="1">
        <f t="array" aca="1" ref="D370" ca="1">CELL("nomfichier",INDIRECT(A370))</f>
        <v>G:\SCPE\sdc\bq\6 - Mentions valorisantes\Certification environnementale\TEXTES_REGLEMENTATION_CE\Plans_contrôle et grilles\Grille audit niveau 3\Grille d'audit v1.11\[grille-audit-hvev4-v1.11-vf.xlsx]Surfaces_Horti</v>
      </c>
      <c r="E370">
        <f t="shared" ca="1" si="21"/>
        <v>200</v>
      </c>
      <c r="F370">
        <f t="shared" ca="1" si="22"/>
        <v>214</v>
      </c>
      <c r="G370" t="str">
        <f t="shared" ca="1" si="23"/>
        <v>Surfaces_Horti</v>
      </c>
      <c r="H370" cm="1">
        <f t="array" aca="1" ref="H370" ca="1">ROW(INDIRECT(A370))</f>
        <v>17</v>
      </c>
      <c r="I370" cm="1">
        <f t="array" aca="1" ref="I370" ca="1">COLUMN(INDIRECT(A370))</f>
        <v>14</v>
      </c>
      <c r="M370" t="str" cm="1">
        <f t="array" aca="1" ref="M370" ca="1">IF(AND(J370="O",ISBLANK(INDIRECT(A370))),"Valeur obligatoire non renseignée","")</f>
        <v/>
      </c>
    </row>
    <row r="371" spans="1:13" x14ac:dyDescent="0.25">
      <c r="A371" s="91" t="s">
        <v>3192</v>
      </c>
      <c r="B371" cm="1">
        <f t="array" aca="1" ref="B371" ca="1">INDIRECT(A371)</f>
        <v>0</v>
      </c>
      <c r="C371">
        <f t="shared" ca="1" si="20"/>
        <v>5</v>
      </c>
      <c r="D371" t="str" cm="1">
        <f t="array" aca="1" ref="D371" ca="1">CELL("nomfichier",INDIRECT(A371))</f>
        <v>G:\SCPE\sdc\bq\6 - Mentions valorisantes\Certification environnementale\TEXTES_REGLEMENTATION_CE\Plans_contrôle et grilles\Grille audit niveau 3\Grille d'audit v1.11\[grille-audit-hvev4-v1.11-vf.xlsx]Surfaces_Horti</v>
      </c>
      <c r="E371">
        <f t="shared" ca="1" si="21"/>
        <v>200</v>
      </c>
      <c r="F371">
        <f t="shared" ca="1" si="22"/>
        <v>214</v>
      </c>
      <c r="G371" t="str">
        <f t="shared" ca="1" si="23"/>
        <v>Surfaces_Horti</v>
      </c>
      <c r="H371" cm="1">
        <f t="array" aca="1" ref="H371" ca="1">ROW(INDIRECT(A371))</f>
        <v>18</v>
      </c>
      <c r="I371" cm="1">
        <f t="array" aca="1" ref="I371" ca="1">COLUMN(INDIRECT(A371))</f>
        <v>2</v>
      </c>
      <c r="M371" t="str" cm="1">
        <f t="array" aca="1" ref="M371" ca="1">IF(AND(J371="O",ISBLANK(INDIRECT(A371))),"Valeur obligatoire non renseignée","")</f>
        <v/>
      </c>
    </row>
    <row r="372" spans="1:13" x14ac:dyDescent="0.25">
      <c r="A372" s="91" t="s">
        <v>3219</v>
      </c>
      <c r="B372" cm="1">
        <f t="array" aca="1" ref="B372" ca="1">INDIRECT(A372)</f>
        <v>0</v>
      </c>
      <c r="C372">
        <f t="shared" ca="1" si="20"/>
        <v>5</v>
      </c>
      <c r="D372" t="str" cm="1">
        <f t="array" aca="1" ref="D372" ca="1">CELL("nomfichier",INDIRECT(A372))</f>
        <v>G:\SCPE\sdc\bq\6 - Mentions valorisantes\Certification environnementale\TEXTES_REGLEMENTATION_CE\Plans_contrôle et grilles\Grille audit niveau 3\Grille d'audit v1.11\[grille-audit-hvev4-v1.11-vf.xlsx]Surfaces_Horti</v>
      </c>
      <c r="E372">
        <f t="shared" ca="1" si="21"/>
        <v>200</v>
      </c>
      <c r="F372">
        <f t="shared" ca="1" si="22"/>
        <v>214</v>
      </c>
      <c r="G372" t="str">
        <f t="shared" ca="1" si="23"/>
        <v>Surfaces_Horti</v>
      </c>
      <c r="H372" cm="1">
        <f t="array" aca="1" ref="H372" ca="1">ROW(INDIRECT(A372))</f>
        <v>18</v>
      </c>
      <c r="I372" cm="1">
        <f t="array" aca="1" ref="I372" ca="1">COLUMN(INDIRECT(A372))</f>
        <v>3</v>
      </c>
      <c r="M372" t="str" cm="1">
        <f t="array" aca="1" ref="M372" ca="1">IF(AND(J372="O",ISBLANK(INDIRECT(A372))),"Valeur obligatoire non renseignée","")</f>
        <v/>
      </c>
    </row>
    <row r="373" spans="1:13" x14ac:dyDescent="0.25">
      <c r="A373" s="91" t="s">
        <v>3246</v>
      </c>
      <c r="B373" cm="1">
        <f t="array" aca="1" ref="B373" ca="1">INDIRECT(A373)</f>
        <v>0</v>
      </c>
      <c r="C373">
        <f t="shared" ca="1" si="20"/>
        <v>5</v>
      </c>
      <c r="D373" t="str" cm="1">
        <f t="array" aca="1" ref="D373" ca="1">CELL("nomfichier",INDIRECT(A373))</f>
        <v>G:\SCPE\sdc\bq\6 - Mentions valorisantes\Certification environnementale\TEXTES_REGLEMENTATION_CE\Plans_contrôle et grilles\Grille audit niveau 3\Grille d'audit v1.11\[grille-audit-hvev4-v1.11-vf.xlsx]Surfaces_Horti</v>
      </c>
      <c r="E373">
        <f t="shared" ca="1" si="21"/>
        <v>200</v>
      </c>
      <c r="F373">
        <f t="shared" ca="1" si="22"/>
        <v>214</v>
      </c>
      <c r="G373" t="str">
        <f t="shared" ca="1" si="23"/>
        <v>Surfaces_Horti</v>
      </c>
      <c r="H373" cm="1">
        <f t="array" aca="1" ref="H373" ca="1">ROW(INDIRECT(A373))</f>
        <v>18</v>
      </c>
      <c r="I373" cm="1">
        <f t="array" aca="1" ref="I373" ca="1">COLUMN(INDIRECT(A373))</f>
        <v>4</v>
      </c>
      <c r="M373" t="str" cm="1">
        <f t="array" aca="1" ref="M373" ca="1">IF(AND(J373="O",ISBLANK(INDIRECT(A373))),"Valeur obligatoire non renseignée","")</f>
        <v/>
      </c>
    </row>
    <row r="374" spans="1:13" x14ac:dyDescent="0.25">
      <c r="A374" s="91" t="s">
        <v>3273</v>
      </c>
      <c r="B374" cm="1">
        <f t="array" aca="1" ref="B374" ca="1">INDIRECT(A374)</f>
        <v>0</v>
      </c>
      <c r="C374">
        <f t="shared" ca="1" si="20"/>
        <v>5</v>
      </c>
      <c r="D374" t="str" cm="1">
        <f t="array" aca="1" ref="D374" ca="1">CELL("nomfichier",INDIRECT(A374))</f>
        <v>G:\SCPE\sdc\bq\6 - Mentions valorisantes\Certification environnementale\TEXTES_REGLEMENTATION_CE\Plans_contrôle et grilles\Grille audit niveau 3\Grille d'audit v1.11\[grille-audit-hvev4-v1.11-vf.xlsx]Surfaces_Horti</v>
      </c>
      <c r="E374">
        <f t="shared" ca="1" si="21"/>
        <v>200</v>
      </c>
      <c r="F374">
        <f t="shared" ca="1" si="22"/>
        <v>214</v>
      </c>
      <c r="G374" t="str">
        <f t="shared" ca="1" si="23"/>
        <v>Surfaces_Horti</v>
      </c>
      <c r="H374" cm="1">
        <f t="array" aca="1" ref="H374" ca="1">ROW(INDIRECT(A374))</f>
        <v>18</v>
      </c>
      <c r="I374" cm="1">
        <f t="array" aca="1" ref="I374" ca="1">COLUMN(INDIRECT(A374))</f>
        <v>5</v>
      </c>
      <c r="M374" t="str" cm="1">
        <f t="array" aca="1" ref="M374" ca="1">IF(AND(J374="O",ISBLANK(INDIRECT(A374))),"Valeur obligatoire non renseignée","")</f>
        <v/>
      </c>
    </row>
    <row r="375" spans="1:13" x14ac:dyDescent="0.25">
      <c r="A375" s="91" t="s">
        <v>3300</v>
      </c>
      <c r="B375" cm="1">
        <f t="array" aca="1" ref="B375" ca="1">INDIRECT(A375)</f>
        <v>0</v>
      </c>
      <c r="C375">
        <f t="shared" ca="1" si="20"/>
        <v>5</v>
      </c>
      <c r="D375" t="str" cm="1">
        <f t="array" aca="1" ref="D375" ca="1">CELL("nomfichier",INDIRECT(A375))</f>
        <v>G:\SCPE\sdc\bq\6 - Mentions valorisantes\Certification environnementale\TEXTES_REGLEMENTATION_CE\Plans_contrôle et grilles\Grille audit niveau 3\Grille d'audit v1.11\[grille-audit-hvev4-v1.11-vf.xlsx]Surfaces_Horti</v>
      </c>
      <c r="E375">
        <f t="shared" ca="1" si="21"/>
        <v>200</v>
      </c>
      <c r="F375">
        <f t="shared" ca="1" si="22"/>
        <v>214</v>
      </c>
      <c r="G375" t="str">
        <f t="shared" ca="1" si="23"/>
        <v>Surfaces_Horti</v>
      </c>
      <c r="H375" cm="1">
        <f t="array" aca="1" ref="H375" ca="1">ROW(INDIRECT(A375))</f>
        <v>18</v>
      </c>
      <c r="I375" cm="1">
        <f t="array" aca="1" ref="I375" ca="1">COLUMN(INDIRECT(A375))</f>
        <v>6</v>
      </c>
      <c r="M375" t="str" cm="1">
        <f t="array" aca="1" ref="M375" ca="1">IF(AND(J375="O",ISBLANK(INDIRECT(A375))),"Valeur obligatoire non renseignée","")</f>
        <v/>
      </c>
    </row>
    <row r="376" spans="1:13" x14ac:dyDescent="0.25">
      <c r="A376" s="91" t="s">
        <v>3327</v>
      </c>
      <c r="B376" cm="1">
        <f t="array" aca="1" ref="B376" ca="1">INDIRECT(A376)</f>
        <v>0</v>
      </c>
      <c r="C376">
        <f t="shared" ca="1" si="20"/>
        <v>5</v>
      </c>
      <c r="D376" t="str" cm="1">
        <f t="array" aca="1" ref="D376" ca="1">CELL("nomfichier",INDIRECT(A376))</f>
        <v>G:\SCPE\sdc\bq\6 - Mentions valorisantes\Certification environnementale\TEXTES_REGLEMENTATION_CE\Plans_contrôle et grilles\Grille audit niveau 3\Grille d'audit v1.11\[grille-audit-hvev4-v1.11-vf.xlsx]Surfaces_Horti</v>
      </c>
      <c r="E376">
        <f t="shared" ca="1" si="21"/>
        <v>200</v>
      </c>
      <c r="F376">
        <f t="shared" ca="1" si="22"/>
        <v>214</v>
      </c>
      <c r="G376" t="str">
        <f t="shared" ca="1" si="23"/>
        <v>Surfaces_Horti</v>
      </c>
      <c r="H376" cm="1">
        <f t="array" aca="1" ref="H376" ca="1">ROW(INDIRECT(A376))</f>
        <v>18</v>
      </c>
      <c r="I376" cm="1">
        <f t="array" aca="1" ref="I376" ca="1">COLUMN(INDIRECT(A376))</f>
        <v>7</v>
      </c>
      <c r="M376" t="str" cm="1">
        <f t="array" aca="1" ref="M376" ca="1">IF(AND(J376="O",ISBLANK(INDIRECT(A376))),"Valeur obligatoire non renseignée","")</f>
        <v/>
      </c>
    </row>
    <row r="377" spans="1:13" x14ac:dyDescent="0.25">
      <c r="A377" s="91" t="s">
        <v>3354</v>
      </c>
      <c r="B377" cm="1">
        <f t="array" aca="1" ref="B377" ca="1">INDIRECT(A377)</f>
        <v>0</v>
      </c>
      <c r="C377">
        <f t="shared" ca="1" si="20"/>
        <v>5</v>
      </c>
      <c r="D377" t="str" cm="1">
        <f t="array" aca="1" ref="D377" ca="1">CELL("nomfichier",INDIRECT(A377))</f>
        <v>G:\SCPE\sdc\bq\6 - Mentions valorisantes\Certification environnementale\TEXTES_REGLEMENTATION_CE\Plans_contrôle et grilles\Grille audit niveau 3\Grille d'audit v1.11\[grille-audit-hvev4-v1.11-vf.xlsx]Surfaces_Horti</v>
      </c>
      <c r="E377">
        <f t="shared" ca="1" si="21"/>
        <v>200</v>
      </c>
      <c r="F377">
        <f t="shared" ca="1" si="22"/>
        <v>214</v>
      </c>
      <c r="G377" t="str">
        <f t="shared" ca="1" si="23"/>
        <v>Surfaces_Horti</v>
      </c>
      <c r="H377" cm="1">
        <f t="array" aca="1" ref="H377" ca="1">ROW(INDIRECT(A377))</f>
        <v>18</v>
      </c>
      <c r="I377" cm="1">
        <f t="array" aca="1" ref="I377" ca="1">COLUMN(INDIRECT(A377))</f>
        <v>8</v>
      </c>
      <c r="M377" t="str" cm="1">
        <f t="array" aca="1" ref="M377" ca="1">IF(AND(J377="O",ISBLANK(INDIRECT(A377))),"Valeur obligatoire non renseignée","")</f>
        <v/>
      </c>
    </row>
    <row r="378" spans="1:13" x14ac:dyDescent="0.25">
      <c r="A378" s="91" t="s">
        <v>3381</v>
      </c>
      <c r="B378" cm="1">
        <f t="array" aca="1" ref="B378" ca="1">INDIRECT(A378)</f>
        <v>0</v>
      </c>
      <c r="C378">
        <f t="shared" ca="1" si="20"/>
        <v>5</v>
      </c>
      <c r="D378" t="str" cm="1">
        <f t="array" aca="1" ref="D378" ca="1">CELL("nomfichier",INDIRECT(A378))</f>
        <v>G:\SCPE\sdc\bq\6 - Mentions valorisantes\Certification environnementale\TEXTES_REGLEMENTATION_CE\Plans_contrôle et grilles\Grille audit niveau 3\Grille d'audit v1.11\[grille-audit-hvev4-v1.11-vf.xlsx]Surfaces_Horti</v>
      </c>
      <c r="E378">
        <f t="shared" ca="1" si="21"/>
        <v>200</v>
      </c>
      <c r="F378">
        <f t="shared" ca="1" si="22"/>
        <v>214</v>
      </c>
      <c r="G378" t="str">
        <f t="shared" ca="1" si="23"/>
        <v>Surfaces_Horti</v>
      </c>
      <c r="H378" cm="1">
        <f t="array" aca="1" ref="H378" ca="1">ROW(INDIRECT(A378))</f>
        <v>18</v>
      </c>
      <c r="I378" cm="1">
        <f t="array" aca="1" ref="I378" ca="1">COLUMN(INDIRECT(A378))</f>
        <v>9</v>
      </c>
      <c r="M378" t="str" cm="1">
        <f t="array" aca="1" ref="M378" ca="1">IF(AND(J378="O",ISBLANK(INDIRECT(A378))),"Valeur obligatoire non renseignée","")</f>
        <v/>
      </c>
    </row>
    <row r="379" spans="1:13" x14ac:dyDescent="0.25">
      <c r="A379" s="91" t="s">
        <v>3408</v>
      </c>
      <c r="B379" cm="1">
        <f t="array" aca="1" ref="B379" ca="1">INDIRECT(A379)</f>
        <v>0</v>
      </c>
      <c r="C379">
        <f t="shared" ca="1" si="20"/>
        <v>5</v>
      </c>
      <c r="D379" t="str" cm="1">
        <f t="array" aca="1" ref="D379" ca="1">CELL("nomfichier",INDIRECT(A379))</f>
        <v>G:\SCPE\sdc\bq\6 - Mentions valorisantes\Certification environnementale\TEXTES_REGLEMENTATION_CE\Plans_contrôle et grilles\Grille audit niveau 3\Grille d'audit v1.11\[grille-audit-hvev4-v1.11-vf.xlsx]Surfaces_Horti</v>
      </c>
      <c r="E379">
        <f t="shared" ca="1" si="21"/>
        <v>200</v>
      </c>
      <c r="F379">
        <f t="shared" ca="1" si="22"/>
        <v>214</v>
      </c>
      <c r="G379" t="str">
        <f t="shared" ca="1" si="23"/>
        <v>Surfaces_Horti</v>
      </c>
      <c r="H379" cm="1">
        <f t="array" aca="1" ref="H379" ca="1">ROW(INDIRECT(A379))</f>
        <v>18</v>
      </c>
      <c r="I379" cm="1">
        <f t="array" aca="1" ref="I379" ca="1">COLUMN(INDIRECT(A379))</f>
        <v>10</v>
      </c>
      <c r="M379" t="str" cm="1">
        <f t="array" aca="1" ref="M379" ca="1">IF(AND(J379="O",ISBLANK(INDIRECT(A379))),"Valeur obligatoire non renseignée","")</f>
        <v/>
      </c>
    </row>
    <row r="380" spans="1:13" x14ac:dyDescent="0.25">
      <c r="A380" s="91" t="s">
        <v>3435</v>
      </c>
      <c r="B380" cm="1">
        <f t="array" aca="1" ref="B380" ca="1">INDIRECT(A380)</f>
        <v>0</v>
      </c>
      <c r="C380">
        <f t="shared" ca="1" si="20"/>
        <v>5</v>
      </c>
      <c r="D380" t="str" cm="1">
        <f t="array" aca="1" ref="D380" ca="1">CELL("nomfichier",INDIRECT(A380))</f>
        <v>G:\SCPE\sdc\bq\6 - Mentions valorisantes\Certification environnementale\TEXTES_REGLEMENTATION_CE\Plans_contrôle et grilles\Grille audit niveau 3\Grille d'audit v1.11\[grille-audit-hvev4-v1.11-vf.xlsx]Surfaces_Horti</v>
      </c>
      <c r="E380">
        <f t="shared" ca="1" si="21"/>
        <v>200</v>
      </c>
      <c r="F380">
        <f t="shared" ca="1" si="22"/>
        <v>214</v>
      </c>
      <c r="G380" t="str">
        <f t="shared" ca="1" si="23"/>
        <v>Surfaces_Horti</v>
      </c>
      <c r="H380" cm="1">
        <f t="array" aca="1" ref="H380" ca="1">ROW(INDIRECT(A380))</f>
        <v>18</v>
      </c>
      <c r="I380" cm="1">
        <f t="array" aca="1" ref="I380" ca="1">COLUMN(INDIRECT(A380))</f>
        <v>11</v>
      </c>
      <c r="M380" t="str" cm="1">
        <f t="array" aca="1" ref="M380" ca="1">IF(AND(J380="O",ISBLANK(INDIRECT(A380))),"Valeur obligatoire non renseignée","")</f>
        <v/>
      </c>
    </row>
    <row r="381" spans="1:13" x14ac:dyDescent="0.25">
      <c r="A381" s="91" t="s">
        <v>3462</v>
      </c>
      <c r="B381" cm="1">
        <f t="array" aca="1" ref="B381" ca="1">INDIRECT(A381)</f>
        <v>0</v>
      </c>
      <c r="C381">
        <f t="shared" ca="1" si="20"/>
        <v>5</v>
      </c>
      <c r="D381" t="str" cm="1">
        <f t="array" aca="1" ref="D381" ca="1">CELL("nomfichier",INDIRECT(A381))</f>
        <v>G:\SCPE\sdc\bq\6 - Mentions valorisantes\Certification environnementale\TEXTES_REGLEMENTATION_CE\Plans_contrôle et grilles\Grille audit niveau 3\Grille d'audit v1.11\[grille-audit-hvev4-v1.11-vf.xlsx]Surfaces_Horti</v>
      </c>
      <c r="E381">
        <f t="shared" ca="1" si="21"/>
        <v>200</v>
      </c>
      <c r="F381">
        <f t="shared" ca="1" si="22"/>
        <v>214</v>
      </c>
      <c r="G381" t="str">
        <f t="shared" ca="1" si="23"/>
        <v>Surfaces_Horti</v>
      </c>
      <c r="H381" cm="1">
        <f t="array" aca="1" ref="H381" ca="1">ROW(INDIRECT(A381))</f>
        <v>18</v>
      </c>
      <c r="I381" cm="1">
        <f t="array" aca="1" ref="I381" ca="1">COLUMN(INDIRECT(A381))</f>
        <v>12</v>
      </c>
      <c r="M381" t="str" cm="1">
        <f t="array" aca="1" ref="M381" ca="1">IF(AND(J381="O",ISBLANK(INDIRECT(A381))),"Valeur obligatoire non renseignée","")</f>
        <v/>
      </c>
    </row>
    <row r="382" spans="1:13" x14ac:dyDescent="0.25">
      <c r="A382" s="91" t="s">
        <v>3489</v>
      </c>
      <c r="B382" cm="1">
        <f t="array" aca="1" ref="B382" ca="1">INDIRECT(A382)</f>
        <v>0</v>
      </c>
      <c r="C382">
        <f t="shared" ca="1" si="20"/>
        <v>5</v>
      </c>
      <c r="D382" t="str" cm="1">
        <f t="array" aca="1" ref="D382" ca="1">CELL("nomfichier",INDIRECT(A382))</f>
        <v>G:\SCPE\sdc\bq\6 - Mentions valorisantes\Certification environnementale\TEXTES_REGLEMENTATION_CE\Plans_contrôle et grilles\Grille audit niveau 3\Grille d'audit v1.11\[grille-audit-hvev4-v1.11-vf.xlsx]Surfaces_Horti</v>
      </c>
      <c r="E382">
        <f t="shared" ca="1" si="21"/>
        <v>200</v>
      </c>
      <c r="F382">
        <f t="shared" ca="1" si="22"/>
        <v>214</v>
      </c>
      <c r="G382" t="str">
        <f t="shared" ca="1" si="23"/>
        <v>Surfaces_Horti</v>
      </c>
      <c r="H382" cm="1">
        <f t="array" aca="1" ref="H382" ca="1">ROW(INDIRECT(A382))</f>
        <v>18</v>
      </c>
      <c r="I382" cm="1">
        <f t="array" aca="1" ref="I382" ca="1">COLUMN(INDIRECT(A382))</f>
        <v>13</v>
      </c>
      <c r="M382" t="str" cm="1">
        <f t="array" aca="1" ref="M382" ca="1">IF(AND(J382="O",ISBLANK(INDIRECT(A382))),"Valeur obligatoire non renseignée","")</f>
        <v/>
      </c>
    </row>
    <row r="383" spans="1:13" x14ac:dyDescent="0.25">
      <c r="A383" s="91" t="s">
        <v>3516</v>
      </c>
      <c r="B383" cm="1">
        <f t="array" aca="1" ref="B383" ca="1">INDIRECT(A383)</f>
        <v>0</v>
      </c>
      <c r="C383">
        <f t="shared" ca="1" si="20"/>
        <v>5</v>
      </c>
      <c r="D383" t="str" cm="1">
        <f t="array" aca="1" ref="D383" ca="1">CELL("nomfichier",INDIRECT(A383))</f>
        <v>G:\SCPE\sdc\bq\6 - Mentions valorisantes\Certification environnementale\TEXTES_REGLEMENTATION_CE\Plans_contrôle et grilles\Grille audit niveau 3\Grille d'audit v1.11\[grille-audit-hvev4-v1.11-vf.xlsx]Surfaces_Horti</v>
      </c>
      <c r="E383">
        <f t="shared" ca="1" si="21"/>
        <v>200</v>
      </c>
      <c r="F383">
        <f t="shared" ca="1" si="22"/>
        <v>214</v>
      </c>
      <c r="G383" t="str">
        <f t="shared" ca="1" si="23"/>
        <v>Surfaces_Horti</v>
      </c>
      <c r="H383" cm="1">
        <f t="array" aca="1" ref="H383" ca="1">ROW(INDIRECT(A383))</f>
        <v>18</v>
      </c>
      <c r="I383" cm="1">
        <f t="array" aca="1" ref="I383" ca="1">COLUMN(INDIRECT(A383))</f>
        <v>14</v>
      </c>
      <c r="M383" t="str" cm="1">
        <f t="array" aca="1" ref="M383" ca="1">IF(AND(J383="O",ISBLANK(INDIRECT(A383))),"Valeur obligatoire non renseignée","")</f>
        <v/>
      </c>
    </row>
    <row r="384" spans="1:13" x14ac:dyDescent="0.25">
      <c r="A384" s="91" t="s">
        <v>3193</v>
      </c>
      <c r="B384" cm="1">
        <f t="array" aca="1" ref="B384" ca="1">INDIRECT(A384)</f>
        <v>0</v>
      </c>
      <c r="C384">
        <f t="shared" ca="1" si="20"/>
        <v>5</v>
      </c>
      <c r="D384" t="str" cm="1">
        <f t="array" aca="1" ref="D384" ca="1">CELL("nomfichier",INDIRECT(A384))</f>
        <v>G:\SCPE\sdc\bq\6 - Mentions valorisantes\Certification environnementale\TEXTES_REGLEMENTATION_CE\Plans_contrôle et grilles\Grille audit niveau 3\Grille d'audit v1.11\[grille-audit-hvev4-v1.11-vf.xlsx]Surfaces_Horti</v>
      </c>
      <c r="E384">
        <f t="shared" ca="1" si="21"/>
        <v>200</v>
      </c>
      <c r="F384">
        <f t="shared" ca="1" si="22"/>
        <v>214</v>
      </c>
      <c r="G384" t="str">
        <f t="shared" ca="1" si="23"/>
        <v>Surfaces_Horti</v>
      </c>
      <c r="H384" cm="1">
        <f t="array" aca="1" ref="H384" ca="1">ROW(INDIRECT(A384))</f>
        <v>19</v>
      </c>
      <c r="I384" cm="1">
        <f t="array" aca="1" ref="I384" ca="1">COLUMN(INDIRECT(A384))</f>
        <v>2</v>
      </c>
      <c r="M384" t="str" cm="1">
        <f t="array" aca="1" ref="M384" ca="1">IF(AND(J384="O",ISBLANK(INDIRECT(A384))),"Valeur obligatoire non renseignée","")</f>
        <v/>
      </c>
    </row>
    <row r="385" spans="1:13" x14ac:dyDescent="0.25">
      <c r="A385" s="91" t="s">
        <v>3220</v>
      </c>
      <c r="B385" cm="1">
        <f t="array" aca="1" ref="B385" ca="1">INDIRECT(A385)</f>
        <v>0</v>
      </c>
      <c r="C385">
        <f t="shared" ca="1" si="20"/>
        <v>5</v>
      </c>
      <c r="D385" t="str" cm="1">
        <f t="array" aca="1" ref="D385" ca="1">CELL("nomfichier",INDIRECT(A385))</f>
        <v>G:\SCPE\sdc\bq\6 - Mentions valorisantes\Certification environnementale\TEXTES_REGLEMENTATION_CE\Plans_contrôle et grilles\Grille audit niveau 3\Grille d'audit v1.11\[grille-audit-hvev4-v1.11-vf.xlsx]Surfaces_Horti</v>
      </c>
      <c r="E385">
        <f t="shared" ca="1" si="21"/>
        <v>200</v>
      </c>
      <c r="F385">
        <f t="shared" ca="1" si="22"/>
        <v>214</v>
      </c>
      <c r="G385" t="str">
        <f t="shared" ca="1" si="23"/>
        <v>Surfaces_Horti</v>
      </c>
      <c r="H385" cm="1">
        <f t="array" aca="1" ref="H385" ca="1">ROW(INDIRECT(A385))</f>
        <v>19</v>
      </c>
      <c r="I385" cm="1">
        <f t="array" aca="1" ref="I385" ca="1">COLUMN(INDIRECT(A385))</f>
        <v>3</v>
      </c>
      <c r="M385" t="str" cm="1">
        <f t="array" aca="1" ref="M385" ca="1">IF(AND(J385="O",ISBLANK(INDIRECT(A385))),"Valeur obligatoire non renseignée","")</f>
        <v/>
      </c>
    </row>
    <row r="386" spans="1:13" x14ac:dyDescent="0.25">
      <c r="A386" s="91" t="s">
        <v>3247</v>
      </c>
      <c r="B386" cm="1">
        <f t="array" aca="1" ref="B386" ca="1">INDIRECT(A386)</f>
        <v>0</v>
      </c>
      <c r="C386">
        <f t="shared" ref="C386:C449" ca="1" si="24">_xlfn.SHEET(INDIRECT(A386))</f>
        <v>5</v>
      </c>
      <c r="D386" t="str" cm="1">
        <f t="array" aca="1" ref="D386" ca="1">CELL("nomfichier",INDIRECT(A386))</f>
        <v>G:\SCPE\sdc\bq\6 - Mentions valorisantes\Certification environnementale\TEXTES_REGLEMENTATION_CE\Plans_contrôle et grilles\Grille audit niveau 3\Grille d'audit v1.11\[grille-audit-hvev4-v1.11-vf.xlsx]Surfaces_Horti</v>
      </c>
      <c r="E386">
        <f t="shared" ref="E386:E449" ca="1" si="25">FIND("]",D386)</f>
        <v>200</v>
      </c>
      <c r="F386">
        <f t="shared" ref="F386:F449" ca="1" si="26">LEN(D386)</f>
        <v>214</v>
      </c>
      <c r="G386" t="str">
        <f t="shared" ref="G386:G449" ca="1" si="27">RIGHT(D386,F386-E386)</f>
        <v>Surfaces_Horti</v>
      </c>
      <c r="H386" cm="1">
        <f t="array" aca="1" ref="H386" ca="1">ROW(INDIRECT(A386))</f>
        <v>19</v>
      </c>
      <c r="I386" cm="1">
        <f t="array" aca="1" ref="I386" ca="1">COLUMN(INDIRECT(A386))</f>
        <v>4</v>
      </c>
      <c r="M386" t="str" cm="1">
        <f t="array" aca="1" ref="M386" ca="1">IF(AND(J386="O",ISBLANK(INDIRECT(A386))),"Valeur obligatoire non renseignée","")</f>
        <v/>
      </c>
    </row>
    <row r="387" spans="1:13" x14ac:dyDescent="0.25">
      <c r="A387" s="91" t="s">
        <v>3274</v>
      </c>
      <c r="B387" cm="1">
        <f t="array" aca="1" ref="B387" ca="1">INDIRECT(A387)</f>
        <v>0</v>
      </c>
      <c r="C387">
        <f t="shared" ca="1" si="24"/>
        <v>5</v>
      </c>
      <c r="D387" t="str" cm="1">
        <f t="array" aca="1" ref="D387" ca="1">CELL("nomfichier",INDIRECT(A387))</f>
        <v>G:\SCPE\sdc\bq\6 - Mentions valorisantes\Certification environnementale\TEXTES_REGLEMENTATION_CE\Plans_contrôle et grilles\Grille audit niveau 3\Grille d'audit v1.11\[grille-audit-hvev4-v1.11-vf.xlsx]Surfaces_Horti</v>
      </c>
      <c r="E387">
        <f t="shared" ca="1" si="25"/>
        <v>200</v>
      </c>
      <c r="F387">
        <f t="shared" ca="1" si="26"/>
        <v>214</v>
      </c>
      <c r="G387" t="str">
        <f t="shared" ca="1" si="27"/>
        <v>Surfaces_Horti</v>
      </c>
      <c r="H387" cm="1">
        <f t="array" aca="1" ref="H387" ca="1">ROW(INDIRECT(A387))</f>
        <v>19</v>
      </c>
      <c r="I387" cm="1">
        <f t="array" aca="1" ref="I387" ca="1">COLUMN(INDIRECT(A387))</f>
        <v>5</v>
      </c>
      <c r="M387" t="str" cm="1">
        <f t="array" aca="1" ref="M387" ca="1">IF(AND(J387="O",ISBLANK(INDIRECT(A387))),"Valeur obligatoire non renseignée","")</f>
        <v/>
      </c>
    </row>
    <row r="388" spans="1:13" x14ac:dyDescent="0.25">
      <c r="A388" s="91" t="s">
        <v>3301</v>
      </c>
      <c r="B388" cm="1">
        <f t="array" aca="1" ref="B388" ca="1">INDIRECT(A388)</f>
        <v>0</v>
      </c>
      <c r="C388">
        <f t="shared" ca="1" si="24"/>
        <v>5</v>
      </c>
      <c r="D388" t="str" cm="1">
        <f t="array" aca="1" ref="D388" ca="1">CELL("nomfichier",INDIRECT(A388))</f>
        <v>G:\SCPE\sdc\bq\6 - Mentions valorisantes\Certification environnementale\TEXTES_REGLEMENTATION_CE\Plans_contrôle et grilles\Grille audit niveau 3\Grille d'audit v1.11\[grille-audit-hvev4-v1.11-vf.xlsx]Surfaces_Horti</v>
      </c>
      <c r="E388">
        <f t="shared" ca="1" si="25"/>
        <v>200</v>
      </c>
      <c r="F388">
        <f t="shared" ca="1" si="26"/>
        <v>214</v>
      </c>
      <c r="G388" t="str">
        <f t="shared" ca="1" si="27"/>
        <v>Surfaces_Horti</v>
      </c>
      <c r="H388" cm="1">
        <f t="array" aca="1" ref="H388" ca="1">ROW(INDIRECT(A388))</f>
        <v>19</v>
      </c>
      <c r="I388" cm="1">
        <f t="array" aca="1" ref="I388" ca="1">COLUMN(INDIRECT(A388))</f>
        <v>6</v>
      </c>
      <c r="M388" t="str" cm="1">
        <f t="array" aca="1" ref="M388" ca="1">IF(AND(J388="O",ISBLANK(INDIRECT(A388))),"Valeur obligatoire non renseignée","")</f>
        <v/>
      </c>
    </row>
    <row r="389" spans="1:13" x14ac:dyDescent="0.25">
      <c r="A389" s="91" t="s">
        <v>3328</v>
      </c>
      <c r="B389" cm="1">
        <f t="array" aca="1" ref="B389" ca="1">INDIRECT(A389)</f>
        <v>0</v>
      </c>
      <c r="C389">
        <f t="shared" ca="1" si="24"/>
        <v>5</v>
      </c>
      <c r="D389" t="str" cm="1">
        <f t="array" aca="1" ref="D389" ca="1">CELL("nomfichier",INDIRECT(A389))</f>
        <v>G:\SCPE\sdc\bq\6 - Mentions valorisantes\Certification environnementale\TEXTES_REGLEMENTATION_CE\Plans_contrôle et grilles\Grille audit niveau 3\Grille d'audit v1.11\[grille-audit-hvev4-v1.11-vf.xlsx]Surfaces_Horti</v>
      </c>
      <c r="E389">
        <f t="shared" ca="1" si="25"/>
        <v>200</v>
      </c>
      <c r="F389">
        <f t="shared" ca="1" si="26"/>
        <v>214</v>
      </c>
      <c r="G389" t="str">
        <f t="shared" ca="1" si="27"/>
        <v>Surfaces_Horti</v>
      </c>
      <c r="H389" cm="1">
        <f t="array" aca="1" ref="H389" ca="1">ROW(INDIRECT(A389))</f>
        <v>19</v>
      </c>
      <c r="I389" cm="1">
        <f t="array" aca="1" ref="I389" ca="1">COLUMN(INDIRECT(A389))</f>
        <v>7</v>
      </c>
      <c r="M389" t="str" cm="1">
        <f t="array" aca="1" ref="M389" ca="1">IF(AND(J389="O",ISBLANK(INDIRECT(A389))),"Valeur obligatoire non renseignée","")</f>
        <v/>
      </c>
    </row>
    <row r="390" spans="1:13" x14ac:dyDescent="0.25">
      <c r="A390" s="91" t="s">
        <v>3355</v>
      </c>
      <c r="B390" cm="1">
        <f t="array" aca="1" ref="B390" ca="1">INDIRECT(A390)</f>
        <v>0</v>
      </c>
      <c r="C390">
        <f t="shared" ca="1" si="24"/>
        <v>5</v>
      </c>
      <c r="D390" t="str" cm="1">
        <f t="array" aca="1" ref="D390" ca="1">CELL("nomfichier",INDIRECT(A390))</f>
        <v>G:\SCPE\sdc\bq\6 - Mentions valorisantes\Certification environnementale\TEXTES_REGLEMENTATION_CE\Plans_contrôle et grilles\Grille audit niveau 3\Grille d'audit v1.11\[grille-audit-hvev4-v1.11-vf.xlsx]Surfaces_Horti</v>
      </c>
      <c r="E390">
        <f t="shared" ca="1" si="25"/>
        <v>200</v>
      </c>
      <c r="F390">
        <f t="shared" ca="1" si="26"/>
        <v>214</v>
      </c>
      <c r="G390" t="str">
        <f t="shared" ca="1" si="27"/>
        <v>Surfaces_Horti</v>
      </c>
      <c r="H390" cm="1">
        <f t="array" aca="1" ref="H390" ca="1">ROW(INDIRECT(A390))</f>
        <v>19</v>
      </c>
      <c r="I390" cm="1">
        <f t="array" aca="1" ref="I390" ca="1">COLUMN(INDIRECT(A390))</f>
        <v>8</v>
      </c>
      <c r="M390" t="str" cm="1">
        <f t="array" aca="1" ref="M390" ca="1">IF(AND(J390="O",ISBLANK(INDIRECT(A390))),"Valeur obligatoire non renseignée","")</f>
        <v/>
      </c>
    </row>
    <row r="391" spans="1:13" x14ac:dyDescent="0.25">
      <c r="A391" s="91" t="s">
        <v>3382</v>
      </c>
      <c r="B391" cm="1">
        <f t="array" aca="1" ref="B391" ca="1">INDIRECT(A391)</f>
        <v>0</v>
      </c>
      <c r="C391">
        <f t="shared" ca="1" si="24"/>
        <v>5</v>
      </c>
      <c r="D391" t="str" cm="1">
        <f t="array" aca="1" ref="D391" ca="1">CELL("nomfichier",INDIRECT(A391))</f>
        <v>G:\SCPE\sdc\bq\6 - Mentions valorisantes\Certification environnementale\TEXTES_REGLEMENTATION_CE\Plans_contrôle et grilles\Grille audit niveau 3\Grille d'audit v1.11\[grille-audit-hvev4-v1.11-vf.xlsx]Surfaces_Horti</v>
      </c>
      <c r="E391">
        <f t="shared" ca="1" si="25"/>
        <v>200</v>
      </c>
      <c r="F391">
        <f t="shared" ca="1" si="26"/>
        <v>214</v>
      </c>
      <c r="G391" t="str">
        <f t="shared" ca="1" si="27"/>
        <v>Surfaces_Horti</v>
      </c>
      <c r="H391" cm="1">
        <f t="array" aca="1" ref="H391" ca="1">ROW(INDIRECT(A391))</f>
        <v>19</v>
      </c>
      <c r="I391" cm="1">
        <f t="array" aca="1" ref="I391" ca="1">COLUMN(INDIRECT(A391))</f>
        <v>9</v>
      </c>
      <c r="M391" t="str" cm="1">
        <f t="array" aca="1" ref="M391" ca="1">IF(AND(J391="O",ISBLANK(INDIRECT(A391))),"Valeur obligatoire non renseignée","")</f>
        <v/>
      </c>
    </row>
    <row r="392" spans="1:13" x14ac:dyDescent="0.25">
      <c r="A392" s="91" t="s">
        <v>3409</v>
      </c>
      <c r="B392" cm="1">
        <f t="array" aca="1" ref="B392" ca="1">INDIRECT(A392)</f>
        <v>0</v>
      </c>
      <c r="C392">
        <f t="shared" ca="1" si="24"/>
        <v>5</v>
      </c>
      <c r="D392" t="str" cm="1">
        <f t="array" aca="1" ref="D392" ca="1">CELL("nomfichier",INDIRECT(A392))</f>
        <v>G:\SCPE\sdc\bq\6 - Mentions valorisantes\Certification environnementale\TEXTES_REGLEMENTATION_CE\Plans_contrôle et grilles\Grille audit niveau 3\Grille d'audit v1.11\[grille-audit-hvev4-v1.11-vf.xlsx]Surfaces_Horti</v>
      </c>
      <c r="E392">
        <f t="shared" ca="1" si="25"/>
        <v>200</v>
      </c>
      <c r="F392">
        <f t="shared" ca="1" si="26"/>
        <v>214</v>
      </c>
      <c r="G392" t="str">
        <f t="shared" ca="1" si="27"/>
        <v>Surfaces_Horti</v>
      </c>
      <c r="H392" cm="1">
        <f t="array" aca="1" ref="H392" ca="1">ROW(INDIRECT(A392))</f>
        <v>19</v>
      </c>
      <c r="I392" cm="1">
        <f t="array" aca="1" ref="I392" ca="1">COLUMN(INDIRECT(A392))</f>
        <v>10</v>
      </c>
      <c r="M392" t="str" cm="1">
        <f t="array" aca="1" ref="M392" ca="1">IF(AND(J392="O",ISBLANK(INDIRECT(A392))),"Valeur obligatoire non renseignée","")</f>
        <v/>
      </c>
    </row>
    <row r="393" spans="1:13" x14ac:dyDescent="0.25">
      <c r="A393" s="91" t="s">
        <v>3436</v>
      </c>
      <c r="B393" cm="1">
        <f t="array" aca="1" ref="B393" ca="1">INDIRECT(A393)</f>
        <v>0</v>
      </c>
      <c r="C393">
        <f t="shared" ca="1" si="24"/>
        <v>5</v>
      </c>
      <c r="D393" t="str" cm="1">
        <f t="array" aca="1" ref="D393" ca="1">CELL("nomfichier",INDIRECT(A393))</f>
        <v>G:\SCPE\sdc\bq\6 - Mentions valorisantes\Certification environnementale\TEXTES_REGLEMENTATION_CE\Plans_contrôle et grilles\Grille audit niveau 3\Grille d'audit v1.11\[grille-audit-hvev4-v1.11-vf.xlsx]Surfaces_Horti</v>
      </c>
      <c r="E393">
        <f t="shared" ca="1" si="25"/>
        <v>200</v>
      </c>
      <c r="F393">
        <f t="shared" ca="1" si="26"/>
        <v>214</v>
      </c>
      <c r="G393" t="str">
        <f t="shared" ca="1" si="27"/>
        <v>Surfaces_Horti</v>
      </c>
      <c r="H393" cm="1">
        <f t="array" aca="1" ref="H393" ca="1">ROW(INDIRECT(A393))</f>
        <v>19</v>
      </c>
      <c r="I393" cm="1">
        <f t="array" aca="1" ref="I393" ca="1">COLUMN(INDIRECT(A393))</f>
        <v>11</v>
      </c>
      <c r="M393" t="str" cm="1">
        <f t="array" aca="1" ref="M393" ca="1">IF(AND(J393="O",ISBLANK(INDIRECT(A393))),"Valeur obligatoire non renseignée","")</f>
        <v/>
      </c>
    </row>
    <row r="394" spans="1:13" x14ac:dyDescent="0.25">
      <c r="A394" s="91" t="s">
        <v>3463</v>
      </c>
      <c r="B394" cm="1">
        <f t="array" aca="1" ref="B394" ca="1">INDIRECT(A394)</f>
        <v>0</v>
      </c>
      <c r="C394">
        <f t="shared" ca="1" si="24"/>
        <v>5</v>
      </c>
      <c r="D394" t="str" cm="1">
        <f t="array" aca="1" ref="D394" ca="1">CELL("nomfichier",INDIRECT(A394))</f>
        <v>G:\SCPE\sdc\bq\6 - Mentions valorisantes\Certification environnementale\TEXTES_REGLEMENTATION_CE\Plans_contrôle et grilles\Grille audit niveau 3\Grille d'audit v1.11\[grille-audit-hvev4-v1.11-vf.xlsx]Surfaces_Horti</v>
      </c>
      <c r="E394">
        <f t="shared" ca="1" si="25"/>
        <v>200</v>
      </c>
      <c r="F394">
        <f t="shared" ca="1" si="26"/>
        <v>214</v>
      </c>
      <c r="G394" t="str">
        <f t="shared" ca="1" si="27"/>
        <v>Surfaces_Horti</v>
      </c>
      <c r="H394" cm="1">
        <f t="array" aca="1" ref="H394" ca="1">ROW(INDIRECT(A394))</f>
        <v>19</v>
      </c>
      <c r="I394" cm="1">
        <f t="array" aca="1" ref="I394" ca="1">COLUMN(INDIRECT(A394))</f>
        <v>12</v>
      </c>
      <c r="M394" t="str" cm="1">
        <f t="array" aca="1" ref="M394" ca="1">IF(AND(J394="O",ISBLANK(INDIRECT(A394))),"Valeur obligatoire non renseignée","")</f>
        <v/>
      </c>
    </row>
    <row r="395" spans="1:13" x14ac:dyDescent="0.25">
      <c r="A395" s="91" t="s">
        <v>3490</v>
      </c>
      <c r="B395" cm="1">
        <f t="array" aca="1" ref="B395" ca="1">INDIRECT(A395)</f>
        <v>0</v>
      </c>
      <c r="C395">
        <f t="shared" ca="1" si="24"/>
        <v>5</v>
      </c>
      <c r="D395" t="str" cm="1">
        <f t="array" aca="1" ref="D395" ca="1">CELL("nomfichier",INDIRECT(A395))</f>
        <v>G:\SCPE\sdc\bq\6 - Mentions valorisantes\Certification environnementale\TEXTES_REGLEMENTATION_CE\Plans_contrôle et grilles\Grille audit niveau 3\Grille d'audit v1.11\[grille-audit-hvev4-v1.11-vf.xlsx]Surfaces_Horti</v>
      </c>
      <c r="E395">
        <f t="shared" ca="1" si="25"/>
        <v>200</v>
      </c>
      <c r="F395">
        <f t="shared" ca="1" si="26"/>
        <v>214</v>
      </c>
      <c r="G395" t="str">
        <f t="shared" ca="1" si="27"/>
        <v>Surfaces_Horti</v>
      </c>
      <c r="H395" cm="1">
        <f t="array" aca="1" ref="H395" ca="1">ROW(INDIRECT(A395))</f>
        <v>19</v>
      </c>
      <c r="I395" cm="1">
        <f t="array" aca="1" ref="I395" ca="1">COLUMN(INDIRECT(A395))</f>
        <v>13</v>
      </c>
      <c r="M395" t="str" cm="1">
        <f t="array" aca="1" ref="M395" ca="1">IF(AND(J395="O",ISBLANK(INDIRECT(A395))),"Valeur obligatoire non renseignée","")</f>
        <v/>
      </c>
    </row>
    <row r="396" spans="1:13" x14ac:dyDescent="0.25">
      <c r="A396" s="91" t="s">
        <v>3517</v>
      </c>
      <c r="B396" cm="1">
        <f t="array" aca="1" ref="B396" ca="1">INDIRECT(A396)</f>
        <v>0</v>
      </c>
      <c r="C396">
        <f t="shared" ca="1" si="24"/>
        <v>5</v>
      </c>
      <c r="D396" t="str" cm="1">
        <f t="array" aca="1" ref="D396" ca="1">CELL("nomfichier",INDIRECT(A396))</f>
        <v>G:\SCPE\sdc\bq\6 - Mentions valorisantes\Certification environnementale\TEXTES_REGLEMENTATION_CE\Plans_contrôle et grilles\Grille audit niveau 3\Grille d'audit v1.11\[grille-audit-hvev4-v1.11-vf.xlsx]Surfaces_Horti</v>
      </c>
      <c r="E396">
        <f t="shared" ca="1" si="25"/>
        <v>200</v>
      </c>
      <c r="F396">
        <f t="shared" ca="1" si="26"/>
        <v>214</v>
      </c>
      <c r="G396" t="str">
        <f t="shared" ca="1" si="27"/>
        <v>Surfaces_Horti</v>
      </c>
      <c r="H396" cm="1">
        <f t="array" aca="1" ref="H396" ca="1">ROW(INDIRECT(A396))</f>
        <v>19</v>
      </c>
      <c r="I396" cm="1">
        <f t="array" aca="1" ref="I396" ca="1">COLUMN(INDIRECT(A396))</f>
        <v>14</v>
      </c>
      <c r="M396" t="str" cm="1">
        <f t="array" aca="1" ref="M396" ca="1">IF(AND(J396="O",ISBLANK(INDIRECT(A396))),"Valeur obligatoire non renseignée","")</f>
        <v/>
      </c>
    </row>
    <row r="397" spans="1:13" x14ac:dyDescent="0.25">
      <c r="A397" s="91" t="s">
        <v>3194</v>
      </c>
      <c r="B397" cm="1">
        <f t="array" aca="1" ref="B397" ca="1">INDIRECT(A397)</f>
        <v>0</v>
      </c>
      <c r="C397">
        <f t="shared" ca="1" si="24"/>
        <v>5</v>
      </c>
      <c r="D397" t="str" cm="1">
        <f t="array" aca="1" ref="D397" ca="1">CELL("nomfichier",INDIRECT(A397))</f>
        <v>G:\SCPE\sdc\bq\6 - Mentions valorisantes\Certification environnementale\TEXTES_REGLEMENTATION_CE\Plans_contrôle et grilles\Grille audit niveau 3\Grille d'audit v1.11\[grille-audit-hvev4-v1.11-vf.xlsx]Surfaces_Horti</v>
      </c>
      <c r="E397">
        <f t="shared" ca="1" si="25"/>
        <v>200</v>
      </c>
      <c r="F397">
        <f t="shared" ca="1" si="26"/>
        <v>214</v>
      </c>
      <c r="G397" t="str">
        <f t="shared" ca="1" si="27"/>
        <v>Surfaces_Horti</v>
      </c>
      <c r="H397" cm="1">
        <f t="array" aca="1" ref="H397" ca="1">ROW(INDIRECT(A397))</f>
        <v>21</v>
      </c>
      <c r="I397" cm="1">
        <f t="array" aca="1" ref="I397" ca="1">COLUMN(INDIRECT(A397))</f>
        <v>2</v>
      </c>
      <c r="M397" t="str" cm="1">
        <f t="array" aca="1" ref="M397" ca="1">IF(AND(J397="O",ISBLANK(INDIRECT(A397))),"Valeur obligatoire non renseignée","")</f>
        <v/>
      </c>
    </row>
    <row r="398" spans="1:13" x14ac:dyDescent="0.25">
      <c r="A398" s="91" t="s">
        <v>3221</v>
      </c>
      <c r="B398" cm="1">
        <f t="array" aca="1" ref="B398" ca="1">INDIRECT(A398)</f>
        <v>0</v>
      </c>
      <c r="C398">
        <f t="shared" ca="1" si="24"/>
        <v>5</v>
      </c>
      <c r="D398" t="str" cm="1">
        <f t="array" aca="1" ref="D398" ca="1">CELL("nomfichier",INDIRECT(A398))</f>
        <v>G:\SCPE\sdc\bq\6 - Mentions valorisantes\Certification environnementale\TEXTES_REGLEMENTATION_CE\Plans_contrôle et grilles\Grille audit niveau 3\Grille d'audit v1.11\[grille-audit-hvev4-v1.11-vf.xlsx]Surfaces_Horti</v>
      </c>
      <c r="E398">
        <f t="shared" ca="1" si="25"/>
        <v>200</v>
      </c>
      <c r="F398">
        <f t="shared" ca="1" si="26"/>
        <v>214</v>
      </c>
      <c r="G398" t="str">
        <f t="shared" ca="1" si="27"/>
        <v>Surfaces_Horti</v>
      </c>
      <c r="H398" cm="1">
        <f t="array" aca="1" ref="H398" ca="1">ROW(INDIRECT(A398))</f>
        <v>21</v>
      </c>
      <c r="I398" cm="1">
        <f t="array" aca="1" ref="I398" ca="1">COLUMN(INDIRECT(A398))</f>
        <v>3</v>
      </c>
      <c r="M398" t="str" cm="1">
        <f t="array" aca="1" ref="M398" ca="1">IF(AND(J398="O",ISBLANK(INDIRECT(A398))),"Valeur obligatoire non renseignée","")</f>
        <v/>
      </c>
    </row>
    <row r="399" spans="1:13" x14ac:dyDescent="0.25">
      <c r="A399" s="91" t="s">
        <v>3248</v>
      </c>
      <c r="B399" cm="1">
        <f t="array" aca="1" ref="B399" ca="1">INDIRECT(A399)</f>
        <v>0</v>
      </c>
      <c r="C399">
        <f t="shared" ca="1" si="24"/>
        <v>5</v>
      </c>
      <c r="D399" t="str" cm="1">
        <f t="array" aca="1" ref="D399" ca="1">CELL("nomfichier",INDIRECT(A399))</f>
        <v>G:\SCPE\sdc\bq\6 - Mentions valorisantes\Certification environnementale\TEXTES_REGLEMENTATION_CE\Plans_contrôle et grilles\Grille audit niveau 3\Grille d'audit v1.11\[grille-audit-hvev4-v1.11-vf.xlsx]Surfaces_Horti</v>
      </c>
      <c r="E399">
        <f t="shared" ca="1" si="25"/>
        <v>200</v>
      </c>
      <c r="F399">
        <f t="shared" ca="1" si="26"/>
        <v>214</v>
      </c>
      <c r="G399" t="str">
        <f t="shared" ca="1" si="27"/>
        <v>Surfaces_Horti</v>
      </c>
      <c r="H399" cm="1">
        <f t="array" aca="1" ref="H399" ca="1">ROW(INDIRECT(A399))</f>
        <v>21</v>
      </c>
      <c r="I399" cm="1">
        <f t="array" aca="1" ref="I399" ca="1">COLUMN(INDIRECT(A399))</f>
        <v>4</v>
      </c>
      <c r="M399" t="str" cm="1">
        <f t="array" aca="1" ref="M399" ca="1">IF(AND(J399="O",ISBLANK(INDIRECT(A399))),"Valeur obligatoire non renseignée","")</f>
        <v/>
      </c>
    </row>
    <row r="400" spans="1:13" x14ac:dyDescent="0.25">
      <c r="A400" s="91" t="s">
        <v>3275</v>
      </c>
      <c r="B400" cm="1">
        <f t="array" aca="1" ref="B400" ca="1">INDIRECT(A400)</f>
        <v>0</v>
      </c>
      <c r="C400">
        <f t="shared" ca="1" si="24"/>
        <v>5</v>
      </c>
      <c r="D400" t="str" cm="1">
        <f t="array" aca="1" ref="D400" ca="1">CELL("nomfichier",INDIRECT(A400))</f>
        <v>G:\SCPE\sdc\bq\6 - Mentions valorisantes\Certification environnementale\TEXTES_REGLEMENTATION_CE\Plans_contrôle et grilles\Grille audit niveau 3\Grille d'audit v1.11\[grille-audit-hvev4-v1.11-vf.xlsx]Surfaces_Horti</v>
      </c>
      <c r="E400">
        <f t="shared" ca="1" si="25"/>
        <v>200</v>
      </c>
      <c r="F400">
        <f t="shared" ca="1" si="26"/>
        <v>214</v>
      </c>
      <c r="G400" t="str">
        <f t="shared" ca="1" si="27"/>
        <v>Surfaces_Horti</v>
      </c>
      <c r="H400" cm="1">
        <f t="array" aca="1" ref="H400" ca="1">ROW(INDIRECT(A400))</f>
        <v>21</v>
      </c>
      <c r="I400" cm="1">
        <f t="array" aca="1" ref="I400" ca="1">COLUMN(INDIRECT(A400))</f>
        <v>5</v>
      </c>
      <c r="M400" t="str" cm="1">
        <f t="array" aca="1" ref="M400" ca="1">IF(AND(J400="O",ISBLANK(INDIRECT(A400))),"Valeur obligatoire non renseignée","")</f>
        <v/>
      </c>
    </row>
    <row r="401" spans="1:13" x14ac:dyDescent="0.25">
      <c r="A401" s="91" t="s">
        <v>3302</v>
      </c>
      <c r="B401" cm="1">
        <f t="array" aca="1" ref="B401" ca="1">INDIRECT(A401)</f>
        <v>0</v>
      </c>
      <c r="C401">
        <f t="shared" ca="1" si="24"/>
        <v>5</v>
      </c>
      <c r="D401" t="str" cm="1">
        <f t="array" aca="1" ref="D401" ca="1">CELL("nomfichier",INDIRECT(A401))</f>
        <v>G:\SCPE\sdc\bq\6 - Mentions valorisantes\Certification environnementale\TEXTES_REGLEMENTATION_CE\Plans_contrôle et grilles\Grille audit niveau 3\Grille d'audit v1.11\[grille-audit-hvev4-v1.11-vf.xlsx]Surfaces_Horti</v>
      </c>
      <c r="E401">
        <f t="shared" ca="1" si="25"/>
        <v>200</v>
      </c>
      <c r="F401">
        <f t="shared" ca="1" si="26"/>
        <v>214</v>
      </c>
      <c r="G401" t="str">
        <f t="shared" ca="1" si="27"/>
        <v>Surfaces_Horti</v>
      </c>
      <c r="H401" cm="1">
        <f t="array" aca="1" ref="H401" ca="1">ROW(INDIRECT(A401))</f>
        <v>21</v>
      </c>
      <c r="I401" cm="1">
        <f t="array" aca="1" ref="I401" ca="1">COLUMN(INDIRECT(A401))</f>
        <v>6</v>
      </c>
      <c r="M401" t="str" cm="1">
        <f t="array" aca="1" ref="M401" ca="1">IF(AND(J401="O",ISBLANK(INDIRECT(A401))),"Valeur obligatoire non renseignée","")</f>
        <v/>
      </c>
    </row>
    <row r="402" spans="1:13" x14ac:dyDescent="0.25">
      <c r="A402" s="91" t="s">
        <v>3329</v>
      </c>
      <c r="B402" cm="1">
        <f t="array" aca="1" ref="B402" ca="1">INDIRECT(A402)</f>
        <v>0</v>
      </c>
      <c r="C402">
        <f t="shared" ca="1" si="24"/>
        <v>5</v>
      </c>
      <c r="D402" t="str" cm="1">
        <f t="array" aca="1" ref="D402" ca="1">CELL("nomfichier",INDIRECT(A402))</f>
        <v>G:\SCPE\sdc\bq\6 - Mentions valorisantes\Certification environnementale\TEXTES_REGLEMENTATION_CE\Plans_contrôle et grilles\Grille audit niveau 3\Grille d'audit v1.11\[grille-audit-hvev4-v1.11-vf.xlsx]Surfaces_Horti</v>
      </c>
      <c r="E402">
        <f t="shared" ca="1" si="25"/>
        <v>200</v>
      </c>
      <c r="F402">
        <f t="shared" ca="1" si="26"/>
        <v>214</v>
      </c>
      <c r="G402" t="str">
        <f t="shared" ca="1" si="27"/>
        <v>Surfaces_Horti</v>
      </c>
      <c r="H402" cm="1">
        <f t="array" aca="1" ref="H402" ca="1">ROW(INDIRECT(A402))</f>
        <v>21</v>
      </c>
      <c r="I402" cm="1">
        <f t="array" aca="1" ref="I402" ca="1">COLUMN(INDIRECT(A402))</f>
        <v>7</v>
      </c>
      <c r="M402" t="str" cm="1">
        <f t="array" aca="1" ref="M402" ca="1">IF(AND(J402="O",ISBLANK(INDIRECT(A402))),"Valeur obligatoire non renseignée","")</f>
        <v/>
      </c>
    </row>
    <row r="403" spans="1:13" x14ac:dyDescent="0.25">
      <c r="A403" s="91" t="s">
        <v>3356</v>
      </c>
      <c r="B403" cm="1">
        <f t="array" aca="1" ref="B403" ca="1">INDIRECT(A403)</f>
        <v>0</v>
      </c>
      <c r="C403">
        <f t="shared" ca="1" si="24"/>
        <v>5</v>
      </c>
      <c r="D403" t="str" cm="1">
        <f t="array" aca="1" ref="D403" ca="1">CELL("nomfichier",INDIRECT(A403))</f>
        <v>G:\SCPE\sdc\bq\6 - Mentions valorisantes\Certification environnementale\TEXTES_REGLEMENTATION_CE\Plans_contrôle et grilles\Grille audit niveau 3\Grille d'audit v1.11\[grille-audit-hvev4-v1.11-vf.xlsx]Surfaces_Horti</v>
      </c>
      <c r="E403">
        <f t="shared" ca="1" si="25"/>
        <v>200</v>
      </c>
      <c r="F403">
        <f t="shared" ca="1" si="26"/>
        <v>214</v>
      </c>
      <c r="G403" t="str">
        <f t="shared" ca="1" si="27"/>
        <v>Surfaces_Horti</v>
      </c>
      <c r="H403" cm="1">
        <f t="array" aca="1" ref="H403" ca="1">ROW(INDIRECT(A403))</f>
        <v>21</v>
      </c>
      <c r="I403" cm="1">
        <f t="array" aca="1" ref="I403" ca="1">COLUMN(INDIRECT(A403))</f>
        <v>8</v>
      </c>
      <c r="M403" t="str" cm="1">
        <f t="array" aca="1" ref="M403" ca="1">IF(AND(J403="O",ISBLANK(INDIRECT(A403))),"Valeur obligatoire non renseignée","")</f>
        <v/>
      </c>
    </row>
    <row r="404" spans="1:13" x14ac:dyDescent="0.25">
      <c r="A404" s="91" t="s">
        <v>3383</v>
      </c>
      <c r="B404" cm="1">
        <f t="array" aca="1" ref="B404" ca="1">INDIRECT(A404)</f>
        <v>0</v>
      </c>
      <c r="C404">
        <f t="shared" ca="1" si="24"/>
        <v>5</v>
      </c>
      <c r="D404" t="str" cm="1">
        <f t="array" aca="1" ref="D404" ca="1">CELL("nomfichier",INDIRECT(A404))</f>
        <v>G:\SCPE\sdc\bq\6 - Mentions valorisantes\Certification environnementale\TEXTES_REGLEMENTATION_CE\Plans_contrôle et grilles\Grille audit niveau 3\Grille d'audit v1.11\[grille-audit-hvev4-v1.11-vf.xlsx]Surfaces_Horti</v>
      </c>
      <c r="E404">
        <f t="shared" ca="1" si="25"/>
        <v>200</v>
      </c>
      <c r="F404">
        <f t="shared" ca="1" si="26"/>
        <v>214</v>
      </c>
      <c r="G404" t="str">
        <f t="shared" ca="1" si="27"/>
        <v>Surfaces_Horti</v>
      </c>
      <c r="H404" cm="1">
        <f t="array" aca="1" ref="H404" ca="1">ROW(INDIRECT(A404))</f>
        <v>21</v>
      </c>
      <c r="I404" cm="1">
        <f t="array" aca="1" ref="I404" ca="1">COLUMN(INDIRECT(A404))</f>
        <v>9</v>
      </c>
      <c r="M404" t="str" cm="1">
        <f t="array" aca="1" ref="M404" ca="1">IF(AND(J404="O",ISBLANK(INDIRECT(A404))),"Valeur obligatoire non renseignée","")</f>
        <v/>
      </c>
    </row>
    <row r="405" spans="1:13" x14ac:dyDescent="0.25">
      <c r="A405" s="91" t="s">
        <v>3410</v>
      </c>
      <c r="B405" cm="1">
        <f t="array" aca="1" ref="B405" ca="1">INDIRECT(A405)</f>
        <v>0</v>
      </c>
      <c r="C405">
        <f t="shared" ca="1" si="24"/>
        <v>5</v>
      </c>
      <c r="D405" t="str" cm="1">
        <f t="array" aca="1" ref="D405" ca="1">CELL("nomfichier",INDIRECT(A405))</f>
        <v>G:\SCPE\sdc\bq\6 - Mentions valorisantes\Certification environnementale\TEXTES_REGLEMENTATION_CE\Plans_contrôle et grilles\Grille audit niveau 3\Grille d'audit v1.11\[grille-audit-hvev4-v1.11-vf.xlsx]Surfaces_Horti</v>
      </c>
      <c r="E405">
        <f t="shared" ca="1" si="25"/>
        <v>200</v>
      </c>
      <c r="F405">
        <f t="shared" ca="1" si="26"/>
        <v>214</v>
      </c>
      <c r="G405" t="str">
        <f t="shared" ca="1" si="27"/>
        <v>Surfaces_Horti</v>
      </c>
      <c r="H405" cm="1">
        <f t="array" aca="1" ref="H405" ca="1">ROW(INDIRECT(A405))</f>
        <v>21</v>
      </c>
      <c r="I405" cm="1">
        <f t="array" aca="1" ref="I405" ca="1">COLUMN(INDIRECT(A405))</f>
        <v>10</v>
      </c>
      <c r="M405" t="str" cm="1">
        <f t="array" aca="1" ref="M405" ca="1">IF(AND(J405="O",ISBLANK(INDIRECT(A405))),"Valeur obligatoire non renseignée","")</f>
        <v/>
      </c>
    </row>
    <row r="406" spans="1:13" x14ac:dyDescent="0.25">
      <c r="A406" s="91" t="s">
        <v>3437</v>
      </c>
      <c r="B406" cm="1">
        <f t="array" aca="1" ref="B406" ca="1">INDIRECT(A406)</f>
        <v>0</v>
      </c>
      <c r="C406">
        <f t="shared" ca="1" si="24"/>
        <v>5</v>
      </c>
      <c r="D406" t="str" cm="1">
        <f t="array" aca="1" ref="D406" ca="1">CELL("nomfichier",INDIRECT(A406))</f>
        <v>G:\SCPE\sdc\bq\6 - Mentions valorisantes\Certification environnementale\TEXTES_REGLEMENTATION_CE\Plans_contrôle et grilles\Grille audit niveau 3\Grille d'audit v1.11\[grille-audit-hvev4-v1.11-vf.xlsx]Surfaces_Horti</v>
      </c>
      <c r="E406">
        <f t="shared" ca="1" si="25"/>
        <v>200</v>
      </c>
      <c r="F406">
        <f t="shared" ca="1" si="26"/>
        <v>214</v>
      </c>
      <c r="G406" t="str">
        <f t="shared" ca="1" si="27"/>
        <v>Surfaces_Horti</v>
      </c>
      <c r="H406" cm="1">
        <f t="array" aca="1" ref="H406" ca="1">ROW(INDIRECT(A406))</f>
        <v>21</v>
      </c>
      <c r="I406" cm="1">
        <f t="array" aca="1" ref="I406" ca="1">COLUMN(INDIRECT(A406))</f>
        <v>11</v>
      </c>
      <c r="M406" t="str" cm="1">
        <f t="array" aca="1" ref="M406" ca="1">IF(AND(J406="O",ISBLANK(INDIRECT(A406))),"Valeur obligatoire non renseignée","")</f>
        <v/>
      </c>
    </row>
    <row r="407" spans="1:13" x14ac:dyDescent="0.25">
      <c r="A407" s="91" t="s">
        <v>3464</v>
      </c>
      <c r="B407" cm="1">
        <f t="array" aca="1" ref="B407" ca="1">INDIRECT(A407)</f>
        <v>0</v>
      </c>
      <c r="C407">
        <f t="shared" ca="1" si="24"/>
        <v>5</v>
      </c>
      <c r="D407" t="str" cm="1">
        <f t="array" aca="1" ref="D407" ca="1">CELL("nomfichier",INDIRECT(A407))</f>
        <v>G:\SCPE\sdc\bq\6 - Mentions valorisantes\Certification environnementale\TEXTES_REGLEMENTATION_CE\Plans_contrôle et grilles\Grille audit niveau 3\Grille d'audit v1.11\[grille-audit-hvev4-v1.11-vf.xlsx]Surfaces_Horti</v>
      </c>
      <c r="E407">
        <f t="shared" ca="1" si="25"/>
        <v>200</v>
      </c>
      <c r="F407">
        <f t="shared" ca="1" si="26"/>
        <v>214</v>
      </c>
      <c r="G407" t="str">
        <f t="shared" ca="1" si="27"/>
        <v>Surfaces_Horti</v>
      </c>
      <c r="H407" cm="1">
        <f t="array" aca="1" ref="H407" ca="1">ROW(INDIRECT(A407))</f>
        <v>21</v>
      </c>
      <c r="I407" cm="1">
        <f t="array" aca="1" ref="I407" ca="1">COLUMN(INDIRECT(A407))</f>
        <v>12</v>
      </c>
      <c r="M407" t="str" cm="1">
        <f t="array" aca="1" ref="M407" ca="1">IF(AND(J407="O",ISBLANK(INDIRECT(A407))),"Valeur obligatoire non renseignée","")</f>
        <v/>
      </c>
    </row>
    <row r="408" spans="1:13" x14ac:dyDescent="0.25">
      <c r="A408" s="91" t="s">
        <v>3491</v>
      </c>
      <c r="B408" cm="1">
        <f t="array" aca="1" ref="B408" ca="1">INDIRECT(A408)</f>
        <v>0</v>
      </c>
      <c r="C408">
        <f t="shared" ca="1" si="24"/>
        <v>5</v>
      </c>
      <c r="D408" t="str" cm="1">
        <f t="array" aca="1" ref="D408" ca="1">CELL("nomfichier",INDIRECT(A408))</f>
        <v>G:\SCPE\sdc\bq\6 - Mentions valorisantes\Certification environnementale\TEXTES_REGLEMENTATION_CE\Plans_contrôle et grilles\Grille audit niveau 3\Grille d'audit v1.11\[grille-audit-hvev4-v1.11-vf.xlsx]Surfaces_Horti</v>
      </c>
      <c r="E408">
        <f t="shared" ca="1" si="25"/>
        <v>200</v>
      </c>
      <c r="F408">
        <f t="shared" ca="1" si="26"/>
        <v>214</v>
      </c>
      <c r="G408" t="str">
        <f t="shared" ca="1" si="27"/>
        <v>Surfaces_Horti</v>
      </c>
      <c r="H408" cm="1">
        <f t="array" aca="1" ref="H408" ca="1">ROW(INDIRECT(A408))</f>
        <v>21</v>
      </c>
      <c r="I408" cm="1">
        <f t="array" aca="1" ref="I408" ca="1">COLUMN(INDIRECT(A408))</f>
        <v>13</v>
      </c>
      <c r="M408" t="str" cm="1">
        <f t="array" aca="1" ref="M408" ca="1">IF(AND(J408="O",ISBLANK(INDIRECT(A408))),"Valeur obligatoire non renseignée","")</f>
        <v/>
      </c>
    </row>
    <row r="409" spans="1:13" x14ac:dyDescent="0.25">
      <c r="A409" s="91" t="s">
        <v>3518</v>
      </c>
      <c r="B409" cm="1">
        <f t="array" aca="1" ref="B409" ca="1">INDIRECT(A409)</f>
        <v>0</v>
      </c>
      <c r="C409">
        <f t="shared" ca="1" si="24"/>
        <v>5</v>
      </c>
      <c r="D409" t="str" cm="1">
        <f t="array" aca="1" ref="D409" ca="1">CELL("nomfichier",INDIRECT(A409))</f>
        <v>G:\SCPE\sdc\bq\6 - Mentions valorisantes\Certification environnementale\TEXTES_REGLEMENTATION_CE\Plans_contrôle et grilles\Grille audit niveau 3\Grille d'audit v1.11\[grille-audit-hvev4-v1.11-vf.xlsx]Surfaces_Horti</v>
      </c>
      <c r="E409">
        <f t="shared" ca="1" si="25"/>
        <v>200</v>
      </c>
      <c r="F409">
        <f t="shared" ca="1" si="26"/>
        <v>214</v>
      </c>
      <c r="G409" t="str">
        <f t="shared" ca="1" si="27"/>
        <v>Surfaces_Horti</v>
      </c>
      <c r="H409" cm="1">
        <f t="array" aca="1" ref="H409" ca="1">ROW(INDIRECT(A409))</f>
        <v>21</v>
      </c>
      <c r="I409" cm="1">
        <f t="array" aca="1" ref="I409" ca="1">COLUMN(INDIRECT(A409))</f>
        <v>14</v>
      </c>
      <c r="M409" t="str" cm="1">
        <f t="array" aca="1" ref="M409" ca="1">IF(AND(J409="O",ISBLANK(INDIRECT(A409))),"Valeur obligatoire non renseignée","")</f>
        <v/>
      </c>
    </row>
    <row r="410" spans="1:13" x14ac:dyDescent="0.25">
      <c r="A410" s="91" t="s">
        <v>3195</v>
      </c>
      <c r="B410" cm="1">
        <f t="array" aca="1" ref="B410" ca="1">INDIRECT(A410)</f>
        <v>0</v>
      </c>
      <c r="C410">
        <f t="shared" ca="1" si="24"/>
        <v>5</v>
      </c>
      <c r="D410" t="str" cm="1">
        <f t="array" aca="1" ref="D410" ca="1">CELL("nomfichier",INDIRECT(A410))</f>
        <v>G:\SCPE\sdc\bq\6 - Mentions valorisantes\Certification environnementale\TEXTES_REGLEMENTATION_CE\Plans_contrôle et grilles\Grille audit niveau 3\Grille d'audit v1.11\[grille-audit-hvev4-v1.11-vf.xlsx]Surfaces_Horti</v>
      </c>
      <c r="E410">
        <f t="shared" ca="1" si="25"/>
        <v>200</v>
      </c>
      <c r="F410">
        <f t="shared" ca="1" si="26"/>
        <v>214</v>
      </c>
      <c r="G410" t="str">
        <f t="shared" ca="1" si="27"/>
        <v>Surfaces_Horti</v>
      </c>
      <c r="H410" cm="1">
        <f t="array" aca="1" ref="H410" ca="1">ROW(INDIRECT(A410))</f>
        <v>22</v>
      </c>
      <c r="I410" cm="1">
        <f t="array" aca="1" ref="I410" ca="1">COLUMN(INDIRECT(A410))</f>
        <v>2</v>
      </c>
      <c r="M410" t="str" cm="1">
        <f t="array" aca="1" ref="M410" ca="1">IF(AND(J410="O",ISBLANK(INDIRECT(A410))),"Valeur obligatoire non renseignée","")</f>
        <v/>
      </c>
    </row>
    <row r="411" spans="1:13" x14ac:dyDescent="0.25">
      <c r="A411" s="91" t="s">
        <v>3222</v>
      </c>
      <c r="B411" cm="1">
        <f t="array" aca="1" ref="B411" ca="1">INDIRECT(A411)</f>
        <v>0</v>
      </c>
      <c r="C411">
        <f t="shared" ca="1" si="24"/>
        <v>5</v>
      </c>
      <c r="D411" t="str" cm="1">
        <f t="array" aca="1" ref="D411" ca="1">CELL("nomfichier",INDIRECT(A411))</f>
        <v>G:\SCPE\sdc\bq\6 - Mentions valorisantes\Certification environnementale\TEXTES_REGLEMENTATION_CE\Plans_contrôle et grilles\Grille audit niveau 3\Grille d'audit v1.11\[grille-audit-hvev4-v1.11-vf.xlsx]Surfaces_Horti</v>
      </c>
      <c r="E411">
        <f t="shared" ca="1" si="25"/>
        <v>200</v>
      </c>
      <c r="F411">
        <f t="shared" ca="1" si="26"/>
        <v>214</v>
      </c>
      <c r="G411" t="str">
        <f t="shared" ca="1" si="27"/>
        <v>Surfaces_Horti</v>
      </c>
      <c r="H411" cm="1">
        <f t="array" aca="1" ref="H411" ca="1">ROW(INDIRECT(A411))</f>
        <v>22</v>
      </c>
      <c r="I411" cm="1">
        <f t="array" aca="1" ref="I411" ca="1">COLUMN(INDIRECT(A411))</f>
        <v>3</v>
      </c>
      <c r="M411" t="str" cm="1">
        <f t="array" aca="1" ref="M411" ca="1">IF(AND(J411="O",ISBLANK(INDIRECT(A411))),"Valeur obligatoire non renseignée","")</f>
        <v/>
      </c>
    </row>
    <row r="412" spans="1:13" x14ac:dyDescent="0.25">
      <c r="A412" s="91" t="s">
        <v>3249</v>
      </c>
      <c r="B412" cm="1">
        <f t="array" aca="1" ref="B412" ca="1">INDIRECT(A412)</f>
        <v>0</v>
      </c>
      <c r="C412">
        <f t="shared" ca="1" si="24"/>
        <v>5</v>
      </c>
      <c r="D412" t="str" cm="1">
        <f t="array" aca="1" ref="D412" ca="1">CELL("nomfichier",INDIRECT(A412))</f>
        <v>G:\SCPE\sdc\bq\6 - Mentions valorisantes\Certification environnementale\TEXTES_REGLEMENTATION_CE\Plans_contrôle et grilles\Grille audit niveau 3\Grille d'audit v1.11\[grille-audit-hvev4-v1.11-vf.xlsx]Surfaces_Horti</v>
      </c>
      <c r="E412">
        <f t="shared" ca="1" si="25"/>
        <v>200</v>
      </c>
      <c r="F412">
        <f t="shared" ca="1" si="26"/>
        <v>214</v>
      </c>
      <c r="G412" t="str">
        <f t="shared" ca="1" si="27"/>
        <v>Surfaces_Horti</v>
      </c>
      <c r="H412" cm="1">
        <f t="array" aca="1" ref="H412" ca="1">ROW(INDIRECT(A412))</f>
        <v>22</v>
      </c>
      <c r="I412" cm="1">
        <f t="array" aca="1" ref="I412" ca="1">COLUMN(INDIRECT(A412))</f>
        <v>4</v>
      </c>
      <c r="M412" t="str" cm="1">
        <f t="array" aca="1" ref="M412" ca="1">IF(AND(J412="O",ISBLANK(INDIRECT(A412))),"Valeur obligatoire non renseignée","")</f>
        <v/>
      </c>
    </row>
    <row r="413" spans="1:13" x14ac:dyDescent="0.25">
      <c r="A413" s="91" t="s">
        <v>3276</v>
      </c>
      <c r="B413" cm="1">
        <f t="array" aca="1" ref="B413" ca="1">INDIRECT(A413)</f>
        <v>0</v>
      </c>
      <c r="C413">
        <f t="shared" ca="1" si="24"/>
        <v>5</v>
      </c>
      <c r="D413" t="str" cm="1">
        <f t="array" aca="1" ref="D413" ca="1">CELL("nomfichier",INDIRECT(A413))</f>
        <v>G:\SCPE\sdc\bq\6 - Mentions valorisantes\Certification environnementale\TEXTES_REGLEMENTATION_CE\Plans_contrôle et grilles\Grille audit niveau 3\Grille d'audit v1.11\[grille-audit-hvev4-v1.11-vf.xlsx]Surfaces_Horti</v>
      </c>
      <c r="E413">
        <f t="shared" ca="1" si="25"/>
        <v>200</v>
      </c>
      <c r="F413">
        <f t="shared" ca="1" si="26"/>
        <v>214</v>
      </c>
      <c r="G413" t="str">
        <f t="shared" ca="1" si="27"/>
        <v>Surfaces_Horti</v>
      </c>
      <c r="H413" cm="1">
        <f t="array" aca="1" ref="H413" ca="1">ROW(INDIRECT(A413))</f>
        <v>22</v>
      </c>
      <c r="I413" cm="1">
        <f t="array" aca="1" ref="I413" ca="1">COLUMN(INDIRECT(A413))</f>
        <v>5</v>
      </c>
      <c r="M413" t="str" cm="1">
        <f t="array" aca="1" ref="M413" ca="1">IF(AND(J413="O",ISBLANK(INDIRECT(A413))),"Valeur obligatoire non renseignée","")</f>
        <v/>
      </c>
    </row>
    <row r="414" spans="1:13" x14ac:dyDescent="0.25">
      <c r="A414" s="91" t="s">
        <v>3303</v>
      </c>
      <c r="B414" cm="1">
        <f t="array" aca="1" ref="B414" ca="1">INDIRECT(A414)</f>
        <v>0</v>
      </c>
      <c r="C414">
        <f t="shared" ca="1" si="24"/>
        <v>5</v>
      </c>
      <c r="D414" t="str" cm="1">
        <f t="array" aca="1" ref="D414" ca="1">CELL("nomfichier",INDIRECT(A414))</f>
        <v>G:\SCPE\sdc\bq\6 - Mentions valorisantes\Certification environnementale\TEXTES_REGLEMENTATION_CE\Plans_contrôle et grilles\Grille audit niveau 3\Grille d'audit v1.11\[grille-audit-hvev4-v1.11-vf.xlsx]Surfaces_Horti</v>
      </c>
      <c r="E414">
        <f t="shared" ca="1" si="25"/>
        <v>200</v>
      </c>
      <c r="F414">
        <f t="shared" ca="1" si="26"/>
        <v>214</v>
      </c>
      <c r="G414" t="str">
        <f t="shared" ca="1" si="27"/>
        <v>Surfaces_Horti</v>
      </c>
      <c r="H414" cm="1">
        <f t="array" aca="1" ref="H414" ca="1">ROW(INDIRECT(A414))</f>
        <v>22</v>
      </c>
      <c r="I414" cm="1">
        <f t="array" aca="1" ref="I414" ca="1">COLUMN(INDIRECT(A414))</f>
        <v>6</v>
      </c>
      <c r="M414" t="str" cm="1">
        <f t="array" aca="1" ref="M414" ca="1">IF(AND(J414="O",ISBLANK(INDIRECT(A414))),"Valeur obligatoire non renseignée","")</f>
        <v/>
      </c>
    </row>
    <row r="415" spans="1:13" x14ac:dyDescent="0.25">
      <c r="A415" s="91" t="s">
        <v>3330</v>
      </c>
      <c r="B415" cm="1">
        <f t="array" aca="1" ref="B415" ca="1">INDIRECT(A415)</f>
        <v>0</v>
      </c>
      <c r="C415">
        <f t="shared" ca="1" si="24"/>
        <v>5</v>
      </c>
      <c r="D415" t="str" cm="1">
        <f t="array" aca="1" ref="D415" ca="1">CELL("nomfichier",INDIRECT(A415))</f>
        <v>G:\SCPE\sdc\bq\6 - Mentions valorisantes\Certification environnementale\TEXTES_REGLEMENTATION_CE\Plans_contrôle et grilles\Grille audit niveau 3\Grille d'audit v1.11\[grille-audit-hvev4-v1.11-vf.xlsx]Surfaces_Horti</v>
      </c>
      <c r="E415">
        <f t="shared" ca="1" si="25"/>
        <v>200</v>
      </c>
      <c r="F415">
        <f t="shared" ca="1" si="26"/>
        <v>214</v>
      </c>
      <c r="G415" t="str">
        <f t="shared" ca="1" si="27"/>
        <v>Surfaces_Horti</v>
      </c>
      <c r="H415" cm="1">
        <f t="array" aca="1" ref="H415" ca="1">ROW(INDIRECT(A415))</f>
        <v>22</v>
      </c>
      <c r="I415" cm="1">
        <f t="array" aca="1" ref="I415" ca="1">COLUMN(INDIRECT(A415))</f>
        <v>7</v>
      </c>
      <c r="M415" t="str" cm="1">
        <f t="array" aca="1" ref="M415" ca="1">IF(AND(J415="O",ISBLANK(INDIRECT(A415))),"Valeur obligatoire non renseignée","")</f>
        <v/>
      </c>
    </row>
    <row r="416" spans="1:13" x14ac:dyDescent="0.25">
      <c r="A416" s="91" t="s">
        <v>3357</v>
      </c>
      <c r="B416" cm="1">
        <f t="array" aca="1" ref="B416" ca="1">INDIRECT(A416)</f>
        <v>0</v>
      </c>
      <c r="C416">
        <f t="shared" ca="1" si="24"/>
        <v>5</v>
      </c>
      <c r="D416" t="str" cm="1">
        <f t="array" aca="1" ref="D416" ca="1">CELL("nomfichier",INDIRECT(A416))</f>
        <v>G:\SCPE\sdc\bq\6 - Mentions valorisantes\Certification environnementale\TEXTES_REGLEMENTATION_CE\Plans_contrôle et grilles\Grille audit niveau 3\Grille d'audit v1.11\[grille-audit-hvev4-v1.11-vf.xlsx]Surfaces_Horti</v>
      </c>
      <c r="E416">
        <f t="shared" ca="1" si="25"/>
        <v>200</v>
      </c>
      <c r="F416">
        <f t="shared" ca="1" si="26"/>
        <v>214</v>
      </c>
      <c r="G416" t="str">
        <f t="shared" ca="1" si="27"/>
        <v>Surfaces_Horti</v>
      </c>
      <c r="H416" cm="1">
        <f t="array" aca="1" ref="H416" ca="1">ROW(INDIRECT(A416))</f>
        <v>22</v>
      </c>
      <c r="I416" cm="1">
        <f t="array" aca="1" ref="I416" ca="1">COLUMN(INDIRECT(A416))</f>
        <v>8</v>
      </c>
      <c r="M416" t="str" cm="1">
        <f t="array" aca="1" ref="M416" ca="1">IF(AND(J416="O",ISBLANK(INDIRECT(A416))),"Valeur obligatoire non renseignée","")</f>
        <v/>
      </c>
    </row>
    <row r="417" spans="1:13" x14ac:dyDescent="0.25">
      <c r="A417" s="91" t="s">
        <v>3384</v>
      </c>
      <c r="B417" cm="1">
        <f t="array" aca="1" ref="B417" ca="1">INDIRECT(A417)</f>
        <v>0</v>
      </c>
      <c r="C417">
        <f t="shared" ca="1" si="24"/>
        <v>5</v>
      </c>
      <c r="D417" t="str" cm="1">
        <f t="array" aca="1" ref="D417" ca="1">CELL("nomfichier",INDIRECT(A417))</f>
        <v>G:\SCPE\sdc\bq\6 - Mentions valorisantes\Certification environnementale\TEXTES_REGLEMENTATION_CE\Plans_contrôle et grilles\Grille audit niveau 3\Grille d'audit v1.11\[grille-audit-hvev4-v1.11-vf.xlsx]Surfaces_Horti</v>
      </c>
      <c r="E417">
        <f t="shared" ca="1" si="25"/>
        <v>200</v>
      </c>
      <c r="F417">
        <f t="shared" ca="1" si="26"/>
        <v>214</v>
      </c>
      <c r="G417" t="str">
        <f t="shared" ca="1" si="27"/>
        <v>Surfaces_Horti</v>
      </c>
      <c r="H417" cm="1">
        <f t="array" aca="1" ref="H417" ca="1">ROW(INDIRECT(A417))</f>
        <v>22</v>
      </c>
      <c r="I417" cm="1">
        <f t="array" aca="1" ref="I417" ca="1">COLUMN(INDIRECT(A417))</f>
        <v>9</v>
      </c>
      <c r="M417" t="str" cm="1">
        <f t="array" aca="1" ref="M417" ca="1">IF(AND(J417="O",ISBLANK(INDIRECT(A417))),"Valeur obligatoire non renseignée","")</f>
        <v/>
      </c>
    </row>
    <row r="418" spans="1:13" x14ac:dyDescent="0.25">
      <c r="A418" s="91" t="s">
        <v>3411</v>
      </c>
      <c r="B418" cm="1">
        <f t="array" aca="1" ref="B418" ca="1">INDIRECT(A418)</f>
        <v>0</v>
      </c>
      <c r="C418">
        <f t="shared" ca="1" si="24"/>
        <v>5</v>
      </c>
      <c r="D418" t="str" cm="1">
        <f t="array" aca="1" ref="D418" ca="1">CELL("nomfichier",INDIRECT(A418))</f>
        <v>G:\SCPE\sdc\bq\6 - Mentions valorisantes\Certification environnementale\TEXTES_REGLEMENTATION_CE\Plans_contrôle et grilles\Grille audit niveau 3\Grille d'audit v1.11\[grille-audit-hvev4-v1.11-vf.xlsx]Surfaces_Horti</v>
      </c>
      <c r="E418">
        <f t="shared" ca="1" si="25"/>
        <v>200</v>
      </c>
      <c r="F418">
        <f t="shared" ca="1" si="26"/>
        <v>214</v>
      </c>
      <c r="G418" t="str">
        <f t="shared" ca="1" si="27"/>
        <v>Surfaces_Horti</v>
      </c>
      <c r="H418" cm="1">
        <f t="array" aca="1" ref="H418" ca="1">ROW(INDIRECT(A418))</f>
        <v>22</v>
      </c>
      <c r="I418" cm="1">
        <f t="array" aca="1" ref="I418" ca="1">COLUMN(INDIRECT(A418))</f>
        <v>10</v>
      </c>
      <c r="M418" t="str" cm="1">
        <f t="array" aca="1" ref="M418" ca="1">IF(AND(J418="O",ISBLANK(INDIRECT(A418))),"Valeur obligatoire non renseignée","")</f>
        <v/>
      </c>
    </row>
    <row r="419" spans="1:13" x14ac:dyDescent="0.25">
      <c r="A419" s="91" t="s">
        <v>3438</v>
      </c>
      <c r="B419" cm="1">
        <f t="array" aca="1" ref="B419" ca="1">INDIRECT(A419)</f>
        <v>0</v>
      </c>
      <c r="C419">
        <f t="shared" ca="1" si="24"/>
        <v>5</v>
      </c>
      <c r="D419" t="str" cm="1">
        <f t="array" aca="1" ref="D419" ca="1">CELL("nomfichier",INDIRECT(A419))</f>
        <v>G:\SCPE\sdc\bq\6 - Mentions valorisantes\Certification environnementale\TEXTES_REGLEMENTATION_CE\Plans_contrôle et grilles\Grille audit niveau 3\Grille d'audit v1.11\[grille-audit-hvev4-v1.11-vf.xlsx]Surfaces_Horti</v>
      </c>
      <c r="E419">
        <f t="shared" ca="1" si="25"/>
        <v>200</v>
      </c>
      <c r="F419">
        <f t="shared" ca="1" si="26"/>
        <v>214</v>
      </c>
      <c r="G419" t="str">
        <f t="shared" ca="1" si="27"/>
        <v>Surfaces_Horti</v>
      </c>
      <c r="H419" cm="1">
        <f t="array" aca="1" ref="H419" ca="1">ROW(INDIRECT(A419))</f>
        <v>22</v>
      </c>
      <c r="I419" cm="1">
        <f t="array" aca="1" ref="I419" ca="1">COLUMN(INDIRECT(A419))</f>
        <v>11</v>
      </c>
      <c r="M419" t="str" cm="1">
        <f t="array" aca="1" ref="M419" ca="1">IF(AND(J419="O",ISBLANK(INDIRECT(A419))),"Valeur obligatoire non renseignée","")</f>
        <v/>
      </c>
    </row>
    <row r="420" spans="1:13" x14ac:dyDescent="0.25">
      <c r="A420" s="91" t="s">
        <v>3465</v>
      </c>
      <c r="B420" cm="1">
        <f t="array" aca="1" ref="B420" ca="1">INDIRECT(A420)</f>
        <v>0</v>
      </c>
      <c r="C420">
        <f t="shared" ca="1" si="24"/>
        <v>5</v>
      </c>
      <c r="D420" t="str" cm="1">
        <f t="array" aca="1" ref="D420" ca="1">CELL("nomfichier",INDIRECT(A420))</f>
        <v>G:\SCPE\sdc\bq\6 - Mentions valorisantes\Certification environnementale\TEXTES_REGLEMENTATION_CE\Plans_contrôle et grilles\Grille audit niveau 3\Grille d'audit v1.11\[grille-audit-hvev4-v1.11-vf.xlsx]Surfaces_Horti</v>
      </c>
      <c r="E420">
        <f t="shared" ca="1" si="25"/>
        <v>200</v>
      </c>
      <c r="F420">
        <f t="shared" ca="1" si="26"/>
        <v>214</v>
      </c>
      <c r="G420" t="str">
        <f t="shared" ca="1" si="27"/>
        <v>Surfaces_Horti</v>
      </c>
      <c r="H420" cm="1">
        <f t="array" aca="1" ref="H420" ca="1">ROW(INDIRECT(A420))</f>
        <v>22</v>
      </c>
      <c r="I420" cm="1">
        <f t="array" aca="1" ref="I420" ca="1">COLUMN(INDIRECT(A420))</f>
        <v>12</v>
      </c>
      <c r="M420" t="str" cm="1">
        <f t="array" aca="1" ref="M420" ca="1">IF(AND(J420="O",ISBLANK(INDIRECT(A420))),"Valeur obligatoire non renseignée","")</f>
        <v/>
      </c>
    </row>
    <row r="421" spans="1:13" x14ac:dyDescent="0.25">
      <c r="A421" s="91" t="s">
        <v>3492</v>
      </c>
      <c r="B421" cm="1">
        <f t="array" aca="1" ref="B421" ca="1">INDIRECT(A421)</f>
        <v>0</v>
      </c>
      <c r="C421">
        <f t="shared" ca="1" si="24"/>
        <v>5</v>
      </c>
      <c r="D421" t="str" cm="1">
        <f t="array" aca="1" ref="D421" ca="1">CELL("nomfichier",INDIRECT(A421))</f>
        <v>G:\SCPE\sdc\bq\6 - Mentions valorisantes\Certification environnementale\TEXTES_REGLEMENTATION_CE\Plans_contrôle et grilles\Grille audit niveau 3\Grille d'audit v1.11\[grille-audit-hvev4-v1.11-vf.xlsx]Surfaces_Horti</v>
      </c>
      <c r="E421">
        <f t="shared" ca="1" si="25"/>
        <v>200</v>
      </c>
      <c r="F421">
        <f t="shared" ca="1" si="26"/>
        <v>214</v>
      </c>
      <c r="G421" t="str">
        <f t="shared" ca="1" si="27"/>
        <v>Surfaces_Horti</v>
      </c>
      <c r="H421" cm="1">
        <f t="array" aca="1" ref="H421" ca="1">ROW(INDIRECT(A421))</f>
        <v>22</v>
      </c>
      <c r="I421" cm="1">
        <f t="array" aca="1" ref="I421" ca="1">COLUMN(INDIRECT(A421))</f>
        <v>13</v>
      </c>
      <c r="M421" t="str" cm="1">
        <f t="array" aca="1" ref="M421" ca="1">IF(AND(J421="O",ISBLANK(INDIRECT(A421))),"Valeur obligatoire non renseignée","")</f>
        <v/>
      </c>
    </row>
    <row r="422" spans="1:13" x14ac:dyDescent="0.25">
      <c r="A422" s="91" t="s">
        <v>3519</v>
      </c>
      <c r="B422" cm="1">
        <f t="array" aca="1" ref="B422" ca="1">INDIRECT(A422)</f>
        <v>0</v>
      </c>
      <c r="C422">
        <f t="shared" ca="1" si="24"/>
        <v>5</v>
      </c>
      <c r="D422" t="str" cm="1">
        <f t="array" aca="1" ref="D422" ca="1">CELL("nomfichier",INDIRECT(A422))</f>
        <v>G:\SCPE\sdc\bq\6 - Mentions valorisantes\Certification environnementale\TEXTES_REGLEMENTATION_CE\Plans_contrôle et grilles\Grille audit niveau 3\Grille d'audit v1.11\[grille-audit-hvev4-v1.11-vf.xlsx]Surfaces_Horti</v>
      </c>
      <c r="E422">
        <f t="shared" ca="1" si="25"/>
        <v>200</v>
      </c>
      <c r="F422">
        <f t="shared" ca="1" si="26"/>
        <v>214</v>
      </c>
      <c r="G422" t="str">
        <f t="shared" ca="1" si="27"/>
        <v>Surfaces_Horti</v>
      </c>
      <c r="H422" cm="1">
        <f t="array" aca="1" ref="H422" ca="1">ROW(INDIRECT(A422))</f>
        <v>22</v>
      </c>
      <c r="I422" cm="1">
        <f t="array" aca="1" ref="I422" ca="1">COLUMN(INDIRECT(A422))</f>
        <v>14</v>
      </c>
      <c r="M422" t="str" cm="1">
        <f t="array" aca="1" ref="M422" ca="1">IF(AND(J422="O",ISBLANK(INDIRECT(A422))),"Valeur obligatoire non renseignée","")</f>
        <v/>
      </c>
    </row>
    <row r="423" spans="1:13" x14ac:dyDescent="0.25">
      <c r="A423" s="91" t="s">
        <v>3196</v>
      </c>
      <c r="B423" cm="1">
        <f t="array" aca="1" ref="B423" ca="1">INDIRECT(A423)</f>
        <v>0</v>
      </c>
      <c r="C423">
        <f t="shared" ca="1" si="24"/>
        <v>5</v>
      </c>
      <c r="D423" t="str" cm="1">
        <f t="array" aca="1" ref="D423" ca="1">CELL("nomfichier",INDIRECT(A423))</f>
        <v>G:\SCPE\sdc\bq\6 - Mentions valorisantes\Certification environnementale\TEXTES_REGLEMENTATION_CE\Plans_contrôle et grilles\Grille audit niveau 3\Grille d'audit v1.11\[grille-audit-hvev4-v1.11-vf.xlsx]Surfaces_Horti</v>
      </c>
      <c r="E423">
        <f t="shared" ca="1" si="25"/>
        <v>200</v>
      </c>
      <c r="F423">
        <f t="shared" ca="1" si="26"/>
        <v>214</v>
      </c>
      <c r="G423" t="str">
        <f t="shared" ca="1" si="27"/>
        <v>Surfaces_Horti</v>
      </c>
      <c r="H423" cm="1">
        <f t="array" aca="1" ref="H423" ca="1">ROW(INDIRECT(A423))</f>
        <v>23</v>
      </c>
      <c r="I423" cm="1">
        <f t="array" aca="1" ref="I423" ca="1">COLUMN(INDIRECT(A423))</f>
        <v>2</v>
      </c>
      <c r="M423" t="str" cm="1">
        <f t="array" aca="1" ref="M423" ca="1">IF(AND(J423="O",ISBLANK(INDIRECT(A423))),"Valeur obligatoire non renseignée","")</f>
        <v/>
      </c>
    </row>
    <row r="424" spans="1:13" x14ac:dyDescent="0.25">
      <c r="A424" s="91" t="s">
        <v>3223</v>
      </c>
      <c r="B424" cm="1">
        <f t="array" aca="1" ref="B424" ca="1">INDIRECT(A424)</f>
        <v>0</v>
      </c>
      <c r="C424">
        <f t="shared" ca="1" si="24"/>
        <v>5</v>
      </c>
      <c r="D424" t="str" cm="1">
        <f t="array" aca="1" ref="D424" ca="1">CELL("nomfichier",INDIRECT(A424))</f>
        <v>G:\SCPE\sdc\bq\6 - Mentions valorisantes\Certification environnementale\TEXTES_REGLEMENTATION_CE\Plans_contrôle et grilles\Grille audit niveau 3\Grille d'audit v1.11\[grille-audit-hvev4-v1.11-vf.xlsx]Surfaces_Horti</v>
      </c>
      <c r="E424">
        <f t="shared" ca="1" si="25"/>
        <v>200</v>
      </c>
      <c r="F424">
        <f t="shared" ca="1" si="26"/>
        <v>214</v>
      </c>
      <c r="G424" t="str">
        <f t="shared" ca="1" si="27"/>
        <v>Surfaces_Horti</v>
      </c>
      <c r="H424" cm="1">
        <f t="array" aca="1" ref="H424" ca="1">ROW(INDIRECT(A424))</f>
        <v>23</v>
      </c>
      <c r="I424" cm="1">
        <f t="array" aca="1" ref="I424" ca="1">COLUMN(INDIRECT(A424))</f>
        <v>3</v>
      </c>
      <c r="M424" t="str" cm="1">
        <f t="array" aca="1" ref="M424" ca="1">IF(AND(J424="O",ISBLANK(INDIRECT(A424))),"Valeur obligatoire non renseignée","")</f>
        <v/>
      </c>
    </row>
    <row r="425" spans="1:13" x14ac:dyDescent="0.25">
      <c r="A425" s="91" t="s">
        <v>3250</v>
      </c>
      <c r="B425" cm="1">
        <f t="array" aca="1" ref="B425" ca="1">INDIRECT(A425)</f>
        <v>0</v>
      </c>
      <c r="C425">
        <f t="shared" ca="1" si="24"/>
        <v>5</v>
      </c>
      <c r="D425" t="str" cm="1">
        <f t="array" aca="1" ref="D425" ca="1">CELL("nomfichier",INDIRECT(A425))</f>
        <v>G:\SCPE\sdc\bq\6 - Mentions valorisantes\Certification environnementale\TEXTES_REGLEMENTATION_CE\Plans_contrôle et grilles\Grille audit niveau 3\Grille d'audit v1.11\[grille-audit-hvev4-v1.11-vf.xlsx]Surfaces_Horti</v>
      </c>
      <c r="E425">
        <f t="shared" ca="1" si="25"/>
        <v>200</v>
      </c>
      <c r="F425">
        <f t="shared" ca="1" si="26"/>
        <v>214</v>
      </c>
      <c r="G425" t="str">
        <f t="shared" ca="1" si="27"/>
        <v>Surfaces_Horti</v>
      </c>
      <c r="H425" cm="1">
        <f t="array" aca="1" ref="H425" ca="1">ROW(INDIRECT(A425))</f>
        <v>23</v>
      </c>
      <c r="I425" cm="1">
        <f t="array" aca="1" ref="I425" ca="1">COLUMN(INDIRECT(A425))</f>
        <v>4</v>
      </c>
      <c r="M425" t="str" cm="1">
        <f t="array" aca="1" ref="M425" ca="1">IF(AND(J425="O",ISBLANK(INDIRECT(A425))),"Valeur obligatoire non renseignée","")</f>
        <v/>
      </c>
    </row>
    <row r="426" spans="1:13" x14ac:dyDescent="0.25">
      <c r="A426" s="91" t="s">
        <v>3277</v>
      </c>
      <c r="B426" cm="1">
        <f t="array" aca="1" ref="B426" ca="1">INDIRECT(A426)</f>
        <v>0</v>
      </c>
      <c r="C426">
        <f t="shared" ca="1" si="24"/>
        <v>5</v>
      </c>
      <c r="D426" t="str" cm="1">
        <f t="array" aca="1" ref="D426" ca="1">CELL("nomfichier",INDIRECT(A426))</f>
        <v>G:\SCPE\sdc\bq\6 - Mentions valorisantes\Certification environnementale\TEXTES_REGLEMENTATION_CE\Plans_contrôle et grilles\Grille audit niveau 3\Grille d'audit v1.11\[grille-audit-hvev4-v1.11-vf.xlsx]Surfaces_Horti</v>
      </c>
      <c r="E426">
        <f t="shared" ca="1" si="25"/>
        <v>200</v>
      </c>
      <c r="F426">
        <f t="shared" ca="1" si="26"/>
        <v>214</v>
      </c>
      <c r="G426" t="str">
        <f t="shared" ca="1" si="27"/>
        <v>Surfaces_Horti</v>
      </c>
      <c r="H426" cm="1">
        <f t="array" aca="1" ref="H426" ca="1">ROW(INDIRECT(A426))</f>
        <v>23</v>
      </c>
      <c r="I426" cm="1">
        <f t="array" aca="1" ref="I426" ca="1">COLUMN(INDIRECT(A426))</f>
        <v>5</v>
      </c>
      <c r="M426" t="str" cm="1">
        <f t="array" aca="1" ref="M426" ca="1">IF(AND(J426="O",ISBLANK(INDIRECT(A426))),"Valeur obligatoire non renseignée","")</f>
        <v/>
      </c>
    </row>
    <row r="427" spans="1:13" x14ac:dyDescent="0.25">
      <c r="A427" s="91" t="s">
        <v>3304</v>
      </c>
      <c r="B427" cm="1">
        <f t="array" aca="1" ref="B427" ca="1">INDIRECT(A427)</f>
        <v>0</v>
      </c>
      <c r="C427">
        <f t="shared" ca="1" si="24"/>
        <v>5</v>
      </c>
      <c r="D427" t="str" cm="1">
        <f t="array" aca="1" ref="D427" ca="1">CELL("nomfichier",INDIRECT(A427))</f>
        <v>G:\SCPE\sdc\bq\6 - Mentions valorisantes\Certification environnementale\TEXTES_REGLEMENTATION_CE\Plans_contrôle et grilles\Grille audit niveau 3\Grille d'audit v1.11\[grille-audit-hvev4-v1.11-vf.xlsx]Surfaces_Horti</v>
      </c>
      <c r="E427">
        <f t="shared" ca="1" si="25"/>
        <v>200</v>
      </c>
      <c r="F427">
        <f t="shared" ca="1" si="26"/>
        <v>214</v>
      </c>
      <c r="G427" t="str">
        <f t="shared" ca="1" si="27"/>
        <v>Surfaces_Horti</v>
      </c>
      <c r="H427" cm="1">
        <f t="array" aca="1" ref="H427" ca="1">ROW(INDIRECT(A427))</f>
        <v>23</v>
      </c>
      <c r="I427" cm="1">
        <f t="array" aca="1" ref="I427" ca="1">COLUMN(INDIRECT(A427))</f>
        <v>6</v>
      </c>
      <c r="M427" t="str" cm="1">
        <f t="array" aca="1" ref="M427" ca="1">IF(AND(J427="O",ISBLANK(INDIRECT(A427))),"Valeur obligatoire non renseignée","")</f>
        <v/>
      </c>
    </row>
    <row r="428" spans="1:13" x14ac:dyDescent="0.25">
      <c r="A428" s="91" t="s">
        <v>3331</v>
      </c>
      <c r="B428" cm="1">
        <f t="array" aca="1" ref="B428" ca="1">INDIRECT(A428)</f>
        <v>0</v>
      </c>
      <c r="C428">
        <f t="shared" ca="1" si="24"/>
        <v>5</v>
      </c>
      <c r="D428" t="str" cm="1">
        <f t="array" aca="1" ref="D428" ca="1">CELL("nomfichier",INDIRECT(A428))</f>
        <v>G:\SCPE\sdc\bq\6 - Mentions valorisantes\Certification environnementale\TEXTES_REGLEMENTATION_CE\Plans_contrôle et grilles\Grille audit niveau 3\Grille d'audit v1.11\[grille-audit-hvev4-v1.11-vf.xlsx]Surfaces_Horti</v>
      </c>
      <c r="E428">
        <f t="shared" ca="1" si="25"/>
        <v>200</v>
      </c>
      <c r="F428">
        <f t="shared" ca="1" si="26"/>
        <v>214</v>
      </c>
      <c r="G428" t="str">
        <f t="shared" ca="1" si="27"/>
        <v>Surfaces_Horti</v>
      </c>
      <c r="H428" cm="1">
        <f t="array" aca="1" ref="H428" ca="1">ROW(INDIRECT(A428))</f>
        <v>23</v>
      </c>
      <c r="I428" cm="1">
        <f t="array" aca="1" ref="I428" ca="1">COLUMN(INDIRECT(A428))</f>
        <v>7</v>
      </c>
      <c r="M428" t="str" cm="1">
        <f t="array" aca="1" ref="M428" ca="1">IF(AND(J428="O",ISBLANK(INDIRECT(A428))),"Valeur obligatoire non renseignée","")</f>
        <v/>
      </c>
    </row>
    <row r="429" spans="1:13" x14ac:dyDescent="0.25">
      <c r="A429" s="91" t="s">
        <v>3358</v>
      </c>
      <c r="B429" cm="1">
        <f t="array" aca="1" ref="B429" ca="1">INDIRECT(A429)</f>
        <v>0</v>
      </c>
      <c r="C429">
        <f t="shared" ca="1" si="24"/>
        <v>5</v>
      </c>
      <c r="D429" t="str" cm="1">
        <f t="array" aca="1" ref="D429" ca="1">CELL("nomfichier",INDIRECT(A429))</f>
        <v>G:\SCPE\sdc\bq\6 - Mentions valorisantes\Certification environnementale\TEXTES_REGLEMENTATION_CE\Plans_contrôle et grilles\Grille audit niveau 3\Grille d'audit v1.11\[grille-audit-hvev4-v1.11-vf.xlsx]Surfaces_Horti</v>
      </c>
      <c r="E429">
        <f t="shared" ca="1" si="25"/>
        <v>200</v>
      </c>
      <c r="F429">
        <f t="shared" ca="1" si="26"/>
        <v>214</v>
      </c>
      <c r="G429" t="str">
        <f t="shared" ca="1" si="27"/>
        <v>Surfaces_Horti</v>
      </c>
      <c r="H429" cm="1">
        <f t="array" aca="1" ref="H429" ca="1">ROW(INDIRECT(A429))</f>
        <v>23</v>
      </c>
      <c r="I429" cm="1">
        <f t="array" aca="1" ref="I429" ca="1">COLUMN(INDIRECT(A429))</f>
        <v>8</v>
      </c>
      <c r="M429" t="str" cm="1">
        <f t="array" aca="1" ref="M429" ca="1">IF(AND(J429="O",ISBLANK(INDIRECT(A429))),"Valeur obligatoire non renseignée","")</f>
        <v/>
      </c>
    </row>
    <row r="430" spans="1:13" x14ac:dyDescent="0.25">
      <c r="A430" s="91" t="s">
        <v>3385</v>
      </c>
      <c r="B430" cm="1">
        <f t="array" aca="1" ref="B430" ca="1">INDIRECT(A430)</f>
        <v>0</v>
      </c>
      <c r="C430">
        <f t="shared" ca="1" si="24"/>
        <v>5</v>
      </c>
      <c r="D430" t="str" cm="1">
        <f t="array" aca="1" ref="D430" ca="1">CELL("nomfichier",INDIRECT(A430))</f>
        <v>G:\SCPE\sdc\bq\6 - Mentions valorisantes\Certification environnementale\TEXTES_REGLEMENTATION_CE\Plans_contrôle et grilles\Grille audit niveau 3\Grille d'audit v1.11\[grille-audit-hvev4-v1.11-vf.xlsx]Surfaces_Horti</v>
      </c>
      <c r="E430">
        <f t="shared" ca="1" si="25"/>
        <v>200</v>
      </c>
      <c r="F430">
        <f t="shared" ca="1" si="26"/>
        <v>214</v>
      </c>
      <c r="G430" t="str">
        <f t="shared" ca="1" si="27"/>
        <v>Surfaces_Horti</v>
      </c>
      <c r="H430" cm="1">
        <f t="array" aca="1" ref="H430" ca="1">ROW(INDIRECT(A430))</f>
        <v>23</v>
      </c>
      <c r="I430" cm="1">
        <f t="array" aca="1" ref="I430" ca="1">COLUMN(INDIRECT(A430))</f>
        <v>9</v>
      </c>
      <c r="M430" t="str" cm="1">
        <f t="array" aca="1" ref="M430" ca="1">IF(AND(J430="O",ISBLANK(INDIRECT(A430))),"Valeur obligatoire non renseignée","")</f>
        <v/>
      </c>
    </row>
    <row r="431" spans="1:13" x14ac:dyDescent="0.25">
      <c r="A431" s="91" t="s">
        <v>3412</v>
      </c>
      <c r="B431" cm="1">
        <f t="array" aca="1" ref="B431" ca="1">INDIRECT(A431)</f>
        <v>0</v>
      </c>
      <c r="C431">
        <f t="shared" ca="1" si="24"/>
        <v>5</v>
      </c>
      <c r="D431" t="str" cm="1">
        <f t="array" aca="1" ref="D431" ca="1">CELL("nomfichier",INDIRECT(A431))</f>
        <v>G:\SCPE\sdc\bq\6 - Mentions valorisantes\Certification environnementale\TEXTES_REGLEMENTATION_CE\Plans_contrôle et grilles\Grille audit niveau 3\Grille d'audit v1.11\[grille-audit-hvev4-v1.11-vf.xlsx]Surfaces_Horti</v>
      </c>
      <c r="E431">
        <f t="shared" ca="1" si="25"/>
        <v>200</v>
      </c>
      <c r="F431">
        <f t="shared" ca="1" si="26"/>
        <v>214</v>
      </c>
      <c r="G431" t="str">
        <f t="shared" ca="1" si="27"/>
        <v>Surfaces_Horti</v>
      </c>
      <c r="H431" cm="1">
        <f t="array" aca="1" ref="H431" ca="1">ROW(INDIRECT(A431))</f>
        <v>23</v>
      </c>
      <c r="I431" cm="1">
        <f t="array" aca="1" ref="I431" ca="1">COLUMN(INDIRECT(A431))</f>
        <v>10</v>
      </c>
      <c r="M431" t="str" cm="1">
        <f t="array" aca="1" ref="M431" ca="1">IF(AND(J431="O",ISBLANK(INDIRECT(A431))),"Valeur obligatoire non renseignée","")</f>
        <v/>
      </c>
    </row>
    <row r="432" spans="1:13" x14ac:dyDescent="0.25">
      <c r="A432" s="91" t="s">
        <v>3439</v>
      </c>
      <c r="B432" cm="1">
        <f t="array" aca="1" ref="B432" ca="1">INDIRECT(A432)</f>
        <v>0</v>
      </c>
      <c r="C432">
        <f t="shared" ca="1" si="24"/>
        <v>5</v>
      </c>
      <c r="D432" t="str" cm="1">
        <f t="array" aca="1" ref="D432" ca="1">CELL("nomfichier",INDIRECT(A432))</f>
        <v>G:\SCPE\sdc\bq\6 - Mentions valorisantes\Certification environnementale\TEXTES_REGLEMENTATION_CE\Plans_contrôle et grilles\Grille audit niveau 3\Grille d'audit v1.11\[grille-audit-hvev4-v1.11-vf.xlsx]Surfaces_Horti</v>
      </c>
      <c r="E432">
        <f t="shared" ca="1" si="25"/>
        <v>200</v>
      </c>
      <c r="F432">
        <f t="shared" ca="1" si="26"/>
        <v>214</v>
      </c>
      <c r="G432" t="str">
        <f t="shared" ca="1" si="27"/>
        <v>Surfaces_Horti</v>
      </c>
      <c r="H432" cm="1">
        <f t="array" aca="1" ref="H432" ca="1">ROW(INDIRECT(A432))</f>
        <v>23</v>
      </c>
      <c r="I432" cm="1">
        <f t="array" aca="1" ref="I432" ca="1">COLUMN(INDIRECT(A432))</f>
        <v>11</v>
      </c>
      <c r="M432" t="str" cm="1">
        <f t="array" aca="1" ref="M432" ca="1">IF(AND(J432="O",ISBLANK(INDIRECT(A432))),"Valeur obligatoire non renseignée","")</f>
        <v/>
      </c>
    </row>
    <row r="433" spans="1:13" x14ac:dyDescent="0.25">
      <c r="A433" s="91" t="s">
        <v>3466</v>
      </c>
      <c r="B433" cm="1">
        <f t="array" aca="1" ref="B433" ca="1">INDIRECT(A433)</f>
        <v>0</v>
      </c>
      <c r="C433">
        <f t="shared" ca="1" si="24"/>
        <v>5</v>
      </c>
      <c r="D433" t="str" cm="1">
        <f t="array" aca="1" ref="D433" ca="1">CELL("nomfichier",INDIRECT(A433))</f>
        <v>G:\SCPE\sdc\bq\6 - Mentions valorisantes\Certification environnementale\TEXTES_REGLEMENTATION_CE\Plans_contrôle et grilles\Grille audit niveau 3\Grille d'audit v1.11\[grille-audit-hvev4-v1.11-vf.xlsx]Surfaces_Horti</v>
      </c>
      <c r="E433">
        <f t="shared" ca="1" si="25"/>
        <v>200</v>
      </c>
      <c r="F433">
        <f t="shared" ca="1" si="26"/>
        <v>214</v>
      </c>
      <c r="G433" t="str">
        <f t="shared" ca="1" si="27"/>
        <v>Surfaces_Horti</v>
      </c>
      <c r="H433" cm="1">
        <f t="array" aca="1" ref="H433" ca="1">ROW(INDIRECT(A433))</f>
        <v>23</v>
      </c>
      <c r="I433" cm="1">
        <f t="array" aca="1" ref="I433" ca="1">COLUMN(INDIRECT(A433))</f>
        <v>12</v>
      </c>
      <c r="M433" t="str" cm="1">
        <f t="array" aca="1" ref="M433" ca="1">IF(AND(J433="O",ISBLANK(INDIRECT(A433))),"Valeur obligatoire non renseignée","")</f>
        <v/>
      </c>
    </row>
    <row r="434" spans="1:13" x14ac:dyDescent="0.25">
      <c r="A434" s="91" t="s">
        <v>3493</v>
      </c>
      <c r="B434" cm="1">
        <f t="array" aca="1" ref="B434" ca="1">INDIRECT(A434)</f>
        <v>0</v>
      </c>
      <c r="C434">
        <f t="shared" ca="1" si="24"/>
        <v>5</v>
      </c>
      <c r="D434" t="str" cm="1">
        <f t="array" aca="1" ref="D434" ca="1">CELL("nomfichier",INDIRECT(A434))</f>
        <v>G:\SCPE\sdc\bq\6 - Mentions valorisantes\Certification environnementale\TEXTES_REGLEMENTATION_CE\Plans_contrôle et grilles\Grille audit niveau 3\Grille d'audit v1.11\[grille-audit-hvev4-v1.11-vf.xlsx]Surfaces_Horti</v>
      </c>
      <c r="E434">
        <f t="shared" ca="1" si="25"/>
        <v>200</v>
      </c>
      <c r="F434">
        <f t="shared" ca="1" si="26"/>
        <v>214</v>
      </c>
      <c r="G434" t="str">
        <f t="shared" ca="1" si="27"/>
        <v>Surfaces_Horti</v>
      </c>
      <c r="H434" cm="1">
        <f t="array" aca="1" ref="H434" ca="1">ROW(INDIRECT(A434))</f>
        <v>23</v>
      </c>
      <c r="I434" cm="1">
        <f t="array" aca="1" ref="I434" ca="1">COLUMN(INDIRECT(A434))</f>
        <v>13</v>
      </c>
      <c r="M434" t="str" cm="1">
        <f t="array" aca="1" ref="M434" ca="1">IF(AND(J434="O",ISBLANK(INDIRECT(A434))),"Valeur obligatoire non renseignée","")</f>
        <v/>
      </c>
    </row>
    <row r="435" spans="1:13" x14ac:dyDescent="0.25">
      <c r="A435" s="91" t="s">
        <v>3520</v>
      </c>
      <c r="B435" cm="1">
        <f t="array" aca="1" ref="B435" ca="1">INDIRECT(A435)</f>
        <v>0</v>
      </c>
      <c r="C435">
        <f t="shared" ca="1" si="24"/>
        <v>5</v>
      </c>
      <c r="D435" t="str" cm="1">
        <f t="array" aca="1" ref="D435" ca="1">CELL("nomfichier",INDIRECT(A435))</f>
        <v>G:\SCPE\sdc\bq\6 - Mentions valorisantes\Certification environnementale\TEXTES_REGLEMENTATION_CE\Plans_contrôle et grilles\Grille audit niveau 3\Grille d'audit v1.11\[grille-audit-hvev4-v1.11-vf.xlsx]Surfaces_Horti</v>
      </c>
      <c r="E435">
        <f t="shared" ca="1" si="25"/>
        <v>200</v>
      </c>
      <c r="F435">
        <f t="shared" ca="1" si="26"/>
        <v>214</v>
      </c>
      <c r="G435" t="str">
        <f t="shared" ca="1" si="27"/>
        <v>Surfaces_Horti</v>
      </c>
      <c r="H435" cm="1">
        <f t="array" aca="1" ref="H435" ca="1">ROW(INDIRECT(A435))</f>
        <v>23</v>
      </c>
      <c r="I435" cm="1">
        <f t="array" aca="1" ref="I435" ca="1">COLUMN(INDIRECT(A435))</f>
        <v>14</v>
      </c>
      <c r="M435" t="str" cm="1">
        <f t="array" aca="1" ref="M435" ca="1">IF(AND(J435="O",ISBLANK(INDIRECT(A435))),"Valeur obligatoire non renseignée","")</f>
        <v/>
      </c>
    </row>
    <row r="436" spans="1:13" x14ac:dyDescent="0.25">
      <c r="A436" s="91" t="s">
        <v>3197</v>
      </c>
      <c r="B436" cm="1">
        <f t="array" aca="1" ref="B436" ca="1">INDIRECT(A436)</f>
        <v>0</v>
      </c>
      <c r="C436">
        <f t="shared" ca="1" si="24"/>
        <v>5</v>
      </c>
      <c r="D436" t="str" cm="1">
        <f t="array" aca="1" ref="D436" ca="1">CELL("nomfichier",INDIRECT(A436))</f>
        <v>G:\SCPE\sdc\bq\6 - Mentions valorisantes\Certification environnementale\TEXTES_REGLEMENTATION_CE\Plans_contrôle et grilles\Grille audit niveau 3\Grille d'audit v1.11\[grille-audit-hvev4-v1.11-vf.xlsx]Surfaces_Horti</v>
      </c>
      <c r="E436">
        <f t="shared" ca="1" si="25"/>
        <v>200</v>
      </c>
      <c r="F436">
        <f t="shared" ca="1" si="26"/>
        <v>214</v>
      </c>
      <c r="G436" t="str">
        <f t="shared" ca="1" si="27"/>
        <v>Surfaces_Horti</v>
      </c>
      <c r="H436" cm="1">
        <f t="array" aca="1" ref="H436" ca="1">ROW(INDIRECT(A436))</f>
        <v>24</v>
      </c>
      <c r="I436" cm="1">
        <f t="array" aca="1" ref="I436" ca="1">COLUMN(INDIRECT(A436))</f>
        <v>2</v>
      </c>
      <c r="M436" t="str" cm="1">
        <f t="array" aca="1" ref="M436" ca="1">IF(AND(J436="O",ISBLANK(INDIRECT(A436))),"Valeur obligatoire non renseignée","")</f>
        <v/>
      </c>
    </row>
    <row r="437" spans="1:13" x14ac:dyDescent="0.25">
      <c r="A437" s="91" t="s">
        <v>3224</v>
      </c>
      <c r="B437" cm="1">
        <f t="array" aca="1" ref="B437" ca="1">INDIRECT(A437)</f>
        <v>0</v>
      </c>
      <c r="C437">
        <f t="shared" ca="1" si="24"/>
        <v>5</v>
      </c>
      <c r="D437" t="str" cm="1">
        <f t="array" aca="1" ref="D437" ca="1">CELL("nomfichier",INDIRECT(A437))</f>
        <v>G:\SCPE\sdc\bq\6 - Mentions valorisantes\Certification environnementale\TEXTES_REGLEMENTATION_CE\Plans_contrôle et grilles\Grille audit niveau 3\Grille d'audit v1.11\[grille-audit-hvev4-v1.11-vf.xlsx]Surfaces_Horti</v>
      </c>
      <c r="E437">
        <f t="shared" ca="1" si="25"/>
        <v>200</v>
      </c>
      <c r="F437">
        <f t="shared" ca="1" si="26"/>
        <v>214</v>
      </c>
      <c r="G437" t="str">
        <f t="shared" ca="1" si="27"/>
        <v>Surfaces_Horti</v>
      </c>
      <c r="H437" cm="1">
        <f t="array" aca="1" ref="H437" ca="1">ROW(INDIRECT(A437))</f>
        <v>24</v>
      </c>
      <c r="I437" cm="1">
        <f t="array" aca="1" ref="I437" ca="1">COLUMN(INDIRECT(A437))</f>
        <v>3</v>
      </c>
      <c r="M437" t="str" cm="1">
        <f t="array" aca="1" ref="M437" ca="1">IF(AND(J437="O",ISBLANK(INDIRECT(A437))),"Valeur obligatoire non renseignée","")</f>
        <v/>
      </c>
    </row>
    <row r="438" spans="1:13" x14ac:dyDescent="0.25">
      <c r="A438" s="91" t="s">
        <v>3251</v>
      </c>
      <c r="B438" cm="1">
        <f t="array" aca="1" ref="B438" ca="1">INDIRECT(A438)</f>
        <v>0</v>
      </c>
      <c r="C438">
        <f t="shared" ca="1" si="24"/>
        <v>5</v>
      </c>
      <c r="D438" t="str" cm="1">
        <f t="array" aca="1" ref="D438" ca="1">CELL("nomfichier",INDIRECT(A438))</f>
        <v>G:\SCPE\sdc\bq\6 - Mentions valorisantes\Certification environnementale\TEXTES_REGLEMENTATION_CE\Plans_contrôle et grilles\Grille audit niveau 3\Grille d'audit v1.11\[grille-audit-hvev4-v1.11-vf.xlsx]Surfaces_Horti</v>
      </c>
      <c r="E438">
        <f t="shared" ca="1" si="25"/>
        <v>200</v>
      </c>
      <c r="F438">
        <f t="shared" ca="1" si="26"/>
        <v>214</v>
      </c>
      <c r="G438" t="str">
        <f t="shared" ca="1" si="27"/>
        <v>Surfaces_Horti</v>
      </c>
      <c r="H438" cm="1">
        <f t="array" aca="1" ref="H438" ca="1">ROW(INDIRECT(A438))</f>
        <v>24</v>
      </c>
      <c r="I438" cm="1">
        <f t="array" aca="1" ref="I438" ca="1">COLUMN(INDIRECT(A438))</f>
        <v>4</v>
      </c>
      <c r="M438" t="str" cm="1">
        <f t="array" aca="1" ref="M438" ca="1">IF(AND(J438="O",ISBLANK(INDIRECT(A438))),"Valeur obligatoire non renseignée","")</f>
        <v/>
      </c>
    </row>
    <row r="439" spans="1:13" x14ac:dyDescent="0.25">
      <c r="A439" s="91" t="s">
        <v>3278</v>
      </c>
      <c r="B439" cm="1">
        <f t="array" aca="1" ref="B439" ca="1">INDIRECT(A439)</f>
        <v>0</v>
      </c>
      <c r="C439">
        <f t="shared" ca="1" si="24"/>
        <v>5</v>
      </c>
      <c r="D439" t="str" cm="1">
        <f t="array" aca="1" ref="D439" ca="1">CELL("nomfichier",INDIRECT(A439))</f>
        <v>G:\SCPE\sdc\bq\6 - Mentions valorisantes\Certification environnementale\TEXTES_REGLEMENTATION_CE\Plans_contrôle et grilles\Grille audit niveau 3\Grille d'audit v1.11\[grille-audit-hvev4-v1.11-vf.xlsx]Surfaces_Horti</v>
      </c>
      <c r="E439">
        <f t="shared" ca="1" si="25"/>
        <v>200</v>
      </c>
      <c r="F439">
        <f t="shared" ca="1" si="26"/>
        <v>214</v>
      </c>
      <c r="G439" t="str">
        <f t="shared" ca="1" si="27"/>
        <v>Surfaces_Horti</v>
      </c>
      <c r="H439" cm="1">
        <f t="array" aca="1" ref="H439" ca="1">ROW(INDIRECT(A439))</f>
        <v>24</v>
      </c>
      <c r="I439" cm="1">
        <f t="array" aca="1" ref="I439" ca="1">COLUMN(INDIRECT(A439))</f>
        <v>5</v>
      </c>
      <c r="M439" t="str" cm="1">
        <f t="array" aca="1" ref="M439" ca="1">IF(AND(J439="O",ISBLANK(INDIRECT(A439))),"Valeur obligatoire non renseignée","")</f>
        <v/>
      </c>
    </row>
    <row r="440" spans="1:13" x14ac:dyDescent="0.25">
      <c r="A440" s="91" t="s">
        <v>3305</v>
      </c>
      <c r="B440" cm="1">
        <f t="array" aca="1" ref="B440" ca="1">INDIRECT(A440)</f>
        <v>0</v>
      </c>
      <c r="C440">
        <f t="shared" ca="1" si="24"/>
        <v>5</v>
      </c>
      <c r="D440" t="str" cm="1">
        <f t="array" aca="1" ref="D440" ca="1">CELL("nomfichier",INDIRECT(A440))</f>
        <v>G:\SCPE\sdc\bq\6 - Mentions valorisantes\Certification environnementale\TEXTES_REGLEMENTATION_CE\Plans_contrôle et grilles\Grille audit niveau 3\Grille d'audit v1.11\[grille-audit-hvev4-v1.11-vf.xlsx]Surfaces_Horti</v>
      </c>
      <c r="E440">
        <f t="shared" ca="1" si="25"/>
        <v>200</v>
      </c>
      <c r="F440">
        <f t="shared" ca="1" si="26"/>
        <v>214</v>
      </c>
      <c r="G440" t="str">
        <f t="shared" ca="1" si="27"/>
        <v>Surfaces_Horti</v>
      </c>
      <c r="H440" cm="1">
        <f t="array" aca="1" ref="H440" ca="1">ROW(INDIRECT(A440))</f>
        <v>24</v>
      </c>
      <c r="I440" cm="1">
        <f t="array" aca="1" ref="I440" ca="1">COLUMN(INDIRECT(A440))</f>
        <v>6</v>
      </c>
      <c r="M440" t="str" cm="1">
        <f t="array" aca="1" ref="M440" ca="1">IF(AND(J440="O",ISBLANK(INDIRECT(A440))),"Valeur obligatoire non renseignée","")</f>
        <v/>
      </c>
    </row>
    <row r="441" spans="1:13" x14ac:dyDescent="0.25">
      <c r="A441" s="91" t="s">
        <v>3332</v>
      </c>
      <c r="B441" cm="1">
        <f t="array" aca="1" ref="B441" ca="1">INDIRECT(A441)</f>
        <v>0</v>
      </c>
      <c r="C441">
        <f t="shared" ca="1" si="24"/>
        <v>5</v>
      </c>
      <c r="D441" t="str" cm="1">
        <f t="array" aca="1" ref="D441" ca="1">CELL("nomfichier",INDIRECT(A441))</f>
        <v>G:\SCPE\sdc\bq\6 - Mentions valorisantes\Certification environnementale\TEXTES_REGLEMENTATION_CE\Plans_contrôle et grilles\Grille audit niveau 3\Grille d'audit v1.11\[grille-audit-hvev4-v1.11-vf.xlsx]Surfaces_Horti</v>
      </c>
      <c r="E441">
        <f t="shared" ca="1" si="25"/>
        <v>200</v>
      </c>
      <c r="F441">
        <f t="shared" ca="1" si="26"/>
        <v>214</v>
      </c>
      <c r="G441" t="str">
        <f t="shared" ca="1" si="27"/>
        <v>Surfaces_Horti</v>
      </c>
      <c r="H441" cm="1">
        <f t="array" aca="1" ref="H441" ca="1">ROW(INDIRECT(A441))</f>
        <v>24</v>
      </c>
      <c r="I441" cm="1">
        <f t="array" aca="1" ref="I441" ca="1">COLUMN(INDIRECT(A441))</f>
        <v>7</v>
      </c>
      <c r="M441" t="str" cm="1">
        <f t="array" aca="1" ref="M441" ca="1">IF(AND(J441="O",ISBLANK(INDIRECT(A441))),"Valeur obligatoire non renseignée","")</f>
        <v/>
      </c>
    </row>
    <row r="442" spans="1:13" x14ac:dyDescent="0.25">
      <c r="A442" s="91" t="s">
        <v>3359</v>
      </c>
      <c r="B442" cm="1">
        <f t="array" aca="1" ref="B442" ca="1">INDIRECT(A442)</f>
        <v>0</v>
      </c>
      <c r="C442">
        <f t="shared" ca="1" si="24"/>
        <v>5</v>
      </c>
      <c r="D442" t="str" cm="1">
        <f t="array" aca="1" ref="D442" ca="1">CELL("nomfichier",INDIRECT(A442))</f>
        <v>G:\SCPE\sdc\bq\6 - Mentions valorisantes\Certification environnementale\TEXTES_REGLEMENTATION_CE\Plans_contrôle et grilles\Grille audit niveau 3\Grille d'audit v1.11\[grille-audit-hvev4-v1.11-vf.xlsx]Surfaces_Horti</v>
      </c>
      <c r="E442">
        <f t="shared" ca="1" si="25"/>
        <v>200</v>
      </c>
      <c r="F442">
        <f t="shared" ca="1" si="26"/>
        <v>214</v>
      </c>
      <c r="G442" t="str">
        <f t="shared" ca="1" si="27"/>
        <v>Surfaces_Horti</v>
      </c>
      <c r="H442" cm="1">
        <f t="array" aca="1" ref="H442" ca="1">ROW(INDIRECT(A442))</f>
        <v>24</v>
      </c>
      <c r="I442" cm="1">
        <f t="array" aca="1" ref="I442" ca="1">COLUMN(INDIRECT(A442))</f>
        <v>8</v>
      </c>
      <c r="M442" t="str" cm="1">
        <f t="array" aca="1" ref="M442" ca="1">IF(AND(J442="O",ISBLANK(INDIRECT(A442))),"Valeur obligatoire non renseignée","")</f>
        <v/>
      </c>
    </row>
    <row r="443" spans="1:13" x14ac:dyDescent="0.25">
      <c r="A443" s="91" t="s">
        <v>3386</v>
      </c>
      <c r="B443" cm="1">
        <f t="array" aca="1" ref="B443" ca="1">INDIRECT(A443)</f>
        <v>0</v>
      </c>
      <c r="C443">
        <f t="shared" ca="1" si="24"/>
        <v>5</v>
      </c>
      <c r="D443" t="str" cm="1">
        <f t="array" aca="1" ref="D443" ca="1">CELL("nomfichier",INDIRECT(A443))</f>
        <v>G:\SCPE\sdc\bq\6 - Mentions valorisantes\Certification environnementale\TEXTES_REGLEMENTATION_CE\Plans_contrôle et grilles\Grille audit niveau 3\Grille d'audit v1.11\[grille-audit-hvev4-v1.11-vf.xlsx]Surfaces_Horti</v>
      </c>
      <c r="E443">
        <f t="shared" ca="1" si="25"/>
        <v>200</v>
      </c>
      <c r="F443">
        <f t="shared" ca="1" si="26"/>
        <v>214</v>
      </c>
      <c r="G443" t="str">
        <f t="shared" ca="1" si="27"/>
        <v>Surfaces_Horti</v>
      </c>
      <c r="H443" cm="1">
        <f t="array" aca="1" ref="H443" ca="1">ROW(INDIRECT(A443))</f>
        <v>24</v>
      </c>
      <c r="I443" cm="1">
        <f t="array" aca="1" ref="I443" ca="1">COLUMN(INDIRECT(A443))</f>
        <v>9</v>
      </c>
      <c r="M443" t="str" cm="1">
        <f t="array" aca="1" ref="M443" ca="1">IF(AND(J443="O",ISBLANK(INDIRECT(A443))),"Valeur obligatoire non renseignée","")</f>
        <v/>
      </c>
    </row>
    <row r="444" spans="1:13" x14ac:dyDescent="0.25">
      <c r="A444" s="91" t="s">
        <v>3413</v>
      </c>
      <c r="B444" cm="1">
        <f t="array" aca="1" ref="B444" ca="1">INDIRECT(A444)</f>
        <v>0</v>
      </c>
      <c r="C444">
        <f t="shared" ca="1" si="24"/>
        <v>5</v>
      </c>
      <c r="D444" t="str" cm="1">
        <f t="array" aca="1" ref="D444" ca="1">CELL("nomfichier",INDIRECT(A444))</f>
        <v>G:\SCPE\sdc\bq\6 - Mentions valorisantes\Certification environnementale\TEXTES_REGLEMENTATION_CE\Plans_contrôle et grilles\Grille audit niveau 3\Grille d'audit v1.11\[grille-audit-hvev4-v1.11-vf.xlsx]Surfaces_Horti</v>
      </c>
      <c r="E444">
        <f t="shared" ca="1" si="25"/>
        <v>200</v>
      </c>
      <c r="F444">
        <f t="shared" ca="1" si="26"/>
        <v>214</v>
      </c>
      <c r="G444" t="str">
        <f t="shared" ca="1" si="27"/>
        <v>Surfaces_Horti</v>
      </c>
      <c r="H444" cm="1">
        <f t="array" aca="1" ref="H444" ca="1">ROW(INDIRECT(A444))</f>
        <v>24</v>
      </c>
      <c r="I444" cm="1">
        <f t="array" aca="1" ref="I444" ca="1">COLUMN(INDIRECT(A444))</f>
        <v>10</v>
      </c>
      <c r="M444" t="str" cm="1">
        <f t="array" aca="1" ref="M444" ca="1">IF(AND(J444="O",ISBLANK(INDIRECT(A444))),"Valeur obligatoire non renseignée","")</f>
        <v/>
      </c>
    </row>
    <row r="445" spans="1:13" x14ac:dyDescent="0.25">
      <c r="A445" s="91" t="s">
        <v>3440</v>
      </c>
      <c r="B445" cm="1">
        <f t="array" aca="1" ref="B445" ca="1">INDIRECT(A445)</f>
        <v>0</v>
      </c>
      <c r="C445">
        <f t="shared" ca="1" si="24"/>
        <v>5</v>
      </c>
      <c r="D445" t="str" cm="1">
        <f t="array" aca="1" ref="D445" ca="1">CELL("nomfichier",INDIRECT(A445))</f>
        <v>G:\SCPE\sdc\bq\6 - Mentions valorisantes\Certification environnementale\TEXTES_REGLEMENTATION_CE\Plans_contrôle et grilles\Grille audit niveau 3\Grille d'audit v1.11\[grille-audit-hvev4-v1.11-vf.xlsx]Surfaces_Horti</v>
      </c>
      <c r="E445">
        <f t="shared" ca="1" si="25"/>
        <v>200</v>
      </c>
      <c r="F445">
        <f t="shared" ca="1" si="26"/>
        <v>214</v>
      </c>
      <c r="G445" t="str">
        <f t="shared" ca="1" si="27"/>
        <v>Surfaces_Horti</v>
      </c>
      <c r="H445" cm="1">
        <f t="array" aca="1" ref="H445" ca="1">ROW(INDIRECT(A445))</f>
        <v>24</v>
      </c>
      <c r="I445" cm="1">
        <f t="array" aca="1" ref="I445" ca="1">COLUMN(INDIRECT(A445))</f>
        <v>11</v>
      </c>
      <c r="M445" t="str" cm="1">
        <f t="array" aca="1" ref="M445" ca="1">IF(AND(J445="O",ISBLANK(INDIRECT(A445))),"Valeur obligatoire non renseignée","")</f>
        <v/>
      </c>
    </row>
    <row r="446" spans="1:13" x14ac:dyDescent="0.25">
      <c r="A446" s="91" t="s">
        <v>3467</v>
      </c>
      <c r="B446" cm="1">
        <f t="array" aca="1" ref="B446" ca="1">INDIRECT(A446)</f>
        <v>0</v>
      </c>
      <c r="C446">
        <f t="shared" ca="1" si="24"/>
        <v>5</v>
      </c>
      <c r="D446" t="str" cm="1">
        <f t="array" aca="1" ref="D446" ca="1">CELL("nomfichier",INDIRECT(A446))</f>
        <v>G:\SCPE\sdc\bq\6 - Mentions valorisantes\Certification environnementale\TEXTES_REGLEMENTATION_CE\Plans_contrôle et grilles\Grille audit niveau 3\Grille d'audit v1.11\[grille-audit-hvev4-v1.11-vf.xlsx]Surfaces_Horti</v>
      </c>
      <c r="E446">
        <f t="shared" ca="1" si="25"/>
        <v>200</v>
      </c>
      <c r="F446">
        <f t="shared" ca="1" si="26"/>
        <v>214</v>
      </c>
      <c r="G446" t="str">
        <f t="shared" ca="1" si="27"/>
        <v>Surfaces_Horti</v>
      </c>
      <c r="H446" cm="1">
        <f t="array" aca="1" ref="H446" ca="1">ROW(INDIRECT(A446))</f>
        <v>24</v>
      </c>
      <c r="I446" cm="1">
        <f t="array" aca="1" ref="I446" ca="1">COLUMN(INDIRECT(A446))</f>
        <v>12</v>
      </c>
      <c r="M446" t="str" cm="1">
        <f t="array" aca="1" ref="M446" ca="1">IF(AND(J446="O",ISBLANK(INDIRECT(A446))),"Valeur obligatoire non renseignée","")</f>
        <v/>
      </c>
    </row>
    <row r="447" spans="1:13" x14ac:dyDescent="0.25">
      <c r="A447" s="91" t="s">
        <v>3494</v>
      </c>
      <c r="B447" cm="1">
        <f t="array" aca="1" ref="B447" ca="1">INDIRECT(A447)</f>
        <v>0</v>
      </c>
      <c r="C447">
        <f t="shared" ca="1" si="24"/>
        <v>5</v>
      </c>
      <c r="D447" t="str" cm="1">
        <f t="array" aca="1" ref="D447" ca="1">CELL("nomfichier",INDIRECT(A447))</f>
        <v>G:\SCPE\sdc\bq\6 - Mentions valorisantes\Certification environnementale\TEXTES_REGLEMENTATION_CE\Plans_contrôle et grilles\Grille audit niveau 3\Grille d'audit v1.11\[grille-audit-hvev4-v1.11-vf.xlsx]Surfaces_Horti</v>
      </c>
      <c r="E447">
        <f t="shared" ca="1" si="25"/>
        <v>200</v>
      </c>
      <c r="F447">
        <f t="shared" ca="1" si="26"/>
        <v>214</v>
      </c>
      <c r="G447" t="str">
        <f t="shared" ca="1" si="27"/>
        <v>Surfaces_Horti</v>
      </c>
      <c r="H447" cm="1">
        <f t="array" aca="1" ref="H447" ca="1">ROW(INDIRECT(A447))</f>
        <v>24</v>
      </c>
      <c r="I447" cm="1">
        <f t="array" aca="1" ref="I447" ca="1">COLUMN(INDIRECT(A447))</f>
        <v>13</v>
      </c>
      <c r="M447" t="str" cm="1">
        <f t="array" aca="1" ref="M447" ca="1">IF(AND(J447="O",ISBLANK(INDIRECT(A447))),"Valeur obligatoire non renseignée","")</f>
        <v/>
      </c>
    </row>
    <row r="448" spans="1:13" x14ac:dyDescent="0.25">
      <c r="A448" s="91" t="s">
        <v>3521</v>
      </c>
      <c r="B448" cm="1">
        <f t="array" aca="1" ref="B448" ca="1">INDIRECT(A448)</f>
        <v>0</v>
      </c>
      <c r="C448">
        <f t="shared" ca="1" si="24"/>
        <v>5</v>
      </c>
      <c r="D448" t="str" cm="1">
        <f t="array" aca="1" ref="D448" ca="1">CELL("nomfichier",INDIRECT(A448))</f>
        <v>G:\SCPE\sdc\bq\6 - Mentions valorisantes\Certification environnementale\TEXTES_REGLEMENTATION_CE\Plans_contrôle et grilles\Grille audit niveau 3\Grille d'audit v1.11\[grille-audit-hvev4-v1.11-vf.xlsx]Surfaces_Horti</v>
      </c>
      <c r="E448">
        <f t="shared" ca="1" si="25"/>
        <v>200</v>
      </c>
      <c r="F448">
        <f t="shared" ca="1" si="26"/>
        <v>214</v>
      </c>
      <c r="G448" t="str">
        <f t="shared" ca="1" si="27"/>
        <v>Surfaces_Horti</v>
      </c>
      <c r="H448" cm="1">
        <f t="array" aca="1" ref="H448" ca="1">ROW(INDIRECT(A448))</f>
        <v>24</v>
      </c>
      <c r="I448" cm="1">
        <f t="array" aca="1" ref="I448" ca="1">COLUMN(INDIRECT(A448))</f>
        <v>14</v>
      </c>
      <c r="M448" t="str" cm="1">
        <f t="array" aca="1" ref="M448" ca="1">IF(AND(J448="O",ISBLANK(INDIRECT(A448))),"Valeur obligatoire non renseignée","")</f>
        <v/>
      </c>
    </row>
    <row r="449" spans="1:13" x14ac:dyDescent="0.25">
      <c r="A449" s="91" t="s">
        <v>3198</v>
      </c>
      <c r="B449" cm="1">
        <f t="array" aca="1" ref="B449" ca="1">INDIRECT(A449)</f>
        <v>0</v>
      </c>
      <c r="C449">
        <f t="shared" ca="1" si="24"/>
        <v>5</v>
      </c>
      <c r="D449" t="str" cm="1">
        <f t="array" aca="1" ref="D449" ca="1">CELL("nomfichier",INDIRECT(A449))</f>
        <v>G:\SCPE\sdc\bq\6 - Mentions valorisantes\Certification environnementale\TEXTES_REGLEMENTATION_CE\Plans_contrôle et grilles\Grille audit niveau 3\Grille d'audit v1.11\[grille-audit-hvev4-v1.11-vf.xlsx]Surfaces_Horti</v>
      </c>
      <c r="E449">
        <f t="shared" ca="1" si="25"/>
        <v>200</v>
      </c>
      <c r="F449">
        <f t="shared" ca="1" si="26"/>
        <v>214</v>
      </c>
      <c r="G449" t="str">
        <f t="shared" ca="1" si="27"/>
        <v>Surfaces_Horti</v>
      </c>
      <c r="H449" cm="1">
        <f t="array" aca="1" ref="H449" ca="1">ROW(INDIRECT(A449))</f>
        <v>25</v>
      </c>
      <c r="I449" cm="1">
        <f t="array" aca="1" ref="I449" ca="1">COLUMN(INDIRECT(A449))</f>
        <v>2</v>
      </c>
      <c r="M449" t="str" cm="1">
        <f t="array" aca="1" ref="M449" ca="1">IF(AND(J449="O",ISBLANK(INDIRECT(A449))),"Valeur obligatoire non renseignée","")</f>
        <v/>
      </c>
    </row>
    <row r="450" spans="1:13" x14ac:dyDescent="0.25">
      <c r="A450" s="91" t="s">
        <v>3225</v>
      </c>
      <c r="B450" cm="1">
        <f t="array" aca="1" ref="B450" ca="1">INDIRECT(A450)</f>
        <v>0</v>
      </c>
      <c r="C450">
        <f t="shared" ref="C450:C513" ca="1" si="28">_xlfn.SHEET(INDIRECT(A450))</f>
        <v>5</v>
      </c>
      <c r="D450" t="str" cm="1">
        <f t="array" aca="1" ref="D450" ca="1">CELL("nomfichier",INDIRECT(A450))</f>
        <v>G:\SCPE\sdc\bq\6 - Mentions valorisantes\Certification environnementale\TEXTES_REGLEMENTATION_CE\Plans_contrôle et grilles\Grille audit niveau 3\Grille d'audit v1.11\[grille-audit-hvev4-v1.11-vf.xlsx]Surfaces_Horti</v>
      </c>
      <c r="E450">
        <f t="shared" ref="E450:E513" ca="1" si="29">FIND("]",D450)</f>
        <v>200</v>
      </c>
      <c r="F450">
        <f t="shared" ref="F450:F513" ca="1" si="30">LEN(D450)</f>
        <v>214</v>
      </c>
      <c r="G450" t="str">
        <f t="shared" ref="G450:G513" ca="1" si="31">RIGHT(D450,F450-E450)</f>
        <v>Surfaces_Horti</v>
      </c>
      <c r="H450" cm="1">
        <f t="array" aca="1" ref="H450" ca="1">ROW(INDIRECT(A450))</f>
        <v>25</v>
      </c>
      <c r="I450" cm="1">
        <f t="array" aca="1" ref="I450" ca="1">COLUMN(INDIRECT(A450))</f>
        <v>3</v>
      </c>
      <c r="M450" t="str" cm="1">
        <f t="array" aca="1" ref="M450" ca="1">IF(AND(J450="O",ISBLANK(INDIRECT(A450))),"Valeur obligatoire non renseignée","")</f>
        <v/>
      </c>
    </row>
    <row r="451" spans="1:13" x14ac:dyDescent="0.25">
      <c r="A451" s="91" t="s">
        <v>3252</v>
      </c>
      <c r="B451" cm="1">
        <f t="array" aca="1" ref="B451" ca="1">INDIRECT(A451)</f>
        <v>0</v>
      </c>
      <c r="C451">
        <f t="shared" ca="1" si="28"/>
        <v>5</v>
      </c>
      <c r="D451" t="str" cm="1">
        <f t="array" aca="1" ref="D451" ca="1">CELL("nomfichier",INDIRECT(A451))</f>
        <v>G:\SCPE\sdc\bq\6 - Mentions valorisantes\Certification environnementale\TEXTES_REGLEMENTATION_CE\Plans_contrôle et grilles\Grille audit niveau 3\Grille d'audit v1.11\[grille-audit-hvev4-v1.11-vf.xlsx]Surfaces_Horti</v>
      </c>
      <c r="E451">
        <f t="shared" ca="1" si="29"/>
        <v>200</v>
      </c>
      <c r="F451">
        <f t="shared" ca="1" si="30"/>
        <v>214</v>
      </c>
      <c r="G451" t="str">
        <f t="shared" ca="1" si="31"/>
        <v>Surfaces_Horti</v>
      </c>
      <c r="H451" cm="1">
        <f t="array" aca="1" ref="H451" ca="1">ROW(INDIRECT(A451))</f>
        <v>25</v>
      </c>
      <c r="I451" cm="1">
        <f t="array" aca="1" ref="I451" ca="1">COLUMN(INDIRECT(A451))</f>
        <v>4</v>
      </c>
      <c r="M451" t="str" cm="1">
        <f t="array" aca="1" ref="M451" ca="1">IF(AND(J451="O",ISBLANK(INDIRECT(A451))),"Valeur obligatoire non renseignée","")</f>
        <v/>
      </c>
    </row>
    <row r="452" spans="1:13" x14ac:dyDescent="0.25">
      <c r="A452" s="91" t="s">
        <v>3279</v>
      </c>
      <c r="B452" cm="1">
        <f t="array" aca="1" ref="B452" ca="1">INDIRECT(A452)</f>
        <v>0</v>
      </c>
      <c r="C452">
        <f t="shared" ca="1" si="28"/>
        <v>5</v>
      </c>
      <c r="D452" t="str" cm="1">
        <f t="array" aca="1" ref="D452" ca="1">CELL("nomfichier",INDIRECT(A452))</f>
        <v>G:\SCPE\sdc\bq\6 - Mentions valorisantes\Certification environnementale\TEXTES_REGLEMENTATION_CE\Plans_contrôle et grilles\Grille audit niveau 3\Grille d'audit v1.11\[grille-audit-hvev4-v1.11-vf.xlsx]Surfaces_Horti</v>
      </c>
      <c r="E452">
        <f t="shared" ca="1" si="29"/>
        <v>200</v>
      </c>
      <c r="F452">
        <f t="shared" ca="1" si="30"/>
        <v>214</v>
      </c>
      <c r="G452" t="str">
        <f t="shared" ca="1" si="31"/>
        <v>Surfaces_Horti</v>
      </c>
      <c r="H452" cm="1">
        <f t="array" aca="1" ref="H452" ca="1">ROW(INDIRECT(A452))</f>
        <v>25</v>
      </c>
      <c r="I452" cm="1">
        <f t="array" aca="1" ref="I452" ca="1">COLUMN(INDIRECT(A452))</f>
        <v>5</v>
      </c>
      <c r="M452" t="str" cm="1">
        <f t="array" aca="1" ref="M452" ca="1">IF(AND(J452="O",ISBLANK(INDIRECT(A452))),"Valeur obligatoire non renseignée","")</f>
        <v/>
      </c>
    </row>
    <row r="453" spans="1:13" x14ac:dyDescent="0.25">
      <c r="A453" s="91" t="s">
        <v>3306</v>
      </c>
      <c r="B453" cm="1">
        <f t="array" aca="1" ref="B453" ca="1">INDIRECT(A453)</f>
        <v>0</v>
      </c>
      <c r="C453">
        <f t="shared" ca="1" si="28"/>
        <v>5</v>
      </c>
      <c r="D453" t="str" cm="1">
        <f t="array" aca="1" ref="D453" ca="1">CELL("nomfichier",INDIRECT(A453))</f>
        <v>G:\SCPE\sdc\bq\6 - Mentions valorisantes\Certification environnementale\TEXTES_REGLEMENTATION_CE\Plans_contrôle et grilles\Grille audit niveau 3\Grille d'audit v1.11\[grille-audit-hvev4-v1.11-vf.xlsx]Surfaces_Horti</v>
      </c>
      <c r="E453">
        <f t="shared" ca="1" si="29"/>
        <v>200</v>
      </c>
      <c r="F453">
        <f t="shared" ca="1" si="30"/>
        <v>214</v>
      </c>
      <c r="G453" t="str">
        <f t="shared" ca="1" si="31"/>
        <v>Surfaces_Horti</v>
      </c>
      <c r="H453" cm="1">
        <f t="array" aca="1" ref="H453" ca="1">ROW(INDIRECT(A453))</f>
        <v>25</v>
      </c>
      <c r="I453" cm="1">
        <f t="array" aca="1" ref="I453" ca="1">COLUMN(INDIRECT(A453))</f>
        <v>6</v>
      </c>
      <c r="M453" t="str" cm="1">
        <f t="array" aca="1" ref="M453" ca="1">IF(AND(J453="O",ISBLANK(INDIRECT(A453))),"Valeur obligatoire non renseignée","")</f>
        <v/>
      </c>
    </row>
    <row r="454" spans="1:13" x14ac:dyDescent="0.25">
      <c r="A454" s="91" t="s">
        <v>3333</v>
      </c>
      <c r="B454" cm="1">
        <f t="array" aca="1" ref="B454" ca="1">INDIRECT(A454)</f>
        <v>0</v>
      </c>
      <c r="C454">
        <f t="shared" ca="1" si="28"/>
        <v>5</v>
      </c>
      <c r="D454" t="str" cm="1">
        <f t="array" aca="1" ref="D454" ca="1">CELL("nomfichier",INDIRECT(A454))</f>
        <v>G:\SCPE\sdc\bq\6 - Mentions valorisantes\Certification environnementale\TEXTES_REGLEMENTATION_CE\Plans_contrôle et grilles\Grille audit niveau 3\Grille d'audit v1.11\[grille-audit-hvev4-v1.11-vf.xlsx]Surfaces_Horti</v>
      </c>
      <c r="E454">
        <f t="shared" ca="1" si="29"/>
        <v>200</v>
      </c>
      <c r="F454">
        <f t="shared" ca="1" si="30"/>
        <v>214</v>
      </c>
      <c r="G454" t="str">
        <f t="shared" ca="1" si="31"/>
        <v>Surfaces_Horti</v>
      </c>
      <c r="H454" cm="1">
        <f t="array" aca="1" ref="H454" ca="1">ROW(INDIRECT(A454))</f>
        <v>25</v>
      </c>
      <c r="I454" cm="1">
        <f t="array" aca="1" ref="I454" ca="1">COLUMN(INDIRECT(A454))</f>
        <v>7</v>
      </c>
      <c r="M454" t="str" cm="1">
        <f t="array" aca="1" ref="M454" ca="1">IF(AND(J454="O",ISBLANK(INDIRECT(A454))),"Valeur obligatoire non renseignée","")</f>
        <v/>
      </c>
    </row>
    <row r="455" spans="1:13" x14ac:dyDescent="0.25">
      <c r="A455" s="91" t="s">
        <v>3360</v>
      </c>
      <c r="B455" cm="1">
        <f t="array" aca="1" ref="B455" ca="1">INDIRECT(A455)</f>
        <v>0</v>
      </c>
      <c r="C455">
        <f t="shared" ca="1" si="28"/>
        <v>5</v>
      </c>
      <c r="D455" t="str" cm="1">
        <f t="array" aca="1" ref="D455" ca="1">CELL("nomfichier",INDIRECT(A455))</f>
        <v>G:\SCPE\sdc\bq\6 - Mentions valorisantes\Certification environnementale\TEXTES_REGLEMENTATION_CE\Plans_contrôle et grilles\Grille audit niveau 3\Grille d'audit v1.11\[grille-audit-hvev4-v1.11-vf.xlsx]Surfaces_Horti</v>
      </c>
      <c r="E455">
        <f t="shared" ca="1" si="29"/>
        <v>200</v>
      </c>
      <c r="F455">
        <f t="shared" ca="1" si="30"/>
        <v>214</v>
      </c>
      <c r="G455" t="str">
        <f t="shared" ca="1" si="31"/>
        <v>Surfaces_Horti</v>
      </c>
      <c r="H455" cm="1">
        <f t="array" aca="1" ref="H455" ca="1">ROW(INDIRECT(A455))</f>
        <v>25</v>
      </c>
      <c r="I455" cm="1">
        <f t="array" aca="1" ref="I455" ca="1">COLUMN(INDIRECT(A455))</f>
        <v>8</v>
      </c>
      <c r="M455" t="str" cm="1">
        <f t="array" aca="1" ref="M455" ca="1">IF(AND(J455="O",ISBLANK(INDIRECT(A455))),"Valeur obligatoire non renseignée","")</f>
        <v/>
      </c>
    </row>
    <row r="456" spans="1:13" x14ac:dyDescent="0.25">
      <c r="A456" s="91" t="s">
        <v>3387</v>
      </c>
      <c r="B456" cm="1">
        <f t="array" aca="1" ref="B456" ca="1">INDIRECT(A456)</f>
        <v>0</v>
      </c>
      <c r="C456">
        <f t="shared" ca="1" si="28"/>
        <v>5</v>
      </c>
      <c r="D456" t="str" cm="1">
        <f t="array" aca="1" ref="D456" ca="1">CELL("nomfichier",INDIRECT(A456))</f>
        <v>G:\SCPE\sdc\bq\6 - Mentions valorisantes\Certification environnementale\TEXTES_REGLEMENTATION_CE\Plans_contrôle et grilles\Grille audit niveau 3\Grille d'audit v1.11\[grille-audit-hvev4-v1.11-vf.xlsx]Surfaces_Horti</v>
      </c>
      <c r="E456">
        <f t="shared" ca="1" si="29"/>
        <v>200</v>
      </c>
      <c r="F456">
        <f t="shared" ca="1" si="30"/>
        <v>214</v>
      </c>
      <c r="G456" t="str">
        <f t="shared" ca="1" si="31"/>
        <v>Surfaces_Horti</v>
      </c>
      <c r="H456" cm="1">
        <f t="array" aca="1" ref="H456" ca="1">ROW(INDIRECT(A456))</f>
        <v>25</v>
      </c>
      <c r="I456" cm="1">
        <f t="array" aca="1" ref="I456" ca="1">COLUMN(INDIRECT(A456))</f>
        <v>9</v>
      </c>
      <c r="M456" t="str" cm="1">
        <f t="array" aca="1" ref="M456" ca="1">IF(AND(J456="O",ISBLANK(INDIRECT(A456))),"Valeur obligatoire non renseignée","")</f>
        <v/>
      </c>
    </row>
    <row r="457" spans="1:13" x14ac:dyDescent="0.25">
      <c r="A457" s="91" t="s">
        <v>3414</v>
      </c>
      <c r="B457" cm="1">
        <f t="array" aca="1" ref="B457" ca="1">INDIRECT(A457)</f>
        <v>0</v>
      </c>
      <c r="C457">
        <f t="shared" ca="1" si="28"/>
        <v>5</v>
      </c>
      <c r="D457" t="str" cm="1">
        <f t="array" aca="1" ref="D457" ca="1">CELL("nomfichier",INDIRECT(A457))</f>
        <v>G:\SCPE\sdc\bq\6 - Mentions valorisantes\Certification environnementale\TEXTES_REGLEMENTATION_CE\Plans_contrôle et grilles\Grille audit niveau 3\Grille d'audit v1.11\[grille-audit-hvev4-v1.11-vf.xlsx]Surfaces_Horti</v>
      </c>
      <c r="E457">
        <f t="shared" ca="1" si="29"/>
        <v>200</v>
      </c>
      <c r="F457">
        <f t="shared" ca="1" si="30"/>
        <v>214</v>
      </c>
      <c r="G457" t="str">
        <f t="shared" ca="1" si="31"/>
        <v>Surfaces_Horti</v>
      </c>
      <c r="H457" cm="1">
        <f t="array" aca="1" ref="H457" ca="1">ROW(INDIRECT(A457))</f>
        <v>25</v>
      </c>
      <c r="I457" cm="1">
        <f t="array" aca="1" ref="I457" ca="1">COLUMN(INDIRECT(A457))</f>
        <v>10</v>
      </c>
      <c r="M457" t="str" cm="1">
        <f t="array" aca="1" ref="M457" ca="1">IF(AND(J457="O",ISBLANK(INDIRECT(A457))),"Valeur obligatoire non renseignée","")</f>
        <v/>
      </c>
    </row>
    <row r="458" spans="1:13" x14ac:dyDescent="0.25">
      <c r="A458" s="91" t="s">
        <v>3441</v>
      </c>
      <c r="B458" cm="1">
        <f t="array" aca="1" ref="B458" ca="1">INDIRECT(A458)</f>
        <v>0</v>
      </c>
      <c r="C458">
        <f t="shared" ca="1" si="28"/>
        <v>5</v>
      </c>
      <c r="D458" t="str" cm="1">
        <f t="array" aca="1" ref="D458" ca="1">CELL("nomfichier",INDIRECT(A458))</f>
        <v>G:\SCPE\sdc\bq\6 - Mentions valorisantes\Certification environnementale\TEXTES_REGLEMENTATION_CE\Plans_contrôle et grilles\Grille audit niveau 3\Grille d'audit v1.11\[grille-audit-hvev4-v1.11-vf.xlsx]Surfaces_Horti</v>
      </c>
      <c r="E458">
        <f t="shared" ca="1" si="29"/>
        <v>200</v>
      </c>
      <c r="F458">
        <f t="shared" ca="1" si="30"/>
        <v>214</v>
      </c>
      <c r="G458" t="str">
        <f t="shared" ca="1" si="31"/>
        <v>Surfaces_Horti</v>
      </c>
      <c r="H458" cm="1">
        <f t="array" aca="1" ref="H458" ca="1">ROW(INDIRECT(A458))</f>
        <v>25</v>
      </c>
      <c r="I458" cm="1">
        <f t="array" aca="1" ref="I458" ca="1">COLUMN(INDIRECT(A458))</f>
        <v>11</v>
      </c>
      <c r="M458" t="str" cm="1">
        <f t="array" aca="1" ref="M458" ca="1">IF(AND(J458="O",ISBLANK(INDIRECT(A458))),"Valeur obligatoire non renseignée","")</f>
        <v/>
      </c>
    </row>
    <row r="459" spans="1:13" x14ac:dyDescent="0.25">
      <c r="A459" s="91" t="s">
        <v>3468</v>
      </c>
      <c r="B459" cm="1">
        <f t="array" aca="1" ref="B459" ca="1">INDIRECT(A459)</f>
        <v>0</v>
      </c>
      <c r="C459">
        <f t="shared" ca="1" si="28"/>
        <v>5</v>
      </c>
      <c r="D459" t="str" cm="1">
        <f t="array" aca="1" ref="D459" ca="1">CELL("nomfichier",INDIRECT(A459))</f>
        <v>G:\SCPE\sdc\bq\6 - Mentions valorisantes\Certification environnementale\TEXTES_REGLEMENTATION_CE\Plans_contrôle et grilles\Grille audit niveau 3\Grille d'audit v1.11\[grille-audit-hvev4-v1.11-vf.xlsx]Surfaces_Horti</v>
      </c>
      <c r="E459">
        <f t="shared" ca="1" si="29"/>
        <v>200</v>
      </c>
      <c r="F459">
        <f t="shared" ca="1" si="30"/>
        <v>214</v>
      </c>
      <c r="G459" t="str">
        <f t="shared" ca="1" si="31"/>
        <v>Surfaces_Horti</v>
      </c>
      <c r="H459" cm="1">
        <f t="array" aca="1" ref="H459" ca="1">ROW(INDIRECT(A459))</f>
        <v>25</v>
      </c>
      <c r="I459" cm="1">
        <f t="array" aca="1" ref="I459" ca="1">COLUMN(INDIRECT(A459))</f>
        <v>12</v>
      </c>
      <c r="M459" t="str" cm="1">
        <f t="array" aca="1" ref="M459" ca="1">IF(AND(J459="O",ISBLANK(INDIRECT(A459))),"Valeur obligatoire non renseignée","")</f>
        <v/>
      </c>
    </row>
    <row r="460" spans="1:13" x14ac:dyDescent="0.25">
      <c r="A460" s="91" t="s">
        <v>3495</v>
      </c>
      <c r="B460" cm="1">
        <f t="array" aca="1" ref="B460" ca="1">INDIRECT(A460)</f>
        <v>0</v>
      </c>
      <c r="C460">
        <f t="shared" ca="1" si="28"/>
        <v>5</v>
      </c>
      <c r="D460" t="str" cm="1">
        <f t="array" aca="1" ref="D460" ca="1">CELL("nomfichier",INDIRECT(A460))</f>
        <v>G:\SCPE\sdc\bq\6 - Mentions valorisantes\Certification environnementale\TEXTES_REGLEMENTATION_CE\Plans_contrôle et grilles\Grille audit niveau 3\Grille d'audit v1.11\[grille-audit-hvev4-v1.11-vf.xlsx]Surfaces_Horti</v>
      </c>
      <c r="E460">
        <f t="shared" ca="1" si="29"/>
        <v>200</v>
      </c>
      <c r="F460">
        <f t="shared" ca="1" si="30"/>
        <v>214</v>
      </c>
      <c r="G460" t="str">
        <f t="shared" ca="1" si="31"/>
        <v>Surfaces_Horti</v>
      </c>
      <c r="H460" cm="1">
        <f t="array" aca="1" ref="H460" ca="1">ROW(INDIRECT(A460))</f>
        <v>25</v>
      </c>
      <c r="I460" cm="1">
        <f t="array" aca="1" ref="I460" ca="1">COLUMN(INDIRECT(A460))</f>
        <v>13</v>
      </c>
      <c r="M460" t="str" cm="1">
        <f t="array" aca="1" ref="M460" ca="1">IF(AND(J460="O",ISBLANK(INDIRECT(A460))),"Valeur obligatoire non renseignée","")</f>
        <v/>
      </c>
    </row>
    <row r="461" spans="1:13" x14ac:dyDescent="0.25">
      <c r="A461" s="91" t="s">
        <v>3522</v>
      </c>
      <c r="B461" cm="1">
        <f t="array" aca="1" ref="B461" ca="1">INDIRECT(A461)</f>
        <v>0</v>
      </c>
      <c r="C461">
        <f t="shared" ca="1" si="28"/>
        <v>5</v>
      </c>
      <c r="D461" t="str" cm="1">
        <f t="array" aca="1" ref="D461" ca="1">CELL("nomfichier",INDIRECT(A461))</f>
        <v>G:\SCPE\sdc\bq\6 - Mentions valorisantes\Certification environnementale\TEXTES_REGLEMENTATION_CE\Plans_contrôle et grilles\Grille audit niveau 3\Grille d'audit v1.11\[grille-audit-hvev4-v1.11-vf.xlsx]Surfaces_Horti</v>
      </c>
      <c r="E461">
        <f t="shared" ca="1" si="29"/>
        <v>200</v>
      </c>
      <c r="F461">
        <f t="shared" ca="1" si="30"/>
        <v>214</v>
      </c>
      <c r="G461" t="str">
        <f t="shared" ca="1" si="31"/>
        <v>Surfaces_Horti</v>
      </c>
      <c r="H461" cm="1">
        <f t="array" aca="1" ref="H461" ca="1">ROW(INDIRECT(A461))</f>
        <v>25</v>
      </c>
      <c r="I461" cm="1">
        <f t="array" aca="1" ref="I461" ca="1">COLUMN(INDIRECT(A461))</f>
        <v>14</v>
      </c>
      <c r="M461" t="str" cm="1">
        <f t="array" aca="1" ref="M461" ca="1">IF(AND(J461="O",ISBLANK(INDIRECT(A461))),"Valeur obligatoire non renseignée","")</f>
        <v/>
      </c>
    </row>
    <row r="462" spans="1:13" x14ac:dyDescent="0.25">
      <c r="A462" s="91" t="s">
        <v>3199</v>
      </c>
      <c r="B462" cm="1">
        <f t="array" aca="1" ref="B462" ca="1">INDIRECT(A462)</f>
        <v>0</v>
      </c>
      <c r="C462">
        <f t="shared" ca="1" si="28"/>
        <v>5</v>
      </c>
      <c r="D462" t="str" cm="1">
        <f t="array" aca="1" ref="D462" ca="1">CELL("nomfichier",INDIRECT(A462))</f>
        <v>G:\SCPE\sdc\bq\6 - Mentions valorisantes\Certification environnementale\TEXTES_REGLEMENTATION_CE\Plans_contrôle et grilles\Grille audit niveau 3\Grille d'audit v1.11\[grille-audit-hvev4-v1.11-vf.xlsx]Surfaces_Horti</v>
      </c>
      <c r="E462">
        <f t="shared" ca="1" si="29"/>
        <v>200</v>
      </c>
      <c r="F462">
        <f t="shared" ca="1" si="30"/>
        <v>214</v>
      </c>
      <c r="G462" t="str">
        <f t="shared" ca="1" si="31"/>
        <v>Surfaces_Horti</v>
      </c>
      <c r="H462" cm="1">
        <f t="array" aca="1" ref="H462" ca="1">ROW(INDIRECT(A462))</f>
        <v>26</v>
      </c>
      <c r="I462" cm="1">
        <f t="array" aca="1" ref="I462" ca="1">COLUMN(INDIRECT(A462))</f>
        <v>2</v>
      </c>
      <c r="M462" t="str" cm="1">
        <f t="array" aca="1" ref="M462" ca="1">IF(AND(J462="O",ISBLANK(INDIRECT(A462))),"Valeur obligatoire non renseignée","")</f>
        <v/>
      </c>
    </row>
    <row r="463" spans="1:13" x14ac:dyDescent="0.25">
      <c r="A463" s="91" t="s">
        <v>3226</v>
      </c>
      <c r="B463" cm="1">
        <f t="array" aca="1" ref="B463" ca="1">INDIRECT(A463)</f>
        <v>0</v>
      </c>
      <c r="C463">
        <f t="shared" ca="1" si="28"/>
        <v>5</v>
      </c>
      <c r="D463" t="str" cm="1">
        <f t="array" aca="1" ref="D463" ca="1">CELL("nomfichier",INDIRECT(A463))</f>
        <v>G:\SCPE\sdc\bq\6 - Mentions valorisantes\Certification environnementale\TEXTES_REGLEMENTATION_CE\Plans_contrôle et grilles\Grille audit niveau 3\Grille d'audit v1.11\[grille-audit-hvev4-v1.11-vf.xlsx]Surfaces_Horti</v>
      </c>
      <c r="E463">
        <f t="shared" ca="1" si="29"/>
        <v>200</v>
      </c>
      <c r="F463">
        <f t="shared" ca="1" si="30"/>
        <v>214</v>
      </c>
      <c r="G463" t="str">
        <f t="shared" ca="1" si="31"/>
        <v>Surfaces_Horti</v>
      </c>
      <c r="H463" cm="1">
        <f t="array" aca="1" ref="H463" ca="1">ROW(INDIRECT(A463))</f>
        <v>26</v>
      </c>
      <c r="I463" cm="1">
        <f t="array" aca="1" ref="I463" ca="1">COLUMN(INDIRECT(A463))</f>
        <v>3</v>
      </c>
      <c r="M463" t="str" cm="1">
        <f t="array" aca="1" ref="M463" ca="1">IF(AND(J463="O",ISBLANK(INDIRECT(A463))),"Valeur obligatoire non renseignée","")</f>
        <v/>
      </c>
    </row>
    <row r="464" spans="1:13" x14ac:dyDescent="0.25">
      <c r="A464" s="91" t="s">
        <v>3253</v>
      </c>
      <c r="B464" cm="1">
        <f t="array" aca="1" ref="B464" ca="1">INDIRECT(A464)</f>
        <v>0</v>
      </c>
      <c r="C464">
        <f t="shared" ca="1" si="28"/>
        <v>5</v>
      </c>
      <c r="D464" t="str" cm="1">
        <f t="array" aca="1" ref="D464" ca="1">CELL("nomfichier",INDIRECT(A464))</f>
        <v>G:\SCPE\sdc\bq\6 - Mentions valorisantes\Certification environnementale\TEXTES_REGLEMENTATION_CE\Plans_contrôle et grilles\Grille audit niveau 3\Grille d'audit v1.11\[grille-audit-hvev4-v1.11-vf.xlsx]Surfaces_Horti</v>
      </c>
      <c r="E464">
        <f t="shared" ca="1" si="29"/>
        <v>200</v>
      </c>
      <c r="F464">
        <f t="shared" ca="1" si="30"/>
        <v>214</v>
      </c>
      <c r="G464" t="str">
        <f t="shared" ca="1" si="31"/>
        <v>Surfaces_Horti</v>
      </c>
      <c r="H464" cm="1">
        <f t="array" aca="1" ref="H464" ca="1">ROW(INDIRECT(A464))</f>
        <v>26</v>
      </c>
      <c r="I464" cm="1">
        <f t="array" aca="1" ref="I464" ca="1">COLUMN(INDIRECT(A464))</f>
        <v>4</v>
      </c>
      <c r="M464" t="str" cm="1">
        <f t="array" aca="1" ref="M464" ca="1">IF(AND(J464="O",ISBLANK(INDIRECT(A464))),"Valeur obligatoire non renseignée","")</f>
        <v/>
      </c>
    </row>
    <row r="465" spans="1:13" x14ac:dyDescent="0.25">
      <c r="A465" s="91" t="s">
        <v>3280</v>
      </c>
      <c r="B465" cm="1">
        <f t="array" aca="1" ref="B465" ca="1">INDIRECT(A465)</f>
        <v>0</v>
      </c>
      <c r="C465">
        <f t="shared" ca="1" si="28"/>
        <v>5</v>
      </c>
      <c r="D465" t="str" cm="1">
        <f t="array" aca="1" ref="D465" ca="1">CELL("nomfichier",INDIRECT(A465))</f>
        <v>G:\SCPE\sdc\bq\6 - Mentions valorisantes\Certification environnementale\TEXTES_REGLEMENTATION_CE\Plans_contrôle et grilles\Grille audit niveau 3\Grille d'audit v1.11\[grille-audit-hvev4-v1.11-vf.xlsx]Surfaces_Horti</v>
      </c>
      <c r="E465">
        <f t="shared" ca="1" si="29"/>
        <v>200</v>
      </c>
      <c r="F465">
        <f t="shared" ca="1" si="30"/>
        <v>214</v>
      </c>
      <c r="G465" t="str">
        <f t="shared" ca="1" si="31"/>
        <v>Surfaces_Horti</v>
      </c>
      <c r="H465" cm="1">
        <f t="array" aca="1" ref="H465" ca="1">ROW(INDIRECT(A465))</f>
        <v>26</v>
      </c>
      <c r="I465" cm="1">
        <f t="array" aca="1" ref="I465" ca="1">COLUMN(INDIRECT(A465))</f>
        <v>5</v>
      </c>
      <c r="M465" t="str" cm="1">
        <f t="array" aca="1" ref="M465" ca="1">IF(AND(J465="O",ISBLANK(INDIRECT(A465))),"Valeur obligatoire non renseignée","")</f>
        <v/>
      </c>
    </row>
    <row r="466" spans="1:13" x14ac:dyDescent="0.25">
      <c r="A466" s="91" t="s">
        <v>3307</v>
      </c>
      <c r="B466" cm="1">
        <f t="array" aca="1" ref="B466" ca="1">INDIRECT(A466)</f>
        <v>0</v>
      </c>
      <c r="C466">
        <f t="shared" ca="1" si="28"/>
        <v>5</v>
      </c>
      <c r="D466" t="str" cm="1">
        <f t="array" aca="1" ref="D466" ca="1">CELL("nomfichier",INDIRECT(A466))</f>
        <v>G:\SCPE\sdc\bq\6 - Mentions valorisantes\Certification environnementale\TEXTES_REGLEMENTATION_CE\Plans_contrôle et grilles\Grille audit niveau 3\Grille d'audit v1.11\[grille-audit-hvev4-v1.11-vf.xlsx]Surfaces_Horti</v>
      </c>
      <c r="E466">
        <f t="shared" ca="1" si="29"/>
        <v>200</v>
      </c>
      <c r="F466">
        <f t="shared" ca="1" si="30"/>
        <v>214</v>
      </c>
      <c r="G466" t="str">
        <f t="shared" ca="1" si="31"/>
        <v>Surfaces_Horti</v>
      </c>
      <c r="H466" cm="1">
        <f t="array" aca="1" ref="H466" ca="1">ROW(INDIRECT(A466))</f>
        <v>26</v>
      </c>
      <c r="I466" cm="1">
        <f t="array" aca="1" ref="I466" ca="1">COLUMN(INDIRECT(A466))</f>
        <v>6</v>
      </c>
      <c r="M466" t="str" cm="1">
        <f t="array" aca="1" ref="M466" ca="1">IF(AND(J466="O",ISBLANK(INDIRECT(A466))),"Valeur obligatoire non renseignée","")</f>
        <v/>
      </c>
    </row>
    <row r="467" spans="1:13" x14ac:dyDescent="0.25">
      <c r="A467" s="91" t="s">
        <v>3334</v>
      </c>
      <c r="B467" cm="1">
        <f t="array" aca="1" ref="B467" ca="1">INDIRECT(A467)</f>
        <v>0</v>
      </c>
      <c r="C467">
        <f t="shared" ca="1" si="28"/>
        <v>5</v>
      </c>
      <c r="D467" t="str" cm="1">
        <f t="array" aca="1" ref="D467" ca="1">CELL("nomfichier",INDIRECT(A467))</f>
        <v>G:\SCPE\sdc\bq\6 - Mentions valorisantes\Certification environnementale\TEXTES_REGLEMENTATION_CE\Plans_contrôle et grilles\Grille audit niveau 3\Grille d'audit v1.11\[grille-audit-hvev4-v1.11-vf.xlsx]Surfaces_Horti</v>
      </c>
      <c r="E467">
        <f t="shared" ca="1" si="29"/>
        <v>200</v>
      </c>
      <c r="F467">
        <f t="shared" ca="1" si="30"/>
        <v>214</v>
      </c>
      <c r="G467" t="str">
        <f t="shared" ca="1" si="31"/>
        <v>Surfaces_Horti</v>
      </c>
      <c r="H467" cm="1">
        <f t="array" aca="1" ref="H467" ca="1">ROW(INDIRECT(A467))</f>
        <v>26</v>
      </c>
      <c r="I467" cm="1">
        <f t="array" aca="1" ref="I467" ca="1">COLUMN(INDIRECT(A467))</f>
        <v>7</v>
      </c>
      <c r="M467" t="str" cm="1">
        <f t="array" aca="1" ref="M467" ca="1">IF(AND(J467="O",ISBLANK(INDIRECT(A467))),"Valeur obligatoire non renseignée","")</f>
        <v/>
      </c>
    </row>
    <row r="468" spans="1:13" x14ac:dyDescent="0.25">
      <c r="A468" s="91" t="s">
        <v>3361</v>
      </c>
      <c r="B468" cm="1">
        <f t="array" aca="1" ref="B468" ca="1">INDIRECT(A468)</f>
        <v>0</v>
      </c>
      <c r="C468">
        <f t="shared" ca="1" si="28"/>
        <v>5</v>
      </c>
      <c r="D468" t="str" cm="1">
        <f t="array" aca="1" ref="D468" ca="1">CELL("nomfichier",INDIRECT(A468))</f>
        <v>G:\SCPE\sdc\bq\6 - Mentions valorisantes\Certification environnementale\TEXTES_REGLEMENTATION_CE\Plans_contrôle et grilles\Grille audit niveau 3\Grille d'audit v1.11\[grille-audit-hvev4-v1.11-vf.xlsx]Surfaces_Horti</v>
      </c>
      <c r="E468">
        <f t="shared" ca="1" si="29"/>
        <v>200</v>
      </c>
      <c r="F468">
        <f t="shared" ca="1" si="30"/>
        <v>214</v>
      </c>
      <c r="G468" t="str">
        <f t="shared" ca="1" si="31"/>
        <v>Surfaces_Horti</v>
      </c>
      <c r="H468" cm="1">
        <f t="array" aca="1" ref="H468" ca="1">ROW(INDIRECT(A468))</f>
        <v>26</v>
      </c>
      <c r="I468" cm="1">
        <f t="array" aca="1" ref="I468" ca="1">COLUMN(INDIRECT(A468))</f>
        <v>8</v>
      </c>
      <c r="M468" t="str" cm="1">
        <f t="array" aca="1" ref="M468" ca="1">IF(AND(J468="O",ISBLANK(INDIRECT(A468))),"Valeur obligatoire non renseignée","")</f>
        <v/>
      </c>
    </row>
    <row r="469" spans="1:13" x14ac:dyDescent="0.25">
      <c r="A469" s="91" t="s">
        <v>3388</v>
      </c>
      <c r="B469" cm="1">
        <f t="array" aca="1" ref="B469" ca="1">INDIRECT(A469)</f>
        <v>0</v>
      </c>
      <c r="C469">
        <f t="shared" ca="1" si="28"/>
        <v>5</v>
      </c>
      <c r="D469" t="str" cm="1">
        <f t="array" aca="1" ref="D469" ca="1">CELL("nomfichier",INDIRECT(A469))</f>
        <v>G:\SCPE\sdc\bq\6 - Mentions valorisantes\Certification environnementale\TEXTES_REGLEMENTATION_CE\Plans_contrôle et grilles\Grille audit niveau 3\Grille d'audit v1.11\[grille-audit-hvev4-v1.11-vf.xlsx]Surfaces_Horti</v>
      </c>
      <c r="E469">
        <f t="shared" ca="1" si="29"/>
        <v>200</v>
      </c>
      <c r="F469">
        <f t="shared" ca="1" si="30"/>
        <v>214</v>
      </c>
      <c r="G469" t="str">
        <f t="shared" ca="1" si="31"/>
        <v>Surfaces_Horti</v>
      </c>
      <c r="H469" cm="1">
        <f t="array" aca="1" ref="H469" ca="1">ROW(INDIRECT(A469))</f>
        <v>26</v>
      </c>
      <c r="I469" cm="1">
        <f t="array" aca="1" ref="I469" ca="1">COLUMN(INDIRECT(A469))</f>
        <v>9</v>
      </c>
      <c r="M469" t="str" cm="1">
        <f t="array" aca="1" ref="M469" ca="1">IF(AND(J469="O",ISBLANK(INDIRECT(A469))),"Valeur obligatoire non renseignée","")</f>
        <v/>
      </c>
    </row>
    <row r="470" spans="1:13" x14ac:dyDescent="0.25">
      <c r="A470" s="91" t="s">
        <v>3415</v>
      </c>
      <c r="B470" cm="1">
        <f t="array" aca="1" ref="B470" ca="1">INDIRECT(A470)</f>
        <v>0</v>
      </c>
      <c r="C470">
        <f t="shared" ca="1" si="28"/>
        <v>5</v>
      </c>
      <c r="D470" t="str" cm="1">
        <f t="array" aca="1" ref="D470" ca="1">CELL("nomfichier",INDIRECT(A470))</f>
        <v>G:\SCPE\sdc\bq\6 - Mentions valorisantes\Certification environnementale\TEXTES_REGLEMENTATION_CE\Plans_contrôle et grilles\Grille audit niveau 3\Grille d'audit v1.11\[grille-audit-hvev4-v1.11-vf.xlsx]Surfaces_Horti</v>
      </c>
      <c r="E470">
        <f t="shared" ca="1" si="29"/>
        <v>200</v>
      </c>
      <c r="F470">
        <f t="shared" ca="1" si="30"/>
        <v>214</v>
      </c>
      <c r="G470" t="str">
        <f t="shared" ca="1" si="31"/>
        <v>Surfaces_Horti</v>
      </c>
      <c r="H470" cm="1">
        <f t="array" aca="1" ref="H470" ca="1">ROW(INDIRECT(A470))</f>
        <v>26</v>
      </c>
      <c r="I470" cm="1">
        <f t="array" aca="1" ref="I470" ca="1">COLUMN(INDIRECT(A470))</f>
        <v>10</v>
      </c>
      <c r="M470" t="str" cm="1">
        <f t="array" aca="1" ref="M470" ca="1">IF(AND(J470="O",ISBLANK(INDIRECT(A470))),"Valeur obligatoire non renseignée","")</f>
        <v/>
      </c>
    </row>
    <row r="471" spans="1:13" x14ac:dyDescent="0.25">
      <c r="A471" s="91" t="s">
        <v>3442</v>
      </c>
      <c r="B471" cm="1">
        <f t="array" aca="1" ref="B471" ca="1">INDIRECT(A471)</f>
        <v>0</v>
      </c>
      <c r="C471">
        <f t="shared" ca="1" si="28"/>
        <v>5</v>
      </c>
      <c r="D471" t="str" cm="1">
        <f t="array" aca="1" ref="D471" ca="1">CELL("nomfichier",INDIRECT(A471))</f>
        <v>G:\SCPE\sdc\bq\6 - Mentions valorisantes\Certification environnementale\TEXTES_REGLEMENTATION_CE\Plans_contrôle et grilles\Grille audit niveau 3\Grille d'audit v1.11\[grille-audit-hvev4-v1.11-vf.xlsx]Surfaces_Horti</v>
      </c>
      <c r="E471">
        <f t="shared" ca="1" si="29"/>
        <v>200</v>
      </c>
      <c r="F471">
        <f t="shared" ca="1" si="30"/>
        <v>214</v>
      </c>
      <c r="G471" t="str">
        <f t="shared" ca="1" si="31"/>
        <v>Surfaces_Horti</v>
      </c>
      <c r="H471" cm="1">
        <f t="array" aca="1" ref="H471" ca="1">ROW(INDIRECT(A471))</f>
        <v>26</v>
      </c>
      <c r="I471" cm="1">
        <f t="array" aca="1" ref="I471" ca="1">COLUMN(INDIRECT(A471))</f>
        <v>11</v>
      </c>
      <c r="M471" t="str" cm="1">
        <f t="array" aca="1" ref="M471" ca="1">IF(AND(J471="O",ISBLANK(INDIRECT(A471))),"Valeur obligatoire non renseignée","")</f>
        <v/>
      </c>
    </row>
    <row r="472" spans="1:13" x14ac:dyDescent="0.25">
      <c r="A472" s="91" t="s">
        <v>3469</v>
      </c>
      <c r="B472" cm="1">
        <f t="array" aca="1" ref="B472" ca="1">INDIRECT(A472)</f>
        <v>0</v>
      </c>
      <c r="C472">
        <f t="shared" ca="1" si="28"/>
        <v>5</v>
      </c>
      <c r="D472" t="str" cm="1">
        <f t="array" aca="1" ref="D472" ca="1">CELL("nomfichier",INDIRECT(A472))</f>
        <v>G:\SCPE\sdc\bq\6 - Mentions valorisantes\Certification environnementale\TEXTES_REGLEMENTATION_CE\Plans_contrôle et grilles\Grille audit niveau 3\Grille d'audit v1.11\[grille-audit-hvev4-v1.11-vf.xlsx]Surfaces_Horti</v>
      </c>
      <c r="E472">
        <f t="shared" ca="1" si="29"/>
        <v>200</v>
      </c>
      <c r="F472">
        <f t="shared" ca="1" si="30"/>
        <v>214</v>
      </c>
      <c r="G472" t="str">
        <f t="shared" ca="1" si="31"/>
        <v>Surfaces_Horti</v>
      </c>
      <c r="H472" cm="1">
        <f t="array" aca="1" ref="H472" ca="1">ROW(INDIRECT(A472))</f>
        <v>26</v>
      </c>
      <c r="I472" cm="1">
        <f t="array" aca="1" ref="I472" ca="1">COLUMN(INDIRECT(A472))</f>
        <v>12</v>
      </c>
      <c r="M472" t="str" cm="1">
        <f t="array" aca="1" ref="M472" ca="1">IF(AND(J472="O",ISBLANK(INDIRECT(A472))),"Valeur obligatoire non renseignée","")</f>
        <v/>
      </c>
    </row>
    <row r="473" spans="1:13" x14ac:dyDescent="0.25">
      <c r="A473" s="91" t="s">
        <v>3496</v>
      </c>
      <c r="B473" cm="1">
        <f t="array" aca="1" ref="B473" ca="1">INDIRECT(A473)</f>
        <v>0</v>
      </c>
      <c r="C473">
        <f t="shared" ca="1" si="28"/>
        <v>5</v>
      </c>
      <c r="D473" t="str" cm="1">
        <f t="array" aca="1" ref="D473" ca="1">CELL("nomfichier",INDIRECT(A473))</f>
        <v>G:\SCPE\sdc\bq\6 - Mentions valorisantes\Certification environnementale\TEXTES_REGLEMENTATION_CE\Plans_contrôle et grilles\Grille audit niveau 3\Grille d'audit v1.11\[grille-audit-hvev4-v1.11-vf.xlsx]Surfaces_Horti</v>
      </c>
      <c r="E473">
        <f t="shared" ca="1" si="29"/>
        <v>200</v>
      </c>
      <c r="F473">
        <f t="shared" ca="1" si="30"/>
        <v>214</v>
      </c>
      <c r="G473" t="str">
        <f t="shared" ca="1" si="31"/>
        <v>Surfaces_Horti</v>
      </c>
      <c r="H473" cm="1">
        <f t="array" aca="1" ref="H473" ca="1">ROW(INDIRECT(A473))</f>
        <v>26</v>
      </c>
      <c r="I473" cm="1">
        <f t="array" aca="1" ref="I473" ca="1">COLUMN(INDIRECT(A473))</f>
        <v>13</v>
      </c>
      <c r="M473" t="str" cm="1">
        <f t="array" aca="1" ref="M473" ca="1">IF(AND(J473="O",ISBLANK(INDIRECT(A473))),"Valeur obligatoire non renseignée","")</f>
        <v/>
      </c>
    </row>
    <row r="474" spans="1:13" x14ac:dyDescent="0.25">
      <c r="A474" s="91" t="s">
        <v>3523</v>
      </c>
      <c r="B474" cm="1">
        <f t="array" aca="1" ref="B474" ca="1">INDIRECT(A474)</f>
        <v>0</v>
      </c>
      <c r="C474">
        <f t="shared" ca="1" si="28"/>
        <v>5</v>
      </c>
      <c r="D474" t="str" cm="1">
        <f t="array" aca="1" ref="D474" ca="1">CELL("nomfichier",INDIRECT(A474))</f>
        <v>G:\SCPE\sdc\bq\6 - Mentions valorisantes\Certification environnementale\TEXTES_REGLEMENTATION_CE\Plans_contrôle et grilles\Grille audit niveau 3\Grille d'audit v1.11\[grille-audit-hvev4-v1.11-vf.xlsx]Surfaces_Horti</v>
      </c>
      <c r="E474">
        <f t="shared" ca="1" si="29"/>
        <v>200</v>
      </c>
      <c r="F474">
        <f t="shared" ca="1" si="30"/>
        <v>214</v>
      </c>
      <c r="G474" t="str">
        <f t="shared" ca="1" si="31"/>
        <v>Surfaces_Horti</v>
      </c>
      <c r="H474" cm="1">
        <f t="array" aca="1" ref="H474" ca="1">ROW(INDIRECT(A474))</f>
        <v>26</v>
      </c>
      <c r="I474" cm="1">
        <f t="array" aca="1" ref="I474" ca="1">COLUMN(INDIRECT(A474))</f>
        <v>14</v>
      </c>
      <c r="M474" t="str" cm="1">
        <f t="array" aca="1" ref="M474" ca="1">IF(AND(J474="O",ISBLANK(INDIRECT(A474))),"Valeur obligatoire non renseignée","")</f>
        <v/>
      </c>
    </row>
    <row r="475" spans="1:13" x14ac:dyDescent="0.25">
      <c r="A475" s="91" t="s">
        <v>3200</v>
      </c>
      <c r="B475" cm="1">
        <f t="array" aca="1" ref="B475" ca="1">INDIRECT(A475)</f>
        <v>0</v>
      </c>
      <c r="C475">
        <f t="shared" ca="1" si="28"/>
        <v>5</v>
      </c>
      <c r="D475" t="str" cm="1">
        <f t="array" aca="1" ref="D475" ca="1">CELL("nomfichier",INDIRECT(A475))</f>
        <v>G:\SCPE\sdc\bq\6 - Mentions valorisantes\Certification environnementale\TEXTES_REGLEMENTATION_CE\Plans_contrôle et grilles\Grille audit niveau 3\Grille d'audit v1.11\[grille-audit-hvev4-v1.11-vf.xlsx]Surfaces_Horti</v>
      </c>
      <c r="E475">
        <f t="shared" ca="1" si="29"/>
        <v>200</v>
      </c>
      <c r="F475">
        <f t="shared" ca="1" si="30"/>
        <v>214</v>
      </c>
      <c r="G475" t="str">
        <f t="shared" ca="1" si="31"/>
        <v>Surfaces_Horti</v>
      </c>
      <c r="H475" cm="1">
        <f t="array" aca="1" ref="H475" ca="1">ROW(INDIRECT(A475))</f>
        <v>27</v>
      </c>
      <c r="I475" cm="1">
        <f t="array" aca="1" ref="I475" ca="1">COLUMN(INDIRECT(A475))</f>
        <v>2</v>
      </c>
      <c r="M475" t="str" cm="1">
        <f t="array" aca="1" ref="M475" ca="1">IF(AND(J475="O",ISBLANK(INDIRECT(A475))),"Valeur obligatoire non renseignée","")</f>
        <v/>
      </c>
    </row>
    <row r="476" spans="1:13" x14ac:dyDescent="0.25">
      <c r="A476" s="91" t="s">
        <v>3227</v>
      </c>
      <c r="B476" cm="1">
        <f t="array" aca="1" ref="B476" ca="1">INDIRECT(A476)</f>
        <v>0</v>
      </c>
      <c r="C476">
        <f t="shared" ca="1" si="28"/>
        <v>5</v>
      </c>
      <c r="D476" t="str" cm="1">
        <f t="array" aca="1" ref="D476" ca="1">CELL("nomfichier",INDIRECT(A476))</f>
        <v>G:\SCPE\sdc\bq\6 - Mentions valorisantes\Certification environnementale\TEXTES_REGLEMENTATION_CE\Plans_contrôle et grilles\Grille audit niveau 3\Grille d'audit v1.11\[grille-audit-hvev4-v1.11-vf.xlsx]Surfaces_Horti</v>
      </c>
      <c r="E476">
        <f t="shared" ca="1" si="29"/>
        <v>200</v>
      </c>
      <c r="F476">
        <f t="shared" ca="1" si="30"/>
        <v>214</v>
      </c>
      <c r="G476" t="str">
        <f t="shared" ca="1" si="31"/>
        <v>Surfaces_Horti</v>
      </c>
      <c r="H476" cm="1">
        <f t="array" aca="1" ref="H476" ca="1">ROW(INDIRECT(A476))</f>
        <v>27</v>
      </c>
      <c r="I476" cm="1">
        <f t="array" aca="1" ref="I476" ca="1">COLUMN(INDIRECT(A476))</f>
        <v>3</v>
      </c>
      <c r="M476" t="str" cm="1">
        <f t="array" aca="1" ref="M476" ca="1">IF(AND(J476="O",ISBLANK(INDIRECT(A476))),"Valeur obligatoire non renseignée","")</f>
        <v/>
      </c>
    </row>
    <row r="477" spans="1:13" x14ac:dyDescent="0.25">
      <c r="A477" s="91" t="s">
        <v>3254</v>
      </c>
      <c r="B477" cm="1">
        <f t="array" aca="1" ref="B477" ca="1">INDIRECT(A477)</f>
        <v>0</v>
      </c>
      <c r="C477">
        <f t="shared" ca="1" si="28"/>
        <v>5</v>
      </c>
      <c r="D477" t="str" cm="1">
        <f t="array" aca="1" ref="D477" ca="1">CELL("nomfichier",INDIRECT(A477))</f>
        <v>G:\SCPE\sdc\bq\6 - Mentions valorisantes\Certification environnementale\TEXTES_REGLEMENTATION_CE\Plans_contrôle et grilles\Grille audit niveau 3\Grille d'audit v1.11\[grille-audit-hvev4-v1.11-vf.xlsx]Surfaces_Horti</v>
      </c>
      <c r="E477">
        <f t="shared" ca="1" si="29"/>
        <v>200</v>
      </c>
      <c r="F477">
        <f t="shared" ca="1" si="30"/>
        <v>214</v>
      </c>
      <c r="G477" t="str">
        <f t="shared" ca="1" si="31"/>
        <v>Surfaces_Horti</v>
      </c>
      <c r="H477" cm="1">
        <f t="array" aca="1" ref="H477" ca="1">ROW(INDIRECT(A477))</f>
        <v>27</v>
      </c>
      <c r="I477" cm="1">
        <f t="array" aca="1" ref="I477" ca="1">COLUMN(INDIRECT(A477))</f>
        <v>4</v>
      </c>
      <c r="M477" t="str" cm="1">
        <f t="array" aca="1" ref="M477" ca="1">IF(AND(J477="O",ISBLANK(INDIRECT(A477))),"Valeur obligatoire non renseignée","")</f>
        <v/>
      </c>
    </row>
    <row r="478" spans="1:13" x14ac:dyDescent="0.25">
      <c r="A478" s="91" t="s">
        <v>3281</v>
      </c>
      <c r="B478" cm="1">
        <f t="array" aca="1" ref="B478" ca="1">INDIRECT(A478)</f>
        <v>0</v>
      </c>
      <c r="C478">
        <f t="shared" ca="1" si="28"/>
        <v>5</v>
      </c>
      <c r="D478" t="str" cm="1">
        <f t="array" aca="1" ref="D478" ca="1">CELL("nomfichier",INDIRECT(A478))</f>
        <v>G:\SCPE\sdc\bq\6 - Mentions valorisantes\Certification environnementale\TEXTES_REGLEMENTATION_CE\Plans_contrôle et grilles\Grille audit niveau 3\Grille d'audit v1.11\[grille-audit-hvev4-v1.11-vf.xlsx]Surfaces_Horti</v>
      </c>
      <c r="E478">
        <f t="shared" ca="1" si="29"/>
        <v>200</v>
      </c>
      <c r="F478">
        <f t="shared" ca="1" si="30"/>
        <v>214</v>
      </c>
      <c r="G478" t="str">
        <f t="shared" ca="1" si="31"/>
        <v>Surfaces_Horti</v>
      </c>
      <c r="H478" cm="1">
        <f t="array" aca="1" ref="H478" ca="1">ROW(INDIRECT(A478))</f>
        <v>27</v>
      </c>
      <c r="I478" cm="1">
        <f t="array" aca="1" ref="I478" ca="1">COLUMN(INDIRECT(A478))</f>
        <v>5</v>
      </c>
      <c r="M478" t="str" cm="1">
        <f t="array" aca="1" ref="M478" ca="1">IF(AND(J478="O",ISBLANK(INDIRECT(A478))),"Valeur obligatoire non renseignée","")</f>
        <v/>
      </c>
    </row>
    <row r="479" spans="1:13" x14ac:dyDescent="0.25">
      <c r="A479" s="91" t="s">
        <v>3308</v>
      </c>
      <c r="B479" cm="1">
        <f t="array" aca="1" ref="B479" ca="1">INDIRECT(A479)</f>
        <v>0</v>
      </c>
      <c r="C479">
        <f t="shared" ca="1" si="28"/>
        <v>5</v>
      </c>
      <c r="D479" t="str" cm="1">
        <f t="array" aca="1" ref="D479" ca="1">CELL("nomfichier",INDIRECT(A479))</f>
        <v>G:\SCPE\sdc\bq\6 - Mentions valorisantes\Certification environnementale\TEXTES_REGLEMENTATION_CE\Plans_contrôle et grilles\Grille audit niveau 3\Grille d'audit v1.11\[grille-audit-hvev4-v1.11-vf.xlsx]Surfaces_Horti</v>
      </c>
      <c r="E479">
        <f t="shared" ca="1" si="29"/>
        <v>200</v>
      </c>
      <c r="F479">
        <f t="shared" ca="1" si="30"/>
        <v>214</v>
      </c>
      <c r="G479" t="str">
        <f t="shared" ca="1" si="31"/>
        <v>Surfaces_Horti</v>
      </c>
      <c r="H479" cm="1">
        <f t="array" aca="1" ref="H479" ca="1">ROW(INDIRECT(A479))</f>
        <v>27</v>
      </c>
      <c r="I479" cm="1">
        <f t="array" aca="1" ref="I479" ca="1">COLUMN(INDIRECT(A479))</f>
        <v>6</v>
      </c>
      <c r="M479" t="str" cm="1">
        <f t="array" aca="1" ref="M479" ca="1">IF(AND(J479="O",ISBLANK(INDIRECT(A479))),"Valeur obligatoire non renseignée","")</f>
        <v/>
      </c>
    </row>
    <row r="480" spans="1:13" x14ac:dyDescent="0.25">
      <c r="A480" s="91" t="s">
        <v>3335</v>
      </c>
      <c r="B480" cm="1">
        <f t="array" aca="1" ref="B480" ca="1">INDIRECT(A480)</f>
        <v>0</v>
      </c>
      <c r="C480">
        <f t="shared" ca="1" si="28"/>
        <v>5</v>
      </c>
      <c r="D480" t="str" cm="1">
        <f t="array" aca="1" ref="D480" ca="1">CELL("nomfichier",INDIRECT(A480))</f>
        <v>G:\SCPE\sdc\bq\6 - Mentions valorisantes\Certification environnementale\TEXTES_REGLEMENTATION_CE\Plans_contrôle et grilles\Grille audit niveau 3\Grille d'audit v1.11\[grille-audit-hvev4-v1.11-vf.xlsx]Surfaces_Horti</v>
      </c>
      <c r="E480">
        <f t="shared" ca="1" si="29"/>
        <v>200</v>
      </c>
      <c r="F480">
        <f t="shared" ca="1" si="30"/>
        <v>214</v>
      </c>
      <c r="G480" t="str">
        <f t="shared" ca="1" si="31"/>
        <v>Surfaces_Horti</v>
      </c>
      <c r="H480" cm="1">
        <f t="array" aca="1" ref="H480" ca="1">ROW(INDIRECT(A480))</f>
        <v>27</v>
      </c>
      <c r="I480" cm="1">
        <f t="array" aca="1" ref="I480" ca="1">COLUMN(INDIRECT(A480))</f>
        <v>7</v>
      </c>
      <c r="M480" t="str" cm="1">
        <f t="array" aca="1" ref="M480" ca="1">IF(AND(J480="O",ISBLANK(INDIRECT(A480))),"Valeur obligatoire non renseignée","")</f>
        <v/>
      </c>
    </row>
    <row r="481" spans="1:13" x14ac:dyDescent="0.25">
      <c r="A481" s="91" t="s">
        <v>3362</v>
      </c>
      <c r="B481" cm="1">
        <f t="array" aca="1" ref="B481" ca="1">INDIRECT(A481)</f>
        <v>0</v>
      </c>
      <c r="C481">
        <f t="shared" ca="1" si="28"/>
        <v>5</v>
      </c>
      <c r="D481" t="str" cm="1">
        <f t="array" aca="1" ref="D481" ca="1">CELL("nomfichier",INDIRECT(A481))</f>
        <v>G:\SCPE\sdc\bq\6 - Mentions valorisantes\Certification environnementale\TEXTES_REGLEMENTATION_CE\Plans_contrôle et grilles\Grille audit niveau 3\Grille d'audit v1.11\[grille-audit-hvev4-v1.11-vf.xlsx]Surfaces_Horti</v>
      </c>
      <c r="E481">
        <f t="shared" ca="1" si="29"/>
        <v>200</v>
      </c>
      <c r="F481">
        <f t="shared" ca="1" si="30"/>
        <v>214</v>
      </c>
      <c r="G481" t="str">
        <f t="shared" ca="1" si="31"/>
        <v>Surfaces_Horti</v>
      </c>
      <c r="H481" cm="1">
        <f t="array" aca="1" ref="H481" ca="1">ROW(INDIRECT(A481))</f>
        <v>27</v>
      </c>
      <c r="I481" cm="1">
        <f t="array" aca="1" ref="I481" ca="1">COLUMN(INDIRECT(A481))</f>
        <v>8</v>
      </c>
      <c r="M481" t="str" cm="1">
        <f t="array" aca="1" ref="M481" ca="1">IF(AND(J481="O",ISBLANK(INDIRECT(A481))),"Valeur obligatoire non renseignée","")</f>
        <v/>
      </c>
    </row>
    <row r="482" spans="1:13" x14ac:dyDescent="0.25">
      <c r="A482" s="91" t="s">
        <v>3389</v>
      </c>
      <c r="B482" cm="1">
        <f t="array" aca="1" ref="B482" ca="1">INDIRECT(A482)</f>
        <v>0</v>
      </c>
      <c r="C482">
        <f t="shared" ca="1" si="28"/>
        <v>5</v>
      </c>
      <c r="D482" t="str" cm="1">
        <f t="array" aca="1" ref="D482" ca="1">CELL("nomfichier",INDIRECT(A482))</f>
        <v>G:\SCPE\sdc\bq\6 - Mentions valorisantes\Certification environnementale\TEXTES_REGLEMENTATION_CE\Plans_contrôle et grilles\Grille audit niveau 3\Grille d'audit v1.11\[grille-audit-hvev4-v1.11-vf.xlsx]Surfaces_Horti</v>
      </c>
      <c r="E482">
        <f t="shared" ca="1" si="29"/>
        <v>200</v>
      </c>
      <c r="F482">
        <f t="shared" ca="1" si="30"/>
        <v>214</v>
      </c>
      <c r="G482" t="str">
        <f t="shared" ca="1" si="31"/>
        <v>Surfaces_Horti</v>
      </c>
      <c r="H482" cm="1">
        <f t="array" aca="1" ref="H482" ca="1">ROW(INDIRECT(A482))</f>
        <v>27</v>
      </c>
      <c r="I482" cm="1">
        <f t="array" aca="1" ref="I482" ca="1">COLUMN(INDIRECT(A482))</f>
        <v>9</v>
      </c>
      <c r="M482" t="str" cm="1">
        <f t="array" aca="1" ref="M482" ca="1">IF(AND(J482="O",ISBLANK(INDIRECT(A482))),"Valeur obligatoire non renseignée","")</f>
        <v/>
      </c>
    </row>
    <row r="483" spans="1:13" x14ac:dyDescent="0.25">
      <c r="A483" s="91" t="s">
        <v>3416</v>
      </c>
      <c r="B483" cm="1">
        <f t="array" aca="1" ref="B483" ca="1">INDIRECT(A483)</f>
        <v>0</v>
      </c>
      <c r="C483">
        <f t="shared" ca="1" si="28"/>
        <v>5</v>
      </c>
      <c r="D483" t="str" cm="1">
        <f t="array" aca="1" ref="D483" ca="1">CELL("nomfichier",INDIRECT(A483))</f>
        <v>G:\SCPE\sdc\bq\6 - Mentions valorisantes\Certification environnementale\TEXTES_REGLEMENTATION_CE\Plans_contrôle et grilles\Grille audit niveau 3\Grille d'audit v1.11\[grille-audit-hvev4-v1.11-vf.xlsx]Surfaces_Horti</v>
      </c>
      <c r="E483">
        <f t="shared" ca="1" si="29"/>
        <v>200</v>
      </c>
      <c r="F483">
        <f t="shared" ca="1" si="30"/>
        <v>214</v>
      </c>
      <c r="G483" t="str">
        <f t="shared" ca="1" si="31"/>
        <v>Surfaces_Horti</v>
      </c>
      <c r="H483" cm="1">
        <f t="array" aca="1" ref="H483" ca="1">ROW(INDIRECT(A483))</f>
        <v>27</v>
      </c>
      <c r="I483" cm="1">
        <f t="array" aca="1" ref="I483" ca="1">COLUMN(INDIRECT(A483))</f>
        <v>10</v>
      </c>
      <c r="M483" t="str" cm="1">
        <f t="array" aca="1" ref="M483" ca="1">IF(AND(J483="O",ISBLANK(INDIRECT(A483))),"Valeur obligatoire non renseignée","")</f>
        <v/>
      </c>
    </row>
    <row r="484" spans="1:13" x14ac:dyDescent="0.25">
      <c r="A484" s="91" t="s">
        <v>3443</v>
      </c>
      <c r="B484" cm="1">
        <f t="array" aca="1" ref="B484" ca="1">INDIRECT(A484)</f>
        <v>0</v>
      </c>
      <c r="C484">
        <f t="shared" ca="1" si="28"/>
        <v>5</v>
      </c>
      <c r="D484" t="str" cm="1">
        <f t="array" aca="1" ref="D484" ca="1">CELL("nomfichier",INDIRECT(A484))</f>
        <v>G:\SCPE\sdc\bq\6 - Mentions valorisantes\Certification environnementale\TEXTES_REGLEMENTATION_CE\Plans_contrôle et grilles\Grille audit niveau 3\Grille d'audit v1.11\[grille-audit-hvev4-v1.11-vf.xlsx]Surfaces_Horti</v>
      </c>
      <c r="E484">
        <f t="shared" ca="1" si="29"/>
        <v>200</v>
      </c>
      <c r="F484">
        <f t="shared" ca="1" si="30"/>
        <v>214</v>
      </c>
      <c r="G484" t="str">
        <f t="shared" ca="1" si="31"/>
        <v>Surfaces_Horti</v>
      </c>
      <c r="H484" cm="1">
        <f t="array" aca="1" ref="H484" ca="1">ROW(INDIRECT(A484))</f>
        <v>27</v>
      </c>
      <c r="I484" cm="1">
        <f t="array" aca="1" ref="I484" ca="1">COLUMN(INDIRECT(A484))</f>
        <v>11</v>
      </c>
      <c r="M484" t="str" cm="1">
        <f t="array" aca="1" ref="M484" ca="1">IF(AND(J484="O",ISBLANK(INDIRECT(A484))),"Valeur obligatoire non renseignée","")</f>
        <v/>
      </c>
    </row>
    <row r="485" spans="1:13" x14ac:dyDescent="0.25">
      <c r="A485" s="91" t="s">
        <v>3470</v>
      </c>
      <c r="B485" cm="1">
        <f t="array" aca="1" ref="B485" ca="1">INDIRECT(A485)</f>
        <v>0</v>
      </c>
      <c r="C485">
        <f t="shared" ca="1" si="28"/>
        <v>5</v>
      </c>
      <c r="D485" t="str" cm="1">
        <f t="array" aca="1" ref="D485" ca="1">CELL("nomfichier",INDIRECT(A485))</f>
        <v>G:\SCPE\sdc\bq\6 - Mentions valorisantes\Certification environnementale\TEXTES_REGLEMENTATION_CE\Plans_contrôle et grilles\Grille audit niveau 3\Grille d'audit v1.11\[grille-audit-hvev4-v1.11-vf.xlsx]Surfaces_Horti</v>
      </c>
      <c r="E485">
        <f t="shared" ca="1" si="29"/>
        <v>200</v>
      </c>
      <c r="F485">
        <f t="shared" ca="1" si="30"/>
        <v>214</v>
      </c>
      <c r="G485" t="str">
        <f t="shared" ca="1" si="31"/>
        <v>Surfaces_Horti</v>
      </c>
      <c r="H485" cm="1">
        <f t="array" aca="1" ref="H485" ca="1">ROW(INDIRECT(A485))</f>
        <v>27</v>
      </c>
      <c r="I485" cm="1">
        <f t="array" aca="1" ref="I485" ca="1">COLUMN(INDIRECT(A485))</f>
        <v>12</v>
      </c>
      <c r="M485" t="str" cm="1">
        <f t="array" aca="1" ref="M485" ca="1">IF(AND(J485="O",ISBLANK(INDIRECT(A485))),"Valeur obligatoire non renseignée","")</f>
        <v/>
      </c>
    </row>
    <row r="486" spans="1:13" x14ac:dyDescent="0.25">
      <c r="A486" s="91" t="s">
        <v>3497</v>
      </c>
      <c r="B486" cm="1">
        <f t="array" aca="1" ref="B486" ca="1">INDIRECT(A486)</f>
        <v>0</v>
      </c>
      <c r="C486">
        <f t="shared" ca="1" si="28"/>
        <v>5</v>
      </c>
      <c r="D486" t="str" cm="1">
        <f t="array" aca="1" ref="D486" ca="1">CELL("nomfichier",INDIRECT(A486))</f>
        <v>G:\SCPE\sdc\bq\6 - Mentions valorisantes\Certification environnementale\TEXTES_REGLEMENTATION_CE\Plans_contrôle et grilles\Grille audit niveau 3\Grille d'audit v1.11\[grille-audit-hvev4-v1.11-vf.xlsx]Surfaces_Horti</v>
      </c>
      <c r="E486">
        <f t="shared" ca="1" si="29"/>
        <v>200</v>
      </c>
      <c r="F486">
        <f t="shared" ca="1" si="30"/>
        <v>214</v>
      </c>
      <c r="G486" t="str">
        <f t="shared" ca="1" si="31"/>
        <v>Surfaces_Horti</v>
      </c>
      <c r="H486" cm="1">
        <f t="array" aca="1" ref="H486" ca="1">ROW(INDIRECT(A486))</f>
        <v>27</v>
      </c>
      <c r="I486" cm="1">
        <f t="array" aca="1" ref="I486" ca="1">COLUMN(INDIRECT(A486))</f>
        <v>13</v>
      </c>
      <c r="M486" t="str" cm="1">
        <f t="array" aca="1" ref="M486" ca="1">IF(AND(J486="O",ISBLANK(INDIRECT(A486))),"Valeur obligatoire non renseignée","")</f>
        <v/>
      </c>
    </row>
    <row r="487" spans="1:13" x14ac:dyDescent="0.25">
      <c r="A487" s="91" t="s">
        <v>3524</v>
      </c>
      <c r="B487" cm="1">
        <f t="array" aca="1" ref="B487" ca="1">INDIRECT(A487)</f>
        <v>0</v>
      </c>
      <c r="C487">
        <f t="shared" ca="1" si="28"/>
        <v>5</v>
      </c>
      <c r="D487" t="str" cm="1">
        <f t="array" aca="1" ref="D487" ca="1">CELL("nomfichier",INDIRECT(A487))</f>
        <v>G:\SCPE\sdc\bq\6 - Mentions valorisantes\Certification environnementale\TEXTES_REGLEMENTATION_CE\Plans_contrôle et grilles\Grille audit niveau 3\Grille d'audit v1.11\[grille-audit-hvev4-v1.11-vf.xlsx]Surfaces_Horti</v>
      </c>
      <c r="E487">
        <f t="shared" ca="1" si="29"/>
        <v>200</v>
      </c>
      <c r="F487">
        <f t="shared" ca="1" si="30"/>
        <v>214</v>
      </c>
      <c r="G487" t="str">
        <f t="shared" ca="1" si="31"/>
        <v>Surfaces_Horti</v>
      </c>
      <c r="H487" cm="1">
        <f t="array" aca="1" ref="H487" ca="1">ROW(INDIRECT(A487))</f>
        <v>27</v>
      </c>
      <c r="I487" cm="1">
        <f t="array" aca="1" ref="I487" ca="1">COLUMN(INDIRECT(A487))</f>
        <v>14</v>
      </c>
      <c r="M487" t="str" cm="1">
        <f t="array" aca="1" ref="M487" ca="1">IF(AND(J487="O",ISBLANK(INDIRECT(A487))),"Valeur obligatoire non renseignée","")</f>
        <v/>
      </c>
    </row>
    <row r="488" spans="1:13" x14ac:dyDescent="0.25">
      <c r="A488" s="91" t="s">
        <v>3201</v>
      </c>
      <c r="B488" cm="1">
        <f t="array" aca="1" ref="B488" ca="1">INDIRECT(A488)</f>
        <v>0</v>
      </c>
      <c r="C488">
        <f t="shared" ca="1" si="28"/>
        <v>5</v>
      </c>
      <c r="D488" t="str" cm="1">
        <f t="array" aca="1" ref="D488" ca="1">CELL("nomfichier",INDIRECT(A488))</f>
        <v>G:\SCPE\sdc\bq\6 - Mentions valorisantes\Certification environnementale\TEXTES_REGLEMENTATION_CE\Plans_contrôle et grilles\Grille audit niveau 3\Grille d'audit v1.11\[grille-audit-hvev4-v1.11-vf.xlsx]Surfaces_Horti</v>
      </c>
      <c r="E488">
        <f t="shared" ca="1" si="29"/>
        <v>200</v>
      </c>
      <c r="F488">
        <f t="shared" ca="1" si="30"/>
        <v>214</v>
      </c>
      <c r="G488" t="str">
        <f t="shared" ca="1" si="31"/>
        <v>Surfaces_Horti</v>
      </c>
      <c r="H488" cm="1">
        <f t="array" aca="1" ref="H488" ca="1">ROW(INDIRECT(A488))</f>
        <v>28</v>
      </c>
      <c r="I488" cm="1">
        <f t="array" aca="1" ref="I488" ca="1">COLUMN(INDIRECT(A488))</f>
        <v>2</v>
      </c>
      <c r="M488" t="str" cm="1">
        <f t="array" aca="1" ref="M488" ca="1">IF(AND(J488="O",ISBLANK(INDIRECT(A488))),"Valeur obligatoire non renseignée","")</f>
        <v/>
      </c>
    </row>
    <row r="489" spans="1:13" x14ac:dyDescent="0.25">
      <c r="A489" s="91" t="s">
        <v>3228</v>
      </c>
      <c r="B489" cm="1">
        <f t="array" aca="1" ref="B489" ca="1">INDIRECT(A489)</f>
        <v>0</v>
      </c>
      <c r="C489">
        <f t="shared" ca="1" si="28"/>
        <v>5</v>
      </c>
      <c r="D489" t="str" cm="1">
        <f t="array" aca="1" ref="D489" ca="1">CELL("nomfichier",INDIRECT(A489))</f>
        <v>G:\SCPE\sdc\bq\6 - Mentions valorisantes\Certification environnementale\TEXTES_REGLEMENTATION_CE\Plans_contrôle et grilles\Grille audit niveau 3\Grille d'audit v1.11\[grille-audit-hvev4-v1.11-vf.xlsx]Surfaces_Horti</v>
      </c>
      <c r="E489">
        <f t="shared" ca="1" si="29"/>
        <v>200</v>
      </c>
      <c r="F489">
        <f t="shared" ca="1" si="30"/>
        <v>214</v>
      </c>
      <c r="G489" t="str">
        <f t="shared" ca="1" si="31"/>
        <v>Surfaces_Horti</v>
      </c>
      <c r="H489" cm="1">
        <f t="array" aca="1" ref="H489" ca="1">ROW(INDIRECT(A489))</f>
        <v>28</v>
      </c>
      <c r="I489" cm="1">
        <f t="array" aca="1" ref="I489" ca="1">COLUMN(INDIRECT(A489))</f>
        <v>3</v>
      </c>
      <c r="M489" t="str" cm="1">
        <f t="array" aca="1" ref="M489" ca="1">IF(AND(J489="O",ISBLANK(INDIRECT(A489))),"Valeur obligatoire non renseignée","")</f>
        <v/>
      </c>
    </row>
    <row r="490" spans="1:13" x14ac:dyDescent="0.25">
      <c r="A490" s="91" t="s">
        <v>3255</v>
      </c>
      <c r="B490" cm="1">
        <f t="array" aca="1" ref="B490" ca="1">INDIRECT(A490)</f>
        <v>0</v>
      </c>
      <c r="C490">
        <f t="shared" ca="1" si="28"/>
        <v>5</v>
      </c>
      <c r="D490" t="str" cm="1">
        <f t="array" aca="1" ref="D490" ca="1">CELL("nomfichier",INDIRECT(A490))</f>
        <v>G:\SCPE\sdc\bq\6 - Mentions valorisantes\Certification environnementale\TEXTES_REGLEMENTATION_CE\Plans_contrôle et grilles\Grille audit niveau 3\Grille d'audit v1.11\[grille-audit-hvev4-v1.11-vf.xlsx]Surfaces_Horti</v>
      </c>
      <c r="E490">
        <f t="shared" ca="1" si="29"/>
        <v>200</v>
      </c>
      <c r="F490">
        <f t="shared" ca="1" si="30"/>
        <v>214</v>
      </c>
      <c r="G490" t="str">
        <f t="shared" ca="1" si="31"/>
        <v>Surfaces_Horti</v>
      </c>
      <c r="H490" cm="1">
        <f t="array" aca="1" ref="H490" ca="1">ROW(INDIRECT(A490))</f>
        <v>28</v>
      </c>
      <c r="I490" cm="1">
        <f t="array" aca="1" ref="I490" ca="1">COLUMN(INDIRECT(A490))</f>
        <v>4</v>
      </c>
      <c r="M490" t="str" cm="1">
        <f t="array" aca="1" ref="M490" ca="1">IF(AND(J490="O",ISBLANK(INDIRECT(A490))),"Valeur obligatoire non renseignée","")</f>
        <v/>
      </c>
    </row>
    <row r="491" spans="1:13" x14ac:dyDescent="0.25">
      <c r="A491" s="91" t="s">
        <v>3282</v>
      </c>
      <c r="B491" cm="1">
        <f t="array" aca="1" ref="B491" ca="1">INDIRECT(A491)</f>
        <v>0</v>
      </c>
      <c r="C491">
        <f t="shared" ca="1" si="28"/>
        <v>5</v>
      </c>
      <c r="D491" t="str" cm="1">
        <f t="array" aca="1" ref="D491" ca="1">CELL("nomfichier",INDIRECT(A491))</f>
        <v>G:\SCPE\sdc\bq\6 - Mentions valorisantes\Certification environnementale\TEXTES_REGLEMENTATION_CE\Plans_contrôle et grilles\Grille audit niveau 3\Grille d'audit v1.11\[grille-audit-hvev4-v1.11-vf.xlsx]Surfaces_Horti</v>
      </c>
      <c r="E491">
        <f t="shared" ca="1" si="29"/>
        <v>200</v>
      </c>
      <c r="F491">
        <f t="shared" ca="1" si="30"/>
        <v>214</v>
      </c>
      <c r="G491" t="str">
        <f t="shared" ca="1" si="31"/>
        <v>Surfaces_Horti</v>
      </c>
      <c r="H491" cm="1">
        <f t="array" aca="1" ref="H491" ca="1">ROW(INDIRECT(A491))</f>
        <v>28</v>
      </c>
      <c r="I491" cm="1">
        <f t="array" aca="1" ref="I491" ca="1">COLUMN(INDIRECT(A491))</f>
        <v>5</v>
      </c>
      <c r="M491" t="str" cm="1">
        <f t="array" aca="1" ref="M491" ca="1">IF(AND(J491="O",ISBLANK(INDIRECT(A491))),"Valeur obligatoire non renseignée","")</f>
        <v/>
      </c>
    </row>
    <row r="492" spans="1:13" x14ac:dyDescent="0.25">
      <c r="A492" s="91" t="s">
        <v>3309</v>
      </c>
      <c r="B492" cm="1">
        <f t="array" aca="1" ref="B492" ca="1">INDIRECT(A492)</f>
        <v>0</v>
      </c>
      <c r="C492">
        <f t="shared" ca="1" si="28"/>
        <v>5</v>
      </c>
      <c r="D492" t="str" cm="1">
        <f t="array" aca="1" ref="D492" ca="1">CELL("nomfichier",INDIRECT(A492))</f>
        <v>G:\SCPE\sdc\bq\6 - Mentions valorisantes\Certification environnementale\TEXTES_REGLEMENTATION_CE\Plans_contrôle et grilles\Grille audit niveau 3\Grille d'audit v1.11\[grille-audit-hvev4-v1.11-vf.xlsx]Surfaces_Horti</v>
      </c>
      <c r="E492">
        <f t="shared" ca="1" si="29"/>
        <v>200</v>
      </c>
      <c r="F492">
        <f t="shared" ca="1" si="30"/>
        <v>214</v>
      </c>
      <c r="G492" t="str">
        <f t="shared" ca="1" si="31"/>
        <v>Surfaces_Horti</v>
      </c>
      <c r="H492" cm="1">
        <f t="array" aca="1" ref="H492" ca="1">ROW(INDIRECT(A492))</f>
        <v>28</v>
      </c>
      <c r="I492" cm="1">
        <f t="array" aca="1" ref="I492" ca="1">COLUMN(INDIRECT(A492))</f>
        <v>6</v>
      </c>
      <c r="M492" t="str" cm="1">
        <f t="array" aca="1" ref="M492" ca="1">IF(AND(J492="O",ISBLANK(INDIRECT(A492))),"Valeur obligatoire non renseignée","")</f>
        <v/>
      </c>
    </row>
    <row r="493" spans="1:13" x14ac:dyDescent="0.25">
      <c r="A493" s="91" t="s">
        <v>3336</v>
      </c>
      <c r="B493" cm="1">
        <f t="array" aca="1" ref="B493" ca="1">INDIRECT(A493)</f>
        <v>0</v>
      </c>
      <c r="C493">
        <f t="shared" ca="1" si="28"/>
        <v>5</v>
      </c>
      <c r="D493" t="str" cm="1">
        <f t="array" aca="1" ref="D493" ca="1">CELL("nomfichier",INDIRECT(A493))</f>
        <v>G:\SCPE\sdc\bq\6 - Mentions valorisantes\Certification environnementale\TEXTES_REGLEMENTATION_CE\Plans_contrôle et grilles\Grille audit niveau 3\Grille d'audit v1.11\[grille-audit-hvev4-v1.11-vf.xlsx]Surfaces_Horti</v>
      </c>
      <c r="E493">
        <f t="shared" ca="1" si="29"/>
        <v>200</v>
      </c>
      <c r="F493">
        <f t="shared" ca="1" si="30"/>
        <v>214</v>
      </c>
      <c r="G493" t="str">
        <f t="shared" ca="1" si="31"/>
        <v>Surfaces_Horti</v>
      </c>
      <c r="H493" cm="1">
        <f t="array" aca="1" ref="H493" ca="1">ROW(INDIRECT(A493))</f>
        <v>28</v>
      </c>
      <c r="I493" cm="1">
        <f t="array" aca="1" ref="I493" ca="1">COLUMN(INDIRECT(A493))</f>
        <v>7</v>
      </c>
      <c r="M493" t="str" cm="1">
        <f t="array" aca="1" ref="M493" ca="1">IF(AND(J493="O",ISBLANK(INDIRECT(A493))),"Valeur obligatoire non renseignée","")</f>
        <v/>
      </c>
    </row>
    <row r="494" spans="1:13" x14ac:dyDescent="0.25">
      <c r="A494" s="91" t="s">
        <v>3363</v>
      </c>
      <c r="B494" cm="1">
        <f t="array" aca="1" ref="B494" ca="1">INDIRECT(A494)</f>
        <v>0</v>
      </c>
      <c r="C494">
        <f t="shared" ca="1" si="28"/>
        <v>5</v>
      </c>
      <c r="D494" t="str" cm="1">
        <f t="array" aca="1" ref="D494" ca="1">CELL("nomfichier",INDIRECT(A494))</f>
        <v>G:\SCPE\sdc\bq\6 - Mentions valorisantes\Certification environnementale\TEXTES_REGLEMENTATION_CE\Plans_contrôle et grilles\Grille audit niveau 3\Grille d'audit v1.11\[grille-audit-hvev4-v1.11-vf.xlsx]Surfaces_Horti</v>
      </c>
      <c r="E494">
        <f t="shared" ca="1" si="29"/>
        <v>200</v>
      </c>
      <c r="F494">
        <f t="shared" ca="1" si="30"/>
        <v>214</v>
      </c>
      <c r="G494" t="str">
        <f t="shared" ca="1" si="31"/>
        <v>Surfaces_Horti</v>
      </c>
      <c r="H494" cm="1">
        <f t="array" aca="1" ref="H494" ca="1">ROW(INDIRECT(A494))</f>
        <v>28</v>
      </c>
      <c r="I494" cm="1">
        <f t="array" aca="1" ref="I494" ca="1">COLUMN(INDIRECT(A494))</f>
        <v>8</v>
      </c>
      <c r="M494" t="str" cm="1">
        <f t="array" aca="1" ref="M494" ca="1">IF(AND(J494="O",ISBLANK(INDIRECT(A494))),"Valeur obligatoire non renseignée","")</f>
        <v/>
      </c>
    </row>
    <row r="495" spans="1:13" x14ac:dyDescent="0.25">
      <c r="A495" s="91" t="s">
        <v>3390</v>
      </c>
      <c r="B495" cm="1">
        <f t="array" aca="1" ref="B495" ca="1">INDIRECT(A495)</f>
        <v>0</v>
      </c>
      <c r="C495">
        <f t="shared" ca="1" si="28"/>
        <v>5</v>
      </c>
      <c r="D495" t="str" cm="1">
        <f t="array" aca="1" ref="D495" ca="1">CELL("nomfichier",INDIRECT(A495))</f>
        <v>G:\SCPE\sdc\bq\6 - Mentions valorisantes\Certification environnementale\TEXTES_REGLEMENTATION_CE\Plans_contrôle et grilles\Grille audit niveau 3\Grille d'audit v1.11\[grille-audit-hvev4-v1.11-vf.xlsx]Surfaces_Horti</v>
      </c>
      <c r="E495">
        <f t="shared" ca="1" si="29"/>
        <v>200</v>
      </c>
      <c r="F495">
        <f t="shared" ca="1" si="30"/>
        <v>214</v>
      </c>
      <c r="G495" t="str">
        <f t="shared" ca="1" si="31"/>
        <v>Surfaces_Horti</v>
      </c>
      <c r="H495" cm="1">
        <f t="array" aca="1" ref="H495" ca="1">ROW(INDIRECT(A495))</f>
        <v>28</v>
      </c>
      <c r="I495" cm="1">
        <f t="array" aca="1" ref="I495" ca="1">COLUMN(INDIRECT(A495))</f>
        <v>9</v>
      </c>
      <c r="M495" t="str" cm="1">
        <f t="array" aca="1" ref="M495" ca="1">IF(AND(J495="O",ISBLANK(INDIRECT(A495))),"Valeur obligatoire non renseignée","")</f>
        <v/>
      </c>
    </row>
    <row r="496" spans="1:13" x14ac:dyDescent="0.25">
      <c r="A496" s="91" t="s">
        <v>3417</v>
      </c>
      <c r="B496" cm="1">
        <f t="array" aca="1" ref="B496" ca="1">INDIRECT(A496)</f>
        <v>0</v>
      </c>
      <c r="C496">
        <f t="shared" ca="1" si="28"/>
        <v>5</v>
      </c>
      <c r="D496" t="str" cm="1">
        <f t="array" aca="1" ref="D496" ca="1">CELL("nomfichier",INDIRECT(A496))</f>
        <v>G:\SCPE\sdc\bq\6 - Mentions valorisantes\Certification environnementale\TEXTES_REGLEMENTATION_CE\Plans_contrôle et grilles\Grille audit niveau 3\Grille d'audit v1.11\[grille-audit-hvev4-v1.11-vf.xlsx]Surfaces_Horti</v>
      </c>
      <c r="E496">
        <f t="shared" ca="1" si="29"/>
        <v>200</v>
      </c>
      <c r="F496">
        <f t="shared" ca="1" si="30"/>
        <v>214</v>
      </c>
      <c r="G496" t="str">
        <f t="shared" ca="1" si="31"/>
        <v>Surfaces_Horti</v>
      </c>
      <c r="H496" cm="1">
        <f t="array" aca="1" ref="H496" ca="1">ROW(INDIRECT(A496))</f>
        <v>28</v>
      </c>
      <c r="I496" cm="1">
        <f t="array" aca="1" ref="I496" ca="1">COLUMN(INDIRECT(A496))</f>
        <v>10</v>
      </c>
      <c r="M496" t="str" cm="1">
        <f t="array" aca="1" ref="M496" ca="1">IF(AND(J496="O",ISBLANK(INDIRECT(A496))),"Valeur obligatoire non renseignée","")</f>
        <v/>
      </c>
    </row>
    <row r="497" spans="1:13" x14ac:dyDescent="0.25">
      <c r="A497" s="91" t="s">
        <v>3444</v>
      </c>
      <c r="B497" cm="1">
        <f t="array" aca="1" ref="B497" ca="1">INDIRECT(A497)</f>
        <v>0</v>
      </c>
      <c r="C497">
        <f t="shared" ca="1" si="28"/>
        <v>5</v>
      </c>
      <c r="D497" t="str" cm="1">
        <f t="array" aca="1" ref="D497" ca="1">CELL("nomfichier",INDIRECT(A497))</f>
        <v>G:\SCPE\sdc\bq\6 - Mentions valorisantes\Certification environnementale\TEXTES_REGLEMENTATION_CE\Plans_contrôle et grilles\Grille audit niveau 3\Grille d'audit v1.11\[grille-audit-hvev4-v1.11-vf.xlsx]Surfaces_Horti</v>
      </c>
      <c r="E497">
        <f t="shared" ca="1" si="29"/>
        <v>200</v>
      </c>
      <c r="F497">
        <f t="shared" ca="1" si="30"/>
        <v>214</v>
      </c>
      <c r="G497" t="str">
        <f t="shared" ca="1" si="31"/>
        <v>Surfaces_Horti</v>
      </c>
      <c r="H497" cm="1">
        <f t="array" aca="1" ref="H497" ca="1">ROW(INDIRECT(A497))</f>
        <v>28</v>
      </c>
      <c r="I497" cm="1">
        <f t="array" aca="1" ref="I497" ca="1">COLUMN(INDIRECT(A497))</f>
        <v>11</v>
      </c>
      <c r="M497" t="str" cm="1">
        <f t="array" aca="1" ref="M497" ca="1">IF(AND(J497="O",ISBLANK(INDIRECT(A497))),"Valeur obligatoire non renseignée","")</f>
        <v/>
      </c>
    </row>
    <row r="498" spans="1:13" x14ac:dyDescent="0.25">
      <c r="A498" s="91" t="s">
        <v>3471</v>
      </c>
      <c r="B498" cm="1">
        <f t="array" aca="1" ref="B498" ca="1">INDIRECT(A498)</f>
        <v>0</v>
      </c>
      <c r="C498">
        <f t="shared" ca="1" si="28"/>
        <v>5</v>
      </c>
      <c r="D498" t="str" cm="1">
        <f t="array" aca="1" ref="D498" ca="1">CELL("nomfichier",INDIRECT(A498))</f>
        <v>G:\SCPE\sdc\bq\6 - Mentions valorisantes\Certification environnementale\TEXTES_REGLEMENTATION_CE\Plans_contrôle et grilles\Grille audit niveau 3\Grille d'audit v1.11\[grille-audit-hvev4-v1.11-vf.xlsx]Surfaces_Horti</v>
      </c>
      <c r="E498">
        <f t="shared" ca="1" si="29"/>
        <v>200</v>
      </c>
      <c r="F498">
        <f t="shared" ca="1" si="30"/>
        <v>214</v>
      </c>
      <c r="G498" t="str">
        <f t="shared" ca="1" si="31"/>
        <v>Surfaces_Horti</v>
      </c>
      <c r="H498" cm="1">
        <f t="array" aca="1" ref="H498" ca="1">ROW(INDIRECT(A498))</f>
        <v>28</v>
      </c>
      <c r="I498" cm="1">
        <f t="array" aca="1" ref="I498" ca="1">COLUMN(INDIRECT(A498))</f>
        <v>12</v>
      </c>
      <c r="M498" t="str" cm="1">
        <f t="array" aca="1" ref="M498" ca="1">IF(AND(J498="O",ISBLANK(INDIRECT(A498))),"Valeur obligatoire non renseignée","")</f>
        <v/>
      </c>
    </row>
    <row r="499" spans="1:13" x14ac:dyDescent="0.25">
      <c r="A499" s="91" t="s">
        <v>3498</v>
      </c>
      <c r="B499" cm="1">
        <f t="array" aca="1" ref="B499" ca="1">INDIRECT(A499)</f>
        <v>0</v>
      </c>
      <c r="C499">
        <f t="shared" ca="1" si="28"/>
        <v>5</v>
      </c>
      <c r="D499" t="str" cm="1">
        <f t="array" aca="1" ref="D499" ca="1">CELL("nomfichier",INDIRECT(A499))</f>
        <v>G:\SCPE\sdc\bq\6 - Mentions valorisantes\Certification environnementale\TEXTES_REGLEMENTATION_CE\Plans_contrôle et grilles\Grille audit niveau 3\Grille d'audit v1.11\[grille-audit-hvev4-v1.11-vf.xlsx]Surfaces_Horti</v>
      </c>
      <c r="E499">
        <f t="shared" ca="1" si="29"/>
        <v>200</v>
      </c>
      <c r="F499">
        <f t="shared" ca="1" si="30"/>
        <v>214</v>
      </c>
      <c r="G499" t="str">
        <f t="shared" ca="1" si="31"/>
        <v>Surfaces_Horti</v>
      </c>
      <c r="H499" cm="1">
        <f t="array" aca="1" ref="H499" ca="1">ROW(INDIRECT(A499))</f>
        <v>28</v>
      </c>
      <c r="I499" cm="1">
        <f t="array" aca="1" ref="I499" ca="1">COLUMN(INDIRECT(A499))</f>
        <v>13</v>
      </c>
      <c r="M499" t="str" cm="1">
        <f t="array" aca="1" ref="M499" ca="1">IF(AND(J499="O",ISBLANK(INDIRECT(A499))),"Valeur obligatoire non renseignée","")</f>
        <v/>
      </c>
    </row>
    <row r="500" spans="1:13" x14ac:dyDescent="0.25">
      <c r="A500" s="91" t="s">
        <v>3525</v>
      </c>
      <c r="B500" cm="1">
        <f t="array" aca="1" ref="B500" ca="1">INDIRECT(A500)</f>
        <v>0</v>
      </c>
      <c r="C500">
        <f t="shared" ca="1" si="28"/>
        <v>5</v>
      </c>
      <c r="D500" t="str" cm="1">
        <f t="array" aca="1" ref="D500" ca="1">CELL("nomfichier",INDIRECT(A500))</f>
        <v>G:\SCPE\sdc\bq\6 - Mentions valorisantes\Certification environnementale\TEXTES_REGLEMENTATION_CE\Plans_contrôle et grilles\Grille audit niveau 3\Grille d'audit v1.11\[grille-audit-hvev4-v1.11-vf.xlsx]Surfaces_Horti</v>
      </c>
      <c r="E500">
        <f t="shared" ca="1" si="29"/>
        <v>200</v>
      </c>
      <c r="F500">
        <f t="shared" ca="1" si="30"/>
        <v>214</v>
      </c>
      <c r="G500" t="str">
        <f t="shared" ca="1" si="31"/>
        <v>Surfaces_Horti</v>
      </c>
      <c r="H500" cm="1">
        <f t="array" aca="1" ref="H500" ca="1">ROW(INDIRECT(A500))</f>
        <v>28</v>
      </c>
      <c r="I500" cm="1">
        <f t="array" aca="1" ref="I500" ca="1">COLUMN(INDIRECT(A500))</f>
        <v>14</v>
      </c>
      <c r="M500" t="str" cm="1">
        <f t="array" aca="1" ref="M500" ca="1">IF(AND(J500="O",ISBLANK(INDIRECT(A500))),"Valeur obligatoire non renseignée","")</f>
        <v/>
      </c>
    </row>
    <row r="501" spans="1:13" x14ac:dyDescent="0.25">
      <c r="A501" s="91" t="s">
        <v>3202</v>
      </c>
      <c r="B501" cm="1">
        <f t="array" aca="1" ref="B501" ca="1">INDIRECT(A501)</f>
        <v>0</v>
      </c>
      <c r="C501">
        <f t="shared" ca="1" si="28"/>
        <v>5</v>
      </c>
      <c r="D501" t="str" cm="1">
        <f t="array" aca="1" ref="D501" ca="1">CELL("nomfichier",INDIRECT(A501))</f>
        <v>G:\SCPE\sdc\bq\6 - Mentions valorisantes\Certification environnementale\TEXTES_REGLEMENTATION_CE\Plans_contrôle et grilles\Grille audit niveau 3\Grille d'audit v1.11\[grille-audit-hvev4-v1.11-vf.xlsx]Surfaces_Horti</v>
      </c>
      <c r="E501">
        <f t="shared" ca="1" si="29"/>
        <v>200</v>
      </c>
      <c r="F501">
        <f t="shared" ca="1" si="30"/>
        <v>214</v>
      </c>
      <c r="G501" t="str">
        <f t="shared" ca="1" si="31"/>
        <v>Surfaces_Horti</v>
      </c>
      <c r="H501" cm="1">
        <f t="array" aca="1" ref="H501" ca="1">ROW(INDIRECT(A501))</f>
        <v>29</v>
      </c>
      <c r="I501" cm="1">
        <f t="array" aca="1" ref="I501" ca="1">COLUMN(INDIRECT(A501))</f>
        <v>2</v>
      </c>
      <c r="M501" t="str" cm="1">
        <f t="array" aca="1" ref="M501" ca="1">IF(AND(J501="O",ISBLANK(INDIRECT(A501))),"Valeur obligatoire non renseignée","")</f>
        <v/>
      </c>
    </row>
    <row r="502" spans="1:13" x14ac:dyDescent="0.25">
      <c r="A502" s="91" t="s">
        <v>3229</v>
      </c>
      <c r="B502" cm="1">
        <f t="array" aca="1" ref="B502" ca="1">INDIRECT(A502)</f>
        <v>0</v>
      </c>
      <c r="C502">
        <f t="shared" ca="1" si="28"/>
        <v>5</v>
      </c>
      <c r="D502" t="str" cm="1">
        <f t="array" aca="1" ref="D502" ca="1">CELL("nomfichier",INDIRECT(A502))</f>
        <v>G:\SCPE\sdc\bq\6 - Mentions valorisantes\Certification environnementale\TEXTES_REGLEMENTATION_CE\Plans_contrôle et grilles\Grille audit niveau 3\Grille d'audit v1.11\[grille-audit-hvev4-v1.11-vf.xlsx]Surfaces_Horti</v>
      </c>
      <c r="E502">
        <f t="shared" ca="1" si="29"/>
        <v>200</v>
      </c>
      <c r="F502">
        <f t="shared" ca="1" si="30"/>
        <v>214</v>
      </c>
      <c r="G502" t="str">
        <f t="shared" ca="1" si="31"/>
        <v>Surfaces_Horti</v>
      </c>
      <c r="H502" cm="1">
        <f t="array" aca="1" ref="H502" ca="1">ROW(INDIRECT(A502))</f>
        <v>29</v>
      </c>
      <c r="I502" cm="1">
        <f t="array" aca="1" ref="I502" ca="1">COLUMN(INDIRECT(A502))</f>
        <v>3</v>
      </c>
      <c r="M502" t="str" cm="1">
        <f t="array" aca="1" ref="M502" ca="1">IF(AND(J502="O",ISBLANK(INDIRECT(A502))),"Valeur obligatoire non renseignée","")</f>
        <v/>
      </c>
    </row>
    <row r="503" spans="1:13" x14ac:dyDescent="0.25">
      <c r="A503" s="91" t="s">
        <v>3256</v>
      </c>
      <c r="B503" cm="1">
        <f t="array" aca="1" ref="B503" ca="1">INDIRECT(A503)</f>
        <v>0</v>
      </c>
      <c r="C503">
        <f t="shared" ca="1" si="28"/>
        <v>5</v>
      </c>
      <c r="D503" t="str" cm="1">
        <f t="array" aca="1" ref="D503" ca="1">CELL("nomfichier",INDIRECT(A503))</f>
        <v>G:\SCPE\sdc\bq\6 - Mentions valorisantes\Certification environnementale\TEXTES_REGLEMENTATION_CE\Plans_contrôle et grilles\Grille audit niveau 3\Grille d'audit v1.11\[grille-audit-hvev4-v1.11-vf.xlsx]Surfaces_Horti</v>
      </c>
      <c r="E503">
        <f t="shared" ca="1" si="29"/>
        <v>200</v>
      </c>
      <c r="F503">
        <f t="shared" ca="1" si="30"/>
        <v>214</v>
      </c>
      <c r="G503" t="str">
        <f t="shared" ca="1" si="31"/>
        <v>Surfaces_Horti</v>
      </c>
      <c r="H503" cm="1">
        <f t="array" aca="1" ref="H503" ca="1">ROW(INDIRECT(A503))</f>
        <v>29</v>
      </c>
      <c r="I503" cm="1">
        <f t="array" aca="1" ref="I503" ca="1">COLUMN(INDIRECT(A503))</f>
        <v>4</v>
      </c>
      <c r="M503" t="str" cm="1">
        <f t="array" aca="1" ref="M503" ca="1">IF(AND(J503="O",ISBLANK(INDIRECT(A503))),"Valeur obligatoire non renseignée","")</f>
        <v/>
      </c>
    </row>
    <row r="504" spans="1:13" x14ac:dyDescent="0.25">
      <c r="A504" s="91" t="s">
        <v>3283</v>
      </c>
      <c r="B504" cm="1">
        <f t="array" aca="1" ref="B504" ca="1">INDIRECT(A504)</f>
        <v>0</v>
      </c>
      <c r="C504">
        <f t="shared" ca="1" si="28"/>
        <v>5</v>
      </c>
      <c r="D504" t="str" cm="1">
        <f t="array" aca="1" ref="D504" ca="1">CELL("nomfichier",INDIRECT(A504))</f>
        <v>G:\SCPE\sdc\bq\6 - Mentions valorisantes\Certification environnementale\TEXTES_REGLEMENTATION_CE\Plans_contrôle et grilles\Grille audit niveau 3\Grille d'audit v1.11\[grille-audit-hvev4-v1.11-vf.xlsx]Surfaces_Horti</v>
      </c>
      <c r="E504">
        <f t="shared" ca="1" si="29"/>
        <v>200</v>
      </c>
      <c r="F504">
        <f t="shared" ca="1" si="30"/>
        <v>214</v>
      </c>
      <c r="G504" t="str">
        <f t="shared" ca="1" si="31"/>
        <v>Surfaces_Horti</v>
      </c>
      <c r="H504" cm="1">
        <f t="array" aca="1" ref="H504" ca="1">ROW(INDIRECT(A504))</f>
        <v>29</v>
      </c>
      <c r="I504" cm="1">
        <f t="array" aca="1" ref="I504" ca="1">COLUMN(INDIRECT(A504))</f>
        <v>5</v>
      </c>
      <c r="M504" t="str" cm="1">
        <f t="array" aca="1" ref="M504" ca="1">IF(AND(J504="O",ISBLANK(INDIRECT(A504))),"Valeur obligatoire non renseignée","")</f>
        <v/>
      </c>
    </row>
    <row r="505" spans="1:13" x14ac:dyDescent="0.25">
      <c r="A505" s="91" t="s">
        <v>3310</v>
      </c>
      <c r="B505" cm="1">
        <f t="array" aca="1" ref="B505" ca="1">INDIRECT(A505)</f>
        <v>0</v>
      </c>
      <c r="C505">
        <f t="shared" ca="1" si="28"/>
        <v>5</v>
      </c>
      <c r="D505" t="str" cm="1">
        <f t="array" aca="1" ref="D505" ca="1">CELL("nomfichier",INDIRECT(A505))</f>
        <v>G:\SCPE\sdc\bq\6 - Mentions valorisantes\Certification environnementale\TEXTES_REGLEMENTATION_CE\Plans_contrôle et grilles\Grille audit niveau 3\Grille d'audit v1.11\[grille-audit-hvev4-v1.11-vf.xlsx]Surfaces_Horti</v>
      </c>
      <c r="E505">
        <f t="shared" ca="1" si="29"/>
        <v>200</v>
      </c>
      <c r="F505">
        <f t="shared" ca="1" si="30"/>
        <v>214</v>
      </c>
      <c r="G505" t="str">
        <f t="shared" ca="1" si="31"/>
        <v>Surfaces_Horti</v>
      </c>
      <c r="H505" cm="1">
        <f t="array" aca="1" ref="H505" ca="1">ROW(INDIRECT(A505))</f>
        <v>29</v>
      </c>
      <c r="I505" cm="1">
        <f t="array" aca="1" ref="I505" ca="1">COLUMN(INDIRECT(A505))</f>
        <v>6</v>
      </c>
      <c r="M505" t="str" cm="1">
        <f t="array" aca="1" ref="M505" ca="1">IF(AND(J505="O",ISBLANK(INDIRECT(A505))),"Valeur obligatoire non renseignée","")</f>
        <v/>
      </c>
    </row>
    <row r="506" spans="1:13" x14ac:dyDescent="0.25">
      <c r="A506" s="91" t="s">
        <v>3337</v>
      </c>
      <c r="B506" cm="1">
        <f t="array" aca="1" ref="B506" ca="1">INDIRECT(A506)</f>
        <v>0</v>
      </c>
      <c r="C506">
        <f t="shared" ca="1" si="28"/>
        <v>5</v>
      </c>
      <c r="D506" t="str" cm="1">
        <f t="array" aca="1" ref="D506" ca="1">CELL("nomfichier",INDIRECT(A506))</f>
        <v>G:\SCPE\sdc\bq\6 - Mentions valorisantes\Certification environnementale\TEXTES_REGLEMENTATION_CE\Plans_contrôle et grilles\Grille audit niveau 3\Grille d'audit v1.11\[grille-audit-hvev4-v1.11-vf.xlsx]Surfaces_Horti</v>
      </c>
      <c r="E506">
        <f t="shared" ca="1" si="29"/>
        <v>200</v>
      </c>
      <c r="F506">
        <f t="shared" ca="1" si="30"/>
        <v>214</v>
      </c>
      <c r="G506" t="str">
        <f t="shared" ca="1" si="31"/>
        <v>Surfaces_Horti</v>
      </c>
      <c r="H506" cm="1">
        <f t="array" aca="1" ref="H506" ca="1">ROW(INDIRECT(A506))</f>
        <v>29</v>
      </c>
      <c r="I506" cm="1">
        <f t="array" aca="1" ref="I506" ca="1">COLUMN(INDIRECT(A506))</f>
        <v>7</v>
      </c>
      <c r="M506" t="str" cm="1">
        <f t="array" aca="1" ref="M506" ca="1">IF(AND(J506="O",ISBLANK(INDIRECT(A506))),"Valeur obligatoire non renseignée","")</f>
        <v/>
      </c>
    </row>
    <row r="507" spans="1:13" x14ac:dyDescent="0.25">
      <c r="A507" s="91" t="s">
        <v>3364</v>
      </c>
      <c r="B507" cm="1">
        <f t="array" aca="1" ref="B507" ca="1">INDIRECT(A507)</f>
        <v>0</v>
      </c>
      <c r="C507">
        <f t="shared" ca="1" si="28"/>
        <v>5</v>
      </c>
      <c r="D507" t="str" cm="1">
        <f t="array" aca="1" ref="D507" ca="1">CELL("nomfichier",INDIRECT(A507))</f>
        <v>G:\SCPE\sdc\bq\6 - Mentions valorisantes\Certification environnementale\TEXTES_REGLEMENTATION_CE\Plans_contrôle et grilles\Grille audit niveau 3\Grille d'audit v1.11\[grille-audit-hvev4-v1.11-vf.xlsx]Surfaces_Horti</v>
      </c>
      <c r="E507">
        <f t="shared" ca="1" si="29"/>
        <v>200</v>
      </c>
      <c r="F507">
        <f t="shared" ca="1" si="30"/>
        <v>214</v>
      </c>
      <c r="G507" t="str">
        <f t="shared" ca="1" si="31"/>
        <v>Surfaces_Horti</v>
      </c>
      <c r="H507" cm="1">
        <f t="array" aca="1" ref="H507" ca="1">ROW(INDIRECT(A507))</f>
        <v>29</v>
      </c>
      <c r="I507" cm="1">
        <f t="array" aca="1" ref="I507" ca="1">COLUMN(INDIRECT(A507))</f>
        <v>8</v>
      </c>
      <c r="M507" t="str" cm="1">
        <f t="array" aca="1" ref="M507" ca="1">IF(AND(J507="O",ISBLANK(INDIRECT(A507))),"Valeur obligatoire non renseignée","")</f>
        <v/>
      </c>
    </row>
    <row r="508" spans="1:13" x14ac:dyDescent="0.25">
      <c r="A508" s="91" t="s">
        <v>3391</v>
      </c>
      <c r="B508" cm="1">
        <f t="array" aca="1" ref="B508" ca="1">INDIRECT(A508)</f>
        <v>0</v>
      </c>
      <c r="C508">
        <f t="shared" ca="1" si="28"/>
        <v>5</v>
      </c>
      <c r="D508" t="str" cm="1">
        <f t="array" aca="1" ref="D508" ca="1">CELL("nomfichier",INDIRECT(A508))</f>
        <v>G:\SCPE\sdc\bq\6 - Mentions valorisantes\Certification environnementale\TEXTES_REGLEMENTATION_CE\Plans_contrôle et grilles\Grille audit niveau 3\Grille d'audit v1.11\[grille-audit-hvev4-v1.11-vf.xlsx]Surfaces_Horti</v>
      </c>
      <c r="E508">
        <f t="shared" ca="1" si="29"/>
        <v>200</v>
      </c>
      <c r="F508">
        <f t="shared" ca="1" si="30"/>
        <v>214</v>
      </c>
      <c r="G508" t="str">
        <f t="shared" ca="1" si="31"/>
        <v>Surfaces_Horti</v>
      </c>
      <c r="H508" cm="1">
        <f t="array" aca="1" ref="H508" ca="1">ROW(INDIRECT(A508))</f>
        <v>29</v>
      </c>
      <c r="I508" cm="1">
        <f t="array" aca="1" ref="I508" ca="1">COLUMN(INDIRECT(A508))</f>
        <v>9</v>
      </c>
      <c r="M508" t="str" cm="1">
        <f t="array" aca="1" ref="M508" ca="1">IF(AND(J508="O",ISBLANK(INDIRECT(A508))),"Valeur obligatoire non renseignée","")</f>
        <v/>
      </c>
    </row>
    <row r="509" spans="1:13" x14ac:dyDescent="0.25">
      <c r="A509" s="91" t="s">
        <v>3418</v>
      </c>
      <c r="B509" cm="1">
        <f t="array" aca="1" ref="B509" ca="1">INDIRECT(A509)</f>
        <v>0</v>
      </c>
      <c r="C509">
        <f t="shared" ca="1" si="28"/>
        <v>5</v>
      </c>
      <c r="D509" t="str" cm="1">
        <f t="array" aca="1" ref="D509" ca="1">CELL("nomfichier",INDIRECT(A509))</f>
        <v>G:\SCPE\sdc\bq\6 - Mentions valorisantes\Certification environnementale\TEXTES_REGLEMENTATION_CE\Plans_contrôle et grilles\Grille audit niveau 3\Grille d'audit v1.11\[grille-audit-hvev4-v1.11-vf.xlsx]Surfaces_Horti</v>
      </c>
      <c r="E509">
        <f t="shared" ca="1" si="29"/>
        <v>200</v>
      </c>
      <c r="F509">
        <f t="shared" ca="1" si="30"/>
        <v>214</v>
      </c>
      <c r="G509" t="str">
        <f t="shared" ca="1" si="31"/>
        <v>Surfaces_Horti</v>
      </c>
      <c r="H509" cm="1">
        <f t="array" aca="1" ref="H509" ca="1">ROW(INDIRECT(A509))</f>
        <v>29</v>
      </c>
      <c r="I509" cm="1">
        <f t="array" aca="1" ref="I509" ca="1">COLUMN(INDIRECT(A509))</f>
        <v>10</v>
      </c>
      <c r="M509" t="str" cm="1">
        <f t="array" aca="1" ref="M509" ca="1">IF(AND(J509="O",ISBLANK(INDIRECT(A509))),"Valeur obligatoire non renseignée","")</f>
        <v/>
      </c>
    </row>
    <row r="510" spans="1:13" x14ac:dyDescent="0.25">
      <c r="A510" s="91" t="s">
        <v>3445</v>
      </c>
      <c r="B510" cm="1">
        <f t="array" aca="1" ref="B510" ca="1">INDIRECT(A510)</f>
        <v>0</v>
      </c>
      <c r="C510">
        <f t="shared" ca="1" si="28"/>
        <v>5</v>
      </c>
      <c r="D510" t="str" cm="1">
        <f t="array" aca="1" ref="D510" ca="1">CELL("nomfichier",INDIRECT(A510))</f>
        <v>G:\SCPE\sdc\bq\6 - Mentions valorisantes\Certification environnementale\TEXTES_REGLEMENTATION_CE\Plans_contrôle et grilles\Grille audit niveau 3\Grille d'audit v1.11\[grille-audit-hvev4-v1.11-vf.xlsx]Surfaces_Horti</v>
      </c>
      <c r="E510">
        <f t="shared" ca="1" si="29"/>
        <v>200</v>
      </c>
      <c r="F510">
        <f t="shared" ca="1" si="30"/>
        <v>214</v>
      </c>
      <c r="G510" t="str">
        <f t="shared" ca="1" si="31"/>
        <v>Surfaces_Horti</v>
      </c>
      <c r="H510" cm="1">
        <f t="array" aca="1" ref="H510" ca="1">ROW(INDIRECT(A510))</f>
        <v>29</v>
      </c>
      <c r="I510" cm="1">
        <f t="array" aca="1" ref="I510" ca="1">COLUMN(INDIRECT(A510))</f>
        <v>11</v>
      </c>
      <c r="M510" t="str" cm="1">
        <f t="array" aca="1" ref="M510" ca="1">IF(AND(J510="O",ISBLANK(INDIRECT(A510))),"Valeur obligatoire non renseignée","")</f>
        <v/>
      </c>
    </row>
    <row r="511" spans="1:13" x14ac:dyDescent="0.25">
      <c r="A511" s="91" t="s">
        <v>3472</v>
      </c>
      <c r="B511" cm="1">
        <f t="array" aca="1" ref="B511" ca="1">INDIRECT(A511)</f>
        <v>0</v>
      </c>
      <c r="C511">
        <f t="shared" ca="1" si="28"/>
        <v>5</v>
      </c>
      <c r="D511" t="str" cm="1">
        <f t="array" aca="1" ref="D511" ca="1">CELL("nomfichier",INDIRECT(A511))</f>
        <v>G:\SCPE\sdc\bq\6 - Mentions valorisantes\Certification environnementale\TEXTES_REGLEMENTATION_CE\Plans_contrôle et grilles\Grille audit niveau 3\Grille d'audit v1.11\[grille-audit-hvev4-v1.11-vf.xlsx]Surfaces_Horti</v>
      </c>
      <c r="E511">
        <f t="shared" ca="1" si="29"/>
        <v>200</v>
      </c>
      <c r="F511">
        <f t="shared" ca="1" si="30"/>
        <v>214</v>
      </c>
      <c r="G511" t="str">
        <f t="shared" ca="1" si="31"/>
        <v>Surfaces_Horti</v>
      </c>
      <c r="H511" cm="1">
        <f t="array" aca="1" ref="H511" ca="1">ROW(INDIRECT(A511))</f>
        <v>29</v>
      </c>
      <c r="I511" cm="1">
        <f t="array" aca="1" ref="I511" ca="1">COLUMN(INDIRECT(A511))</f>
        <v>12</v>
      </c>
      <c r="M511" t="str" cm="1">
        <f t="array" aca="1" ref="M511" ca="1">IF(AND(J511="O",ISBLANK(INDIRECT(A511))),"Valeur obligatoire non renseignée","")</f>
        <v/>
      </c>
    </row>
    <row r="512" spans="1:13" x14ac:dyDescent="0.25">
      <c r="A512" s="91" t="s">
        <v>3499</v>
      </c>
      <c r="B512" cm="1">
        <f t="array" aca="1" ref="B512" ca="1">INDIRECT(A512)</f>
        <v>0</v>
      </c>
      <c r="C512">
        <f t="shared" ca="1" si="28"/>
        <v>5</v>
      </c>
      <c r="D512" t="str" cm="1">
        <f t="array" aca="1" ref="D512" ca="1">CELL("nomfichier",INDIRECT(A512))</f>
        <v>G:\SCPE\sdc\bq\6 - Mentions valorisantes\Certification environnementale\TEXTES_REGLEMENTATION_CE\Plans_contrôle et grilles\Grille audit niveau 3\Grille d'audit v1.11\[grille-audit-hvev4-v1.11-vf.xlsx]Surfaces_Horti</v>
      </c>
      <c r="E512">
        <f t="shared" ca="1" si="29"/>
        <v>200</v>
      </c>
      <c r="F512">
        <f t="shared" ca="1" si="30"/>
        <v>214</v>
      </c>
      <c r="G512" t="str">
        <f t="shared" ca="1" si="31"/>
        <v>Surfaces_Horti</v>
      </c>
      <c r="H512" cm="1">
        <f t="array" aca="1" ref="H512" ca="1">ROW(INDIRECT(A512))</f>
        <v>29</v>
      </c>
      <c r="I512" cm="1">
        <f t="array" aca="1" ref="I512" ca="1">COLUMN(INDIRECT(A512))</f>
        <v>13</v>
      </c>
      <c r="M512" t="str" cm="1">
        <f t="array" aca="1" ref="M512" ca="1">IF(AND(J512="O",ISBLANK(INDIRECT(A512))),"Valeur obligatoire non renseignée","")</f>
        <v/>
      </c>
    </row>
    <row r="513" spans="1:13" x14ac:dyDescent="0.25">
      <c r="A513" s="91" t="s">
        <v>3526</v>
      </c>
      <c r="B513" cm="1">
        <f t="array" aca="1" ref="B513" ca="1">INDIRECT(A513)</f>
        <v>0</v>
      </c>
      <c r="C513">
        <f t="shared" ca="1" si="28"/>
        <v>5</v>
      </c>
      <c r="D513" t="str" cm="1">
        <f t="array" aca="1" ref="D513" ca="1">CELL("nomfichier",INDIRECT(A513))</f>
        <v>G:\SCPE\sdc\bq\6 - Mentions valorisantes\Certification environnementale\TEXTES_REGLEMENTATION_CE\Plans_contrôle et grilles\Grille audit niveau 3\Grille d'audit v1.11\[grille-audit-hvev4-v1.11-vf.xlsx]Surfaces_Horti</v>
      </c>
      <c r="E513">
        <f t="shared" ca="1" si="29"/>
        <v>200</v>
      </c>
      <c r="F513">
        <f t="shared" ca="1" si="30"/>
        <v>214</v>
      </c>
      <c r="G513" t="str">
        <f t="shared" ca="1" si="31"/>
        <v>Surfaces_Horti</v>
      </c>
      <c r="H513" cm="1">
        <f t="array" aca="1" ref="H513" ca="1">ROW(INDIRECT(A513))</f>
        <v>29</v>
      </c>
      <c r="I513" cm="1">
        <f t="array" aca="1" ref="I513" ca="1">COLUMN(INDIRECT(A513))</f>
        <v>14</v>
      </c>
      <c r="M513" t="str" cm="1">
        <f t="array" aca="1" ref="M513" ca="1">IF(AND(J513="O",ISBLANK(INDIRECT(A513))),"Valeur obligatoire non renseignée","")</f>
        <v/>
      </c>
    </row>
    <row r="514" spans="1:13" x14ac:dyDescent="0.25">
      <c r="A514" s="91" t="s">
        <v>3203</v>
      </c>
      <c r="B514" cm="1">
        <f t="array" aca="1" ref="B514" ca="1">INDIRECT(A514)</f>
        <v>0</v>
      </c>
      <c r="C514">
        <f t="shared" ref="C514:C577" ca="1" si="32">_xlfn.SHEET(INDIRECT(A514))</f>
        <v>5</v>
      </c>
      <c r="D514" t="str" cm="1">
        <f t="array" aca="1" ref="D514" ca="1">CELL("nomfichier",INDIRECT(A514))</f>
        <v>G:\SCPE\sdc\bq\6 - Mentions valorisantes\Certification environnementale\TEXTES_REGLEMENTATION_CE\Plans_contrôle et grilles\Grille audit niveau 3\Grille d'audit v1.11\[grille-audit-hvev4-v1.11-vf.xlsx]Surfaces_Horti</v>
      </c>
      <c r="E514">
        <f t="shared" ref="E514:E577" ca="1" si="33">FIND("]",D514)</f>
        <v>200</v>
      </c>
      <c r="F514">
        <f t="shared" ref="F514:F577" ca="1" si="34">LEN(D514)</f>
        <v>214</v>
      </c>
      <c r="G514" t="str">
        <f t="shared" ref="G514:G577" ca="1" si="35">RIGHT(D514,F514-E514)</f>
        <v>Surfaces_Horti</v>
      </c>
      <c r="H514" cm="1">
        <f t="array" aca="1" ref="H514" ca="1">ROW(INDIRECT(A514))</f>
        <v>30</v>
      </c>
      <c r="I514" cm="1">
        <f t="array" aca="1" ref="I514" ca="1">COLUMN(INDIRECT(A514))</f>
        <v>2</v>
      </c>
      <c r="M514" t="str" cm="1">
        <f t="array" aca="1" ref="M514" ca="1">IF(AND(J514="O",ISBLANK(INDIRECT(A514))),"Valeur obligatoire non renseignée","")</f>
        <v/>
      </c>
    </row>
    <row r="515" spans="1:13" x14ac:dyDescent="0.25">
      <c r="A515" s="91" t="s">
        <v>3230</v>
      </c>
      <c r="B515" cm="1">
        <f t="array" aca="1" ref="B515" ca="1">INDIRECT(A515)</f>
        <v>0</v>
      </c>
      <c r="C515">
        <f t="shared" ca="1" si="32"/>
        <v>5</v>
      </c>
      <c r="D515" t="str" cm="1">
        <f t="array" aca="1" ref="D515" ca="1">CELL("nomfichier",INDIRECT(A515))</f>
        <v>G:\SCPE\sdc\bq\6 - Mentions valorisantes\Certification environnementale\TEXTES_REGLEMENTATION_CE\Plans_contrôle et grilles\Grille audit niveau 3\Grille d'audit v1.11\[grille-audit-hvev4-v1.11-vf.xlsx]Surfaces_Horti</v>
      </c>
      <c r="E515">
        <f t="shared" ca="1" si="33"/>
        <v>200</v>
      </c>
      <c r="F515">
        <f t="shared" ca="1" si="34"/>
        <v>214</v>
      </c>
      <c r="G515" t="str">
        <f t="shared" ca="1" si="35"/>
        <v>Surfaces_Horti</v>
      </c>
      <c r="H515" cm="1">
        <f t="array" aca="1" ref="H515" ca="1">ROW(INDIRECT(A515))</f>
        <v>30</v>
      </c>
      <c r="I515" cm="1">
        <f t="array" aca="1" ref="I515" ca="1">COLUMN(INDIRECT(A515))</f>
        <v>3</v>
      </c>
      <c r="M515" t="str" cm="1">
        <f t="array" aca="1" ref="M515" ca="1">IF(AND(J515="O",ISBLANK(INDIRECT(A515))),"Valeur obligatoire non renseignée","")</f>
        <v/>
      </c>
    </row>
    <row r="516" spans="1:13" x14ac:dyDescent="0.25">
      <c r="A516" s="91" t="s">
        <v>3257</v>
      </c>
      <c r="B516" cm="1">
        <f t="array" aca="1" ref="B516" ca="1">INDIRECT(A516)</f>
        <v>0</v>
      </c>
      <c r="C516">
        <f t="shared" ca="1" si="32"/>
        <v>5</v>
      </c>
      <c r="D516" t="str" cm="1">
        <f t="array" aca="1" ref="D516" ca="1">CELL("nomfichier",INDIRECT(A516))</f>
        <v>G:\SCPE\sdc\bq\6 - Mentions valorisantes\Certification environnementale\TEXTES_REGLEMENTATION_CE\Plans_contrôle et grilles\Grille audit niveau 3\Grille d'audit v1.11\[grille-audit-hvev4-v1.11-vf.xlsx]Surfaces_Horti</v>
      </c>
      <c r="E516">
        <f t="shared" ca="1" si="33"/>
        <v>200</v>
      </c>
      <c r="F516">
        <f t="shared" ca="1" si="34"/>
        <v>214</v>
      </c>
      <c r="G516" t="str">
        <f t="shared" ca="1" si="35"/>
        <v>Surfaces_Horti</v>
      </c>
      <c r="H516" cm="1">
        <f t="array" aca="1" ref="H516" ca="1">ROW(INDIRECT(A516))</f>
        <v>30</v>
      </c>
      <c r="I516" cm="1">
        <f t="array" aca="1" ref="I516" ca="1">COLUMN(INDIRECT(A516))</f>
        <v>4</v>
      </c>
      <c r="M516" t="str" cm="1">
        <f t="array" aca="1" ref="M516" ca="1">IF(AND(J516="O",ISBLANK(INDIRECT(A516))),"Valeur obligatoire non renseignée","")</f>
        <v/>
      </c>
    </row>
    <row r="517" spans="1:13" x14ac:dyDescent="0.25">
      <c r="A517" s="91" t="s">
        <v>3284</v>
      </c>
      <c r="B517" cm="1">
        <f t="array" aca="1" ref="B517" ca="1">INDIRECT(A517)</f>
        <v>0</v>
      </c>
      <c r="C517">
        <f t="shared" ca="1" si="32"/>
        <v>5</v>
      </c>
      <c r="D517" t="str" cm="1">
        <f t="array" aca="1" ref="D517" ca="1">CELL("nomfichier",INDIRECT(A517))</f>
        <v>G:\SCPE\sdc\bq\6 - Mentions valorisantes\Certification environnementale\TEXTES_REGLEMENTATION_CE\Plans_contrôle et grilles\Grille audit niveau 3\Grille d'audit v1.11\[grille-audit-hvev4-v1.11-vf.xlsx]Surfaces_Horti</v>
      </c>
      <c r="E517">
        <f t="shared" ca="1" si="33"/>
        <v>200</v>
      </c>
      <c r="F517">
        <f t="shared" ca="1" si="34"/>
        <v>214</v>
      </c>
      <c r="G517" t="str">
        <f t="shared" ca="1" si="35"/>
        <v>Surfaces_Horti</v>
      </c>
      <c r="H517" cm="1">
        <f t="array" aca="1" ref="H517" ca="1">ROW(INDIRECT(A517))</f>
        <v>30</v>
      </c>
      <c r="I517" cm="1">
        <f t="array" aca="1" ref="I517" ca="1">COLUMN(INDIRECT(A517))</f>
        <v>5</v>
      </c>
      <c r="M517" t="str" cm="1">
        <f t="array" aca="1" ref="M517" ca="1">IF(AND(J517="O",ISBLANK(INDIRECT(A517))),"Valeur obligatoire non renseignée","")</f>
        <v/>
      </c>
    </row>
    <row r="518" spans="1:13" x14ac:dyDescent="0.25">
      <c r="A518" s="91" t="s">
        <v>3311</v>
      </c>
      <c r="B518" cm="1">
        <f t="array" aca="1" ref="B518" ca="1">INDIRECT(A518)</f>
        <v>0</v>
      </c>
      <c r="C518">
        <f t="shared" ca="1" si="32"/>
        <v>5</v>
      </c>
      <c r="D518" t="str" cm="1">
        <f t="array" aca="1" ref="D518" ca="1">CELL("nomfichier",INDIRECT(A518))</f>
        <v>G:\SCPE\sdc\bq\6 - Mentions valorisantes\Certification environnementale\TEXTES_REGLEMENTATION_CE\Plans_contrôle et grilles\Grille audit niveau 3\Grille d'audit v1.11\[grille-audit-hvev4-v1.11-vf.xlsx]Surfaces_Horti</v>
      </c>
      <c r="E518">
        <f t="shared" ca="1" si="33"/>
        <v>200</v>
      </c>
      <c r="F518">
        <f t="shared" ca="1" si="34"/>
        <v>214</v>
      </c>
      <c r="G518" t="str">
        <f t="shared" ca="1" si="35"/>
        <v>Surfaces_Horti</v>
      </c>
      <c r="H518" cm="1">
        <f t="array" aca="1" ref="H518" ca="1">ROW(INDIRECT(A518))</f>
        <v>30</v>
      </c>
      <c r="I518" cm="1">
        <f t="array" aca="1" ref="I518" ca="1">COLUMN(INDIRECT(A518))</f>
        <v>6</v>
      </c>
      <c r="M518" t="str" cm="1">
        <f t="array" aca="1" ref="M518" ca="1">IF(AND(J518="O",ISBLANK(INDIRECT(A518))),"Valeur obligatoire non renseignée","")</f>
        <v/>
      </c>
    </row>
    <row r="519" spans="1:13" x14ac:dyDescent="0.25">
      <c r="A519" s="91" t="s">
        <v>3338</v>
      </c>
      <c r="B519" cm="1">
        <f t="array" aca="1" ref="B519" ca="1">INDIRECT(A519)</f>
        <v>0</v>
      </c>
      <c r="C519">
        <f t="shared" ca="1" si="32"/>
        <v>5</v>
      </c>
      <c r="D519" t="str" cm="1">
        <f t="array" aca="1" ref="D519" ca="1">CELL("nomfichier",INDIRECT(A519))</f>
        <v>G:\SCPE\sdc\bq\6 - Mentions valorisantes\Certification environnementale\TEXTES_REGLEMENTATION_CE\Plans_contrôle et grilles\Grille audit niveau 3\Grille d'audit v1.11\[grille-audit-hvev4-v1.11-vf.xlsx]Surfaces_Horti</v>
      </c>
      <c r="E519">
        <f t="shared" ca="1" si="33"/>
        <v>200</v>
      </c>
      <c r="F519">
        <f t="shared" ca="1" si="34"/>
        <v>214</v>
      </c>
      <c r="G519" t="str">
        <f t="shared" ca="1" si="35"/>
        <v>Surfaces_Horti</v>
      </c>
      <c r="H519" cm="1">
        <f t="array" aca="1" ref="H519" ca="1">ROW(INDIRECT(A519))</f>
        <v>30</v>
      </c>
      <c r="I519" cm="1">
        <f t="array" aca="1" ref="I519" ca="1">COLUMN(INDIRECT(A519))</f>
        <v>7</v>
      </c>
      <c r="M519" t="str" cm="1">
        <f t="array" aca="1" ref="M519" ca="1">IF(AND(J519="O",ISBLANK(INDIRECT(A519))),"Valeur obligatoire non renseignée","")</f>
        <v/>
      </c>
    </row>
    <row r="520" spans="1:13" x14ac:dyDescent="0.25">
      <c r="A520" s="91" t="s">
        <v>3365</v>
      </c>
      <c r="B520" cm="1">
        <f t="array" aca="1" ref="B520" ca="1">INDIRECT(A520)</f>
        <v>0</v>
      </c>
      <c r="C520">
        <f t="shared" ca="1" si="32"/>
        <v>5</v>
      </c>
      <c r="D520" t="str" cm="1">
        <f t="array" aca="1" ref="D520" ca="1">CELL("nomfichier",INDIRECT(A520))</f>
        <v>G:\SCPE\sdc\bq\6 - Mentions valorisantes\Certification environnementale\TEXTES_REGLEMENTATION_CE\Plans_contrôle et grilles\Grille audit niveau 3\Grille d'audit v1.11\[grille-audit-hvev4-v1.11-vf.xlsx]Surfaces_Horti</v>
      </c>
      <c r="E520">
        <f t="shared" ca="1" si="33"/>
        <v>200</v>
      </c>
      <c r="F520">
        <f t="shared" ca="1" si="34"/>
        <v>214</v>
      </c>
      <c r="G520" t="str">
        <f t="shared" ca="1" si="35"/>
        <v>Surfaces_Horti</v>
      </c>
      <c r="H520" cm="1">
        <f t="array" aca="1" ref="H520" ca="1">ROW(INDIRECT(A520))</f>
        <v>30</v>
      </c>
      <c r="I520" cm="1">
        <f t="array" aca="1" ref="I520" ca="1">COLUMN(INDIRECT(A520))</f>
        <v>8</v>
      </c>
      <c r="M520" t="str" cm="1">
        <f t="array" aca="1" ref="M520" ca="1">IF(AND(J520="O",ISBLANK(INDIRECT(A520))),"Valeur obligatoire non renseignée","")</f>
        <v/>
      </c>
    </row>
    <row r="521" spans="1:13" x14ac:dyDescent="0.25">
      <c r="A521" s="91" t="s">
        <v>3392</v>
      </c>
      <c r="B521" cm="1">
        <f t="array" aca="1" ref="B521" ca="1">INDIRECT(A521)</f>
        <v>0</v>
      </c>
      <c r="C521">
        <f t="shared" ca="1" si="32"/>
        <v>5</v>
      </c>
      <c r="D521" t="str" cm="1">
        <f t="array" aca="1" ref="D521" ca="1">CELL("nomfichier",INDIRECT(A521))</f>
        <v>G:\SCPE\sdc\bq\6 - Mentions valorisantes\Certification environnementale\TEXTES_REGLEMENTATION_CE\Plans_contrôle et grilles\Grille audit niveau 3\Grille d'audit v1.11\[grille-audit-hvev4-v1.11-vf.xlsx]Surfaces_Horti</v>
      </c>
      <c r="E521">
        <f t="shared" ca="1" si="33"/>
        <v>200</v>
      </c>
      <c r="F521">
        <f t="shared" ca="1" si="34"/>
        <v>214</v>
      </c>
      <c r="G521" t="str">
        <f t="shared" ca="1" si="35"/>
        <v>Surfaces_Horti</v>
      </c>
      <c r="H521" cm="1">
        <f t="array" aca="1" ref="H521" ca="1">ROW(INDIRECT(A521))</f>
        <v>30</v>
      </c>
      <c r="I521" cm="1">
        <f t="array" aca="1" ref="I521" ca="1">COLUMN(INDIRECT(A521))</f>
        <v>9</v>
      </c>
      <c r="M521" t="str" cm="1">
        <f t="array" aca="1" ref="M521" ca="1">IF(AND(J521="O",ISBLANK(INDIRECT(A521))),"Valeur obligatoire non renseignée","")</f>
        <v/>
      </c>
    </row>
    <row r="522" spans="1:13" x14ac:dyDescent="0.25">
      <c r="A522" s="91" t="s">
        <v>3419</v>
      </c>
      <c r="B522" cm="1">
        <f t="array" aca="1" ref="B522" ca="1">INDIRECT(A522)</f>
        <v>0</v>
      </c>
      <c r="C522">
        <f t="shared" ca="1" si="32"/>
        <v>5</v>
      </c>
      <c r="D522" t="str" cm="1">
        <f t="array" aca="1" ref="D522" ca="1">CELL("nomfichier",INDIRECT(A522))</f>
        <v>G:\SCPE\sdc\bq\6 - Mentions valorisantes\Certification environnementale\TEXTES_REGLEMENTATION_CE\Plans_contrôle et grilles\Grille audit niveau 3\Grille d'audit v1.11\[grille-audit-hvev4-v1.11-vf.xlsx]Surfaces_Horti</v>
      </c>
      <c r="E522">
        <f t="shared" ca="1" si="33"/>
        <v>200</v>
      </c>
      <c r="F522">
        <f t="shared" ca="1" si="34"/>
        <v>214</v>
      </c>
      <c r="G522" t="str">
        <f t="shared" ca="1" si="35"/>
        <v>Surfaces_Horti</v>
      </c>
      <c r="H522" cm="1">
        <f t="array" aca="1" ref="H522" ca="1">ROW(INDIRECT(A522))</f>
        <v>30</v>
      </c>
      <c r="I522" cm="1">
        <f t="array" aca="1" ref="I522" ca="1">COLUMN(INDIRECT(A522))</f>
        <v>10</v>
      </c>
      <c r="M522" t="str" cm="1">
        <f t="array" aca="1" ref="M522" ca="1">IF(AND(J522="O",ISBLANK(INDIRECT(A522))),"Valeur obligatoire non renseignée","")</f>
        <v/>
      </c>
    </row>
    <row r="523" spans="1:13" x14ac:dyDescent="0.25">
      <c r="A523" s="91" t="s">
        <v>3446</v>
      </c>
      <c r="B523" cm="1">
        <f t="array" aca="1" ref="B523" ca="1">INDIRECT(A523)</f>
        <v>0</v>
      </c>
      <c r="C523">
        <f t="shared" ca="1" si="32"/>
        <v>5</v>
      </c>
      <c r="D523" t="str" cm="1">
        <f t="array" aca="1" ref="D523" ca="1">CELL("nomfichier",INDIRECT(A523))</f>
        <v>G:\SCPE\sdc\bq\6 - Mentions valorisantes\Certification environnementale\TEXTES_REGLEMENTATION_CE\Plans_contrôle et grilles\Grille audit niveau 3\Grille d'audit v1.11\[grille-audit-hvev4-v1.11-vf.xlsx]Surfaces_Horti</v>
      </c>
      <c r="E523">
        <f t="shared" ca="1" si="33"/>
        <v>200</v>
      </c>
      <c r="F523">
        <f t="shared" ca="1" si="34"/>
        <v>214</v>
      </c>
      <c r="G523" t="str">
        <f t="shared" ca="1" si="35"/>
        <v>Surfaces_Horti</v>
      </c>
      <c r="H523" cm="1">
        <f t="array" aca="1" ref="H523" ca="1">ROW(INDIRECT(A523))</f>
        <v>30</v>
      </c>
      <c r="I523" cm="1">
        <f t="array" aca="1" ref="I523" ca="1">COLUMN(INDIRECT(A523))</f>
        <v>11</v>
      </c>
      <c r="M523" t="str" cm="1">
        <f t="array" aca="1" ref="M523" ca="1">IF(AND(J523="O",ISBLANK(INDIRECT(A523))),"Valeur obligatoire non renseignée","")</f>
        <v/>
      </c>
    </row>
    <row r="524" spans="1:13" x14ac:dyDescent="0.25">
      <c r="A524" s="91" t="s">
        <v>3473</v>
      </c>
      <c r="B524" cm="1">
        <f t="array" aca="1" ref="B524" ca="1">INDIRECT(A524)</f>
        <v>0</v>
      </c>
      <c r="C524">
        <f t="shared" ca="1" si="32"/>
        <v>5</v>
      </c>
      <c r="D524" t="str" cm="1">
        <f t="array" aca="1" ref="D524" ca="1">CELL("nomfichier",INDIRECT(A524))</f>
        <v>G:\SCPE\sdc\bq\6 - Mentions valorisantes\Certification environnementale\TEXTES_REGLEMENTATION_CE\Plans_contrôle et grilles\Grille audit niveau 3\Grille d'audit v1.11\[grille-audit-hvev4-v1.11-vf.xlsx]Surfaces_Horti</v>
      </c>
      <c r="E524">
        <f t="shared" ca="1" si="33"/>
        <v>200</v>
      </c>
      <c r="F524">
        <f t="shared" ca="1" si="34"/>
        <v>214</v>
      </c>
      <c r="G524" t="str">
        <f t="shared" ca="1" si="35"/>
        <v>Surfaces_Horti</v>
      </c>
      <c r="H524" cm="1">
        <f t="array" aca="1" ref="H524" ca="1">ROW(INDIRECT(A524))</f>
        <v>30</v>
      </c>
      <c r="I524" cm="1">
        <f t="array" aca="1" ref="I524" ca="1">COLUMN(INDIRECT(A524))</f>
        <v>12</v>
      </c>
      <c r="M524" t="str" cm="1">
        <f t="array" aca="1" ref="M524" ca="1">IF(AND(J524="O",ISBLANK(INDIRECT(A524))),"Valeur obligatoire non renseignée","")</f>
        <v/>
      </c>
    </row>
    <row r="525" spans="1:13" x14ac:dyDescent="0.25">
      <c r="A525" s="91" t="s">
        <v>3500</v>
      </c>
      <c r="B525" cm="1">
        <f t="array" aca="1" ref="B525" ca="1">INDIRECT(A525)</f>
        <v>0</v>
      </c>
      <c r="C525">
        <f t="shared" ca="1" si="32"/>
        <v>5</v>
      </c>
      <c r="D525" t="str" cm="1">
        <f t="array" aca="1" ref="D525" ca="1">CELL("nomfichier",INDIRECT(A525))</f>
        <v>G:\SCPE\sdc\bq\6 - Mentions valorisantes\Certification environnementale\TEXTES_REGLEMENTATION_CE\Plans_contrôle et grilles\Grille audit niveau 3\Grille d'audit v1.11\[grille-audit-hvev4-v1.11-vf.xlsx]Surfaces_Horti</v>
      </c>
      <c r="E525">
        <f t="shared" ca="1" si="33"/>
        <v>200</v>
      </c>
      <c r="F525">
        <f t="shared" ca="1" si="34"/>
        <v>214</v>
      </c>
      <c r="G525" t="str">
        <f t="shared" ca="1" si="35"/>
        <v>Surfaces_Horti</v>
      </c>
      <c r="H525" cm="1">
        <f t="array" aca="1" ref="H525" ca="1">ROW(INDIRECT(A525))</f>
        <v>30</v>
      </c>
      <c r="I525" cm="1">
        <f t="array" aca="1" ref="I525" ca="1">COLUMN(INDIRECT(A525))</f>
        <v>13</v>
      </c>
      <c r="M525" t="str" cm="1">
        <f t="array" aca="1" ref="M525" ca="1">IF(AND(J525="O",ISBLANK(INDIRECT(A525))),"Valeur obligatoire non renseignée","")</f>
        <v/>
      </c>
    </row>
    <row r="526" spans="1:13" x14ac:dyDescent="0.25">
      <c r="A526" s="91" t="s">
        <v>3527</v>
      </c>
      <c r="B526" cm="1">
        <f t="array" aca="1" ref="B526" ca="1">INDIRECT(A526)</f>
        <v>0</v>
      </c>
      <c r="C526">
        <f t="shared" ca="1" si="32"/>
        <v>5</v>
      </c>
      <c r="D526" t="str" cm="1">
        <f t="array" aca="1" ref="D526" ca="1">CELL("nomfichier",INDIRECT(A526))</f>
        <v>G:\SCPE\sdc\bq\6 - Mentions valorisantes\Certification environnementale\TEXTES_REGLEMENTATION_CE\Plans_contrôle et grilles\Grille audit niveau 3\Grille d'audit v1.11\[grille-audit-hvev4-v1.11-vf.xlsx]Surfaces_Horti</v>
      </c>
      <c r="E526">
        <f t="shared" ca="1" si="33"/>
        <v>200</v>
      </c>
      <c r="F526">
        <f t="shared" ca="1" si="34"/>
        <v>214</v>
      </c>
      <c r="G526" t="str">
        <f t="shared" ca="1" si="35"/>
        <v>Surfaces_Horti</v>
      </c>
      <c r="H526" cm="1">
        <f t="array" aca="1" ref="H526" ca="1">ROW(INDIRECT(A526))</f>
        <v>30</v>
      </c>
      <c r="I526" cm="1">
        <f t="array" aca="1" ref="I526" ca="1">COLUMN(INDIRECT(A526))</f>
        <v>14</v>
      </c>
      <c r="M526" t="str" cm="1">
        <f t="array" aca="1" ref="M526" ca="1">IF(AND(J526="O",ISBLANK(INDIRECT(A526))),"Valeur obligatoire non renseignée","")</f>
        <v/>
      </c>
    </row>
    <row r="527" spans="1:13" x14ac:dyDescent="0.25">
      <c r="A527" s="91" t="s">
        <v>3204</v>
      </c>
      <c r="B527" cm="1">
        <f t="array" aca="1" ref="B527" ca="1">INDIRECT(A527)</f>
        <v>0</v>
      </c>
      <c r="C527">
        <f t="shared" ca="1" si="32"/>
        <v>5</v>
      </c>
      <c r="D527" t="str" cm="1">
        <f t="array" aca="1" ref="D527" ca="1">CELL("nomfichier",INDIRECT(A527))</f>
        <v>G:\SCPE\sdc\bq\6 - Mentions valorisantes\Certification environnementale\TEXTES_REGLEMENTATION_CE\Plans_contrôle et grilles\Grille audit niveau 3\Grille d'audit v1.11\[grille-audit-hvev4-v1.11-vf.xlsx]Surfaces_Horti</v>
      </c>
      <c r="E527">
        <f t="shared" ca="1" si="33"/>
        <v>200</v>
      </c>
      <c r="F527">
        <f t="shared" ca="1" si="34"/>
        <v>214</v>
      </c>
      <c r="G527" t="str">
        <f t="shared" ca="1" si="35"/>
        <v>Surfaces_Horti</v>
      </c>
      <c r="H527" cm="1">
        <f t="array" aca="1" ref="H527" ca="1">ROW(INDIRECT(A527))</f>
        <v>31</v>
      </c>
      <c r="I527" cm="1">
        <f t="array" aca="1" ref="I527" ca="1">COLUMN(INDIRECT(A527))</f>
        <v>2</v>
      </c>
      <c r="M527" t="str" cm="1">
        <f t="array" aca="1" ref="M527" ca="1">IF(AND(J527="O",ISBLANK(INDIRECT(A527))),"Valeur obligatoire non renseignée","")</f>
        <v/>
      </c>
    </row>
    <row r="528" spans="1:13" x14ac:dyDescent="0.25">
      <c r="A528" s="91" t="s">
        <v>3231</v>
      </c>
      <c r="B528" cm="1">
        <f t="array" aca="1" ref="B528" ca="1">INDIRECT(A528)</f>
        <v>0</v>
      </c>
      <c r="C528">
        <f t="shared" ca="1" si="32"/>
        <v>5</v>
      </c>
      <c r="D528" t="str" cm="1">
        <f t="array" aca="1" ref="D528" ca="1">CELL("nomfichier",INDIRECT(A528))</f>
        <v>G:\SCPE\sdc\bq\6 - Mentions valorisantes\Certification environnementale\TEXTES_REGLEMENTATION_CE\Plans_contrôle et grilles\Grille audit niveau 3\Grille d'audit v1.11\[grille-audit-hvev4-v1.11-vf.xlsx]Surfaces_Horti</v>
      </c>
      <c r="E528">
        <f t="shared" ca="1" si="33"/>
        <v>200</v>
      </c>
      <c r="F528">
        <f t="shared" ca="1" si="34"/>
        <v>214</v>
      </c>
      <c r="G528" t="str">
        <f t="shared" ca="1" si="35"/>
        <v>Surfaces_Horti</v>
      </c>
      <c r="H528" cm="1">
        <f t="array" aca="1" ref="H528" ca="1">ROW(INDIRECT(A528))</f>
        <v>31</v>
      </c>
      <c r="I528" cm="1">
        <f t="array" aca="1" ref="I528" ca="1">COLUMN(INDIRECT(A528))</f>
        <v>3</v>
      </c>
      <c r="M528" t="str" cm="1">
        <f t="array" aca="1" ref="M528" ca="1">IF(AND(J528="O",ISBLANK(INDIRECT(A528))),"Valeur obligatoire non renseignée","")</f>
        <v/>
      </c>
    </row>
    <row r="529" spans="1:13" x14ac:dyDescent="0.25">
      <c r="A529" s="91" t="s">
        <v>3258</v>
      </c>
      <c r="B529" cm="1">
        <f t="array" aca="1" ref="B529" ca="1">INDIRECT(A529)</f>
        <v>0</v>
      </c>
      <c r="C529">
        <f t="shared" ca="1" si="32"/>
        <v>5</v>
      </c>
      <c r="D529" t="str" cm="1">
        <f t="array" aca="1" ref="D529" ca="1">CELL("nomfichier",INDIRECT(A529))</f>
        <v>G:\SCPE\sdc\bq\6 - Mentions valorisantes\Certification environnementale\TEXTES_REGLEMENTATION_CE\Plans_contrôle et grilles\Grille audit niveau 3\Grille d'audit v1.11\[grille-audit-hvev4-v1.11-vf.xlsx]Surfaces_Horti</v>
      </c>
      <c r="E529">
        <f t="shared" ca="1" si="33"/>
        <v>200</v>
      </c>
      <c r="F529">
        <f t="shared" ca="1" si="34"/>
        <v>214</v>
      </c>
      <c r="G529" t="str">
        <f t="shared" ca="1" si="35"/>
        <v>Surfaces_Horti</v>
      </c>
      <c r="H529" cm="1">
        <f t="array" aca="1" ref="H529" ca="1">ROW(INDIRECT(A529))</f>
        <v>31</v>
      </c>
      <c r="I529" cm="1">
        <f t="array" aca="1" ref="I529" ca="1">COLUMN(INDIRECT(A529))</f>
        <v>4</v>
      </c>
      <c r="M529" t="str" cm="1">
        <f t="array" aca="1" ref="M529" ca="1">IF(AND(J529="O",ISBLANK(INDIRECT(A529))),"Valeur obligatoire non renseignée","")</f>
        <v/>
      </c>
    </row>
    <row r="530" spans="1:13" x14ac:dyDescent="0.25">
      <c r="A530" s="91" t="s">
        <v>3285</v>
      </c>
      <c r="B530" cm="1">
        <f t="array" aca="1" ref="B530" ca="1">INDIRECT(A530)</f>
        <v>0</v>
      </c>
      <c r="C530">
        <f t="shared" ca="1" si="32"/>
        <v>5</v>
      </c>
      <c r="D530" t="str" cm="1">
        <f t="array" aca="1" ref="D530" ca="1">CELL("nomfichier",INDIRECT(A530))</f>
        <v>G:\SCPE\sdc\bq\6 - Mentions valorisantes\Certification environnementale\TEXTES_REGLEMENTATION_CE\Plans_contrôle et grilles\Grille audit niveau 3\Grille d'audit v1.11\[grille-audit-hvev4-v1.11-vf.xlsx]Surfaces_Horti</v>
      </c>
      <c r="E530">
        <f t="shared" ca="1" si="33"/>
        <v>200</v>
      </c>
      <c r="F530">
        <f t="shared" ca="1" si="34"/>
        <v>214</v>
      </c>
      <c r="G530" t="str">
        <f t="shared" ca="1" si="35"/>
        <v>Surfaces_Horti</v>
      </c>
      <c r="H530" cm="1">
        <f t="array" aca="1" ref="H530" ca="1">ROW(INDIRECT(A530))</f>
        <v>31</v>
      </c>
      <c r="I530" cm="1">
        <f t="array" aca="1" ref="I530" ca="1">COLUMN(INDIRECT(A530))</f>
        <v>5</v>
      </c>
      <c r="M530" t="str" cm="1">
        <f t="array" aca="1" ref="M530" ca="1">IF(AND(J530="O",ISBLANK(INDIRECT(A530))),"Valeur obligatoire non renseignée","")</f>
        <v/>
      </c>
    </row>
    <row r="531" spans="1:13" x14ac:dyDescent="0.25">
      <c r="A531" s="91" t="s">
        <v>3312</v>
      </c>
      <c r="B531" cm="1">
        <f t="array" aca="1" ref="B531" ca="1">INDIRECT(A531)</f>
        <v>0</v>
      </c>
      <c r="C531">
        <f t="shared" ca="1" si="32"/>
        <v>5</v>
      </c>
      <c r="D531" t="str" cm="1">
        <f t="array" aca="1" ref="D531" ca="1">CELL("nomfichier",INDIRECT(A531))</f>
        <v>G:\SCPE\sdc\bq\6 - Mentions valorisantes\Certification environnementale\TEXTES_REGLEMENTATION_CE\Plans_contrôle et grilles\Grille audit niveau 3\Grille d'audit v1.11\[grille-audit-hvev4-v1.11-vf.xlsx]Surfaces_Horti</v>
      </c>
      <c r="E531">
        <f t="shared" ca="1" si="33"/>
        <v>200</v>
      </c>
      <c r="F531">
        <f t="shared" ca="1" si="34"/>
        <v>214</v>
      </c>
      <c r="G531" t="str">
        <f t="shared" ca="1" si="35"/>
        <v>Surfaces_Horti</v>
      </c>
      <c r="H531" cm="1">
        <f t="array" aca="1" ref="H531" ca="1">ROW(INDIRECT(A531))</f>
        <v>31</v>
      </c>
      <c r="I531" cm="1">
        <f t="array" aca="1" ref="I531" ca="1">COLUMN(INDIRECT(A531))</f>
        <v>6</v>
      </c>
      <c r="M531" t="str" cm="1">
        <f t="array" aca="1" ref="M531" ca="1">IF(AND(J531="O",ISBLANK(INDIRECT(A531))),"Valeur obligatoire non renseignée","")</f>
        <v/>
      </c>
    </row>
    <row r="532" spans="1:13" x14ac:dyDescent="0.25">
      <c r="A532" s="91" t="s">
        <v>3339</v>
      </c>
      <c r="B532" cm="1">
        <f t="array" aca="1" ref="B532" ca="1">INDIRECT(A532)</f>
        <v>0</v>
      </c>
      <c r="C532">
        <f t="shared" ca="1" si="32"/>
        <v>5</v>
      </c>
      <c r="D532" t="str" cm="1">
        <f t="array" aca="1" ref="D532" ca="1">CELL("nomfichier",INDIRECT(A532))</f>
        <v>G:\SCPE\sdc\bq\6 - Mentions valorisantes\Certification environnementale\TEXTES_REGLEMENTATION_CE\Plans_contrôle et grilles\Grille audit niveau 3\Grille d'audit v1.11\[grille-audit-hvev4-v1.11-vf.xlsx]Surfaces_Horti</v>
      </c>
      <c r="E532">
        <f t="shared" ca="1" si="33"/>
        <v>200</v>
      </c>
      <c r="F532">
        <f t="shared" ca="1" si="34"/>
        <v>214</v>
      </c>
      <c r="G532" t="str">
        <f t="shared" ca="1" si="35"/>
        <v>Surfaces_Horti</v>
      </c>
      <c r="H532" cm="1">
        <f t="array" aca="1" ref="H532" ca="1">ROW(INDIRECT(A532))</f>
        <v>31</v>
      </c>
      <c r="I532" cm="1">
        <f t="array" aca="1" ref="I532" ca="1">COLUMN(INDIRECT(A532))</f>
        <v>7</v>
      </c>
      <c r="M532" t="str" cm="1">
        <f t="array" aca="1" ref="M532" ca="1">IF(AND(J532="O",ISBLANK(INDIRECT(A532))),"Valeur obligatoire non renseignée","")</f>
        <v/>
      </c>
    </row>
    <row r="533" spans="1:13" x14ac:dyDescent="0.25">
      <c r="A533" s="91" t="s">
        <v>3366</v>
      </c>
      <c r="B533" cm="1">
        <f t="array" aca="1" ref="B533" ca="1">INDIRECT(A533)</f>
        <v>0</v>
      </c>
      <c r="C533">
        <f t="shared" ca="1" si="32"/>
        <v>5</v>
      </c>
      <c r="D533" t="str" cm="1">
        <f t="array" aca="1" ref="D533" ca="1">CELL("nomfichier",INDIRECT(A533))</f>
        <v>G:\SCPE\sdc\bq\6 - Mentions valorisantes\Certification environnementale\TEXTES_REGLEMENTATION_CE\Plans_contrôle et grilles\Grille audit niveau 3\Grille d'audit v1.11\[grille-audit-hvev4-v1.11-vf.xlsx]Surfaces_Horti</v>
      </c>
      <c r="E533">
        <f t="shared" ca="1" si="33"/>
        <v>200</v>
      </c>
      <c r="F533">
        <f t="shared" ca="1" si="34"/>
        <v>214</v>
      </c>
      <c r="G533" t="str">
        <f t="shared" ca="1" si="35"/>
        <v>Surfaces_Horti</v>
      </c>
      <c r="H533" cm="1">
        <f t="array" aca="1" ref="H533" ca="1">ROW(INDIRECT(A533))</f>
        <v>31</v>
      </c>
      <c r="I533" cm="1">
        <f t="array" aca="1" ref="I533" ca="1">COLUMN(INDIRECT(A533))</f>
        <v>8</v>
      </c>
      <c r="M533" t="str" cm="1">
        <f t="array" aca="1" ref="M533" ca="1">IF(AND(J533="O",ISBLANK(INDIRECT(A533))),"Valeur obligatoire non renseignée","")</f>
        <v/>
      </c>
    </row>
    <row r="534" spans="1:13" x14ac:dyDescent="0.25">
      <c r="A534" s="91" t="s">
        <v>3393</v>
      </c>
      <c r="B534" cm="1">
        <f t="array" aca="1" ref="B534" ca="1">INDIRECT(A534)</f>
        <v>0</v>
      </c>
      <c r="C534">
        <f t="shared" ca="1" si="32"/>
        <v>5</v>
      </c>
      <c r="D534" t="str" cm="1">
        <f t="array" aca="1" ref="D534" ca="1">CELL("nomfichier",INDIRECT(A534))</f>
        <v>G:\SCPE\sdc\bq\6 - Mentions valorisantes\Certification environnementale\TEXTES_REGLEMENTATION_CE\Plans_contrôle et grilles\Grille audit niveau 3\Grille d'audit v1.11\[grille-audit-hvev4-v1.11-vf.xlsx]Surfaces_Horti</v>
      </c>
      <c r="E534">
        <f t="shared" ca="1" si="33"/>
        <v>200</v>
      </c>
      <c r="F534">
        <f t="shared" ca="1" si="34"/>
        <v>214</v>
      </c>
      <c r="G534" t="str">
        <f t="shared" ca="1" si="35"/>
        <v>Surfaces_Horti</v>
      </c>
      <c r="H534" cm="1">
        <f t="array" aca="1" ref="H534" ca="1">ROW(INDIRECT(A534))</f>
        <v>31</v>
      </c>
      <c r="I534" cm="1">
        <f t="array" aca="1" ref="I534" ca="1">COLUMN(INDIRECT(A534))</f>
        <v>9</v>
      </c>
      <c r="M534" t="str" cm="1">
        <f t="array" aca="1" ref="M534" ca="1">IF(AND(J534="O",ISBLANK(INDIRECT(A534))),"Valeur obligatoire non renseignée","")</f>
        <v/>
      </c>
    </row>
    <row r="535" spans="1:13" x14ac:dyDescent="0.25">
      <c r="A535" s="91" t="s">
        <v>3420</v>
      </c>
      <c r="B535" cm="1">
        <f t="array" aca="1" ref="B535" ca="1">INDIRECT(A535)</f>
        <v>0</v>
      </c>
      <c r="C535">
        <f t="shared" ca="1" si="32"/>
        <v>5</v>
      </c>
      <c r="D535" t="str" cm="1">
        <f t="array" aca="1" ref="D535" ca="1">CELL("nomfichier",INDIRECT(A535))</f>
        <v>G:\SCPE\sdc\bq\6 - Mentions valorisantes\Certification environnementale\TEXTES_REGLEMENTATION_CE\Plans_contrôle et grilles\Grille audit niveau 3\Grille d'audit v1.11\[grille-audit-hvev4-v1.11-vf.xlsx]Surfaces_Horti</v>
      </c>
      <c r="E535">
        <f t="shared" ca="1" si="33"/>
        <v>200</v>
      </c>
      <c r="F535">
        <f t="shared" ca="1" si="34"/>
        <v>214</v>
      </c>
      <c r="G535" t="str">
        <f t="shared" ca="1" si="35"/>
        <v>Surfaces_Horti</v>
      </c>
      <c r="H535" cm="1">
        <f t="array" aca="1" ref="H535" ca="1">ROW(INDIRECT(A535))</f>
        <v>31</v>
      </c>
      <c r="I535" cm="1">
        <f t="array" aca="1" ref="I535" ca="1">COLUMN(INDIRECT(A535))</f>
        <v>10</v>
      </c>
      <c r="M535" t="str" cm="1">
        <f t="array" aca="1" ref="M535" ca="1">IF(AND(J535="O",ISBLANK(INDIRECT(A535))),"Valeur obligatoire non renseignée","")</f>
        <v/>
      </c>
    </row>
    <row r="536" spans="1:13" x14ac:dyDescent="0.25">
      <c r="A536" s="91" t="s">
        <v>3447</v>
      </c>
      <c r="B536" cm="1">
        <f t="array" aca="1" ref="B536" ca="1">INDIRECT(A536)</f>
        <v>0</v>
      </c>
      <c r="C536">
        <f t="shared" ca="1" si="32"/>
        <v>5</v>
      </c>
      <c r="D536" t="str" cm="1">
        <f t="array" aca="1" ref="D536" ca="1">CELL("nomfichier",INDIRECT(A536))</f>
        <v>G:\SCPE\sdc\bq\6 - Mentions valorisantes\Certification environnementale\TEXTES_REGLEMENTATION_CE\Plans_contrôle et grilles\Grille audit niveau 3\Grille d'audit v1.11\[grille-audit-hvev4-v1.11-vf.xlsx]Surfaces_Horti</v>
      </c>
      <c r="E536">
        <f t="shared" ca="1" si="33"/>
        <v>200</v>
      </c>
      <c r="F536">
        <f t="shared" ca="1" si="34"/>
        <v>214</v>
      </c>
      <c r="G536" t="str">
        <f t="shared" ca="1" si="35"/>
        <v>Surfaces_Horti</v>
      </c>
      <c r="H536" cm="1">
        <f t="array" aca="1" ref="H536" ca="1">ROW(INDIRECT(A536))</f>
        <v>31</v>
      </c>
      <c r="I536" cm="1">
        <f t="array" aca="1" ref="I536" ca="1">COLUMN(INDIRECT(A536))</f>
        <v>11</v>
      </c>
      <c r="M536" t="str" cm="1">
        <f t="array" aca="1" ref="M536" ca="1">IF(AND(J536="O",ISBLANK(INDIRECT(A536))),"Valeur obligatoire non renseignée","")</f>
        <v/>
      </c>
    </row>
    <row r="537" spans="1:13" x14ac:dyDescent="0.25">
      <c r="A537" s="91" t="s">
        <v>3474</v>
      </c>
      <c r="B537" cm="1">
        <f t="array" aca="1" ref="B537" ca="1">INDIRECT(A537)</f>
        <v>0</v>
      </c>
      <c r="C537">
        <f t="shared" ca="1" si="32"/>
        <v>5</v>
      </c>
      <c r="D537" t="str" cm="1">
        <f t="array" aca="1" ref="D537" ca="1">CELL("nomfichier",INDIRECT(A537))</f>
        <v>G:\SCPE\sdc\bq\6 - Mentions valorisantes\Certification environnementale\TEXTES_REGLEMENTATION_CE\Plans_contrôle et grilles\Grille audit niveau 3\Grille d'audit v1.11\[grille-audit-hvev4-v1.11-vf.xlsx]Surfaces_Horti</v>
      </c>
      <c r="E537">
        <f t="shared" ca="1" si="33"/>
        <v>200</v>
      </c>
      <c r="F537">
        <f t="shared" ca="1" si="34"/>
        <v>214</v>
      </c>
      <c r="G537" t="str">
        <f t="shared" ca="1" si="35"/>
        <v>Surfaces_Horti</v>
      </c>
      <c r="H537" cm="1">
        <f t="array" aca="1" ref="H537" ca="1">ROW(INDIRECT(A537))</f>
        <v>31</v>
      </c>
      <c r="I537" cm="1">
        <f t="array" aca="1" ref="I537" ca="1">COLUMN(INDIRECT(A537))</f>
        <v>12</v>
      </c>
      <c r="M537" t="str" cm="1">
        <f t="array" aca="1" ref="M537" ca="1">IF(AND(J537="O",ISBLANK(INDIRECT(A537))),"Valeur obligatoire non renseignée","")</f>
        <v/>
      </c>
    </row>
    <row r="538" spans="1:13" x14ac:dyDescent="0.25">
      <c r="A538" s="91" t="s">
        <v>3501</v>
      </c>
      <c r="B538" cm="1">
        <f t="array" aca="1" ref="B538" ca="1">INDIRECT(A538)</f>
        <v>0</v>
      </c>
      <c r="C538">
        <f t="shared" ca="1" si="32"/>
        <v>5</v>
      </c>
      <c r="D538" t="str" cm="1">
        <f t="array" aca="1" ref="D538" ca="1">CELL("nomfichier",INDIRECT(A538))</f>
        <v>G:\SCPE\sdc\bq\6 - Mentions valorisantes\Certification environnementale\TEXTES_REGLEMENTATION_CE\Plans_contrôle et grilles\Grille audit niveau 3\Grille d'audit v1.11\[grille-audit-hvev4-v1.11-vf.xlsx]Surfaces_Horti</v>
      </c>
      <c r="E538">
        <f t="shared" ca="1" si="33"/>
        <v>200</v>
      </c>
      <c r="F538">
        <f t="shared" ca="1" si="34"/>
        <v>214</v>
      </c>
      <c r="G538" t="str">
        <f t="shared" ca="1" si="35"/>
        <v>Surfaces_Horti</v>
      </c>
      <c r="H538" cm="1">
        <f t="array" aca="1" ref="H538" ca="1">ROW(INDIRECT(A538))</f>
        <v>31</v>
      </c>
      <c r="I538" cm="1">
        <f t="array" aca="1" ref="I538" ca="1">COLUMN(INDIRECT(A538))</f>
        <v>13</v>
      </c>
      <c r="M538" t="str" cm="1">
        <f t="array" aca="1" ref="M538" ca="1">IF(AND(J538="O",ISBLANK(INDIRECT(A538))),"Valeur obligatoire non renseignée","")</f>
        <v/>
      </c>
    </row>
    <row r="539" spans="1:13" x14ac:dyDescent="0.25">
      <c r="A539" s="91" t="s">
        <v>3528</v>
      </c>
      <c r="B539" cm="1">
        <f t="array" aca="1" ref="B539" ca="1">INDIRECT(A539)</f>
        <v>0</v>
      </c>
      <c r="C539">
        <f t="shared" ca="1" si="32"/>
        <v>5</v>
      </c>
      <c r="D539" t="str" cm="1">
        <f t="array" aca="1" ref="D539" ca="1">CELL("nomfichier",INDIRECT(A539))</f>
        <v>G:\SCPE\sdc\bq\6 - Mentions valorisantes\Certification environnementale\TEXTES_REGLEMENTATION_CE\Plans_contrôle et grilles\Grille audit niveau 3\Grille d'audit v1.11\[grille-audit-hvev4-v1.11-vf.xlsx]Surfaces_Horti</v>
      </c>
      <c r="E539">
        <f t="shared" ca="1" si="33"/>
        <v>200</v>
      </c>
      <c r="F539">
        <f t="shared" ca="1" si="34"/>
        <v>214</v>
      </c>
      <c r="G539" t="str">
        <f t="shared" ca="1" si="35"/>
        <v>Surfaces_Horti</v>
      </c>
      <c r="H539" cm="1">
        <f t="array" aca="1" ref="H539" ca="1">ROW(INDIRECT(A539))</f>
        <v>31</v>
      </c>
      <c r="I539" cm="1">
        <f t="array" aca="1" ref="I539" ca="1">COLUMN(INDIRECT(A539))</f>
        <v>14</v>
      </c>
      <c r="M539" t="str" cm="1">
        <f t="array" aca="1" ref="M539" ca="1">IF(AND(J539="O",ISBLANK(INDIRECT(A539))),"Valeur obligatoire non renseignée","")</f>
        <v/>
      </c>
    </row>
    <row r="540" spans="1:13" x14ac:dyDescent="0.25">
      <c r="A540" s="91" t="s">
        <v>3205</v>
      </c>
      <c r="B540" cm="1">
        <f t="array" aca="1" ref="B540" ca="1">INDIRECT(A540)</f>
        <v>0</v>
      </c>
      <c r="C540">
        <f t="shared" ca="1" si="32"/>
        <v>5</v>
      </c>
      <c r="D540" t="str" cm="1">
        <f t="array" aca="1" ref="D540" ca="1">CELL("nomfichier",INDIRECT(A540))</f>
        <v>G:\SCPE\sdc\bq\6 - Mentions valorisantes\Certification environnementale\TEXTES_REGLEMENTATION_CE\Plans_contrôle et grilles\Grille audit niveau 3\Grille d'audit v1.11\[grille-audit-hvev4-v1.11-vf.xlsx]Surfaces_Horti</v>
      </c>
      <c r="E540">
        <f t="shared" ca="1" si="33"/>
        <v>200</v>
      </c>
      <c r="F540">
        <f t="shared" ca="1" si="34"/>
        <v>214</v>
      </c>
      <c r="G540" t="str">
        <f t="shared" ca="1" si="35"/>
        <v>Surfaces_Horti</v>
      </c>
      <c r="H540" cm="1">
        <f t="array" aca="1" ref="H540" ca="1">ROW(INDIRECT(A540))</f>
        <v>32</v>
      </c>
      <c r="I540" cm="1">
        <f t="array" aca="1" ref="I540" ca="1">COLUMN(INDIRECT(A540))</f>
        <v>2</v>
      </c>
      <c r="M540" t="str" cm="1">
        <f t="array" aca="1" ref="M540" ca="1">IF(AND(J540="O",ISBLANK(INDIRECT(A540))),"Valeur obligatoire non renseignée","")</f>
        <v/>
      </c>
    </row>
    <row r="541" spans="1:13" x14ac:dyDescent="0.25">
      <c r="A541" s="91" t="s">
        <v>3232</v>
      </c>
      <c r="B541" cm="1">
        <f t="array" aca="1" ref="B541" ca="1">INDIRECT(A541)</f>
        <v>0</v>
      </c>
      <c r="C541">
        <f t="shared" ca="1" si="32"/>
        <v>5</v>
      </c>
      <c r="D541" t="str" cm="1">
        <f t="array" aca="1" ref="D541" ca="1">CELL("nomfichier",INDIRECT(A541))</f>
        <v>G:\SCPE\sdc\bq\6 - Mentions valorisantes\Certification environnementale\TEXTES_REGLEMENTATION_CE\Plans_contrôle et grilles\Grille audit niveau 3\Grille d'audit v1.11\[grille-audit-hvev4-v1.11-vf.xlsx]Surfaces_Horti</v>
      </c>
      <c r="E541">
        <f t="shared" ca="1" si="33"/>
        <v>200</v>
      </c>
      <c r="F541">
        <f t="shared" ca="1" si="34"/>
        <v>214</v>
      </c>
      <c r="G541" t="str">
        <f t="shared" ca="1" si="35"/>
        <v>Surfaces_Horti</v>
      </c>
      <c r="H541" cm="1">
        <f t="array" aca="1" ref="H541" ca="1">ROW(INDIRECT(A541))</f>
        <v>32</v>
      </c>
      <c r="I541" cm="1">
        <f t="array" aca="1" ref="I541" ca="1">COLUMN(INDIRECT(A541))</f>
        <v>3</v>
      </c>
      <c r="M541" t="str" cm="1">
        <f t="array" aca="1" ref="M541" ca="1">IF(AND(J541="O",ISBLANK(INDIRECT(A541))),"Valeur obligatoire non renseignée","")</f>
        <v/>
      </c>
    </row>
    <row r="542" spans="1:13" x14ac:dyDescent="0.25">
      <c r="A542" s="91" t="s">
        <v>3259</v>
      </c>
      <c r="B542" cm="1">
        <f t="array" aca="1" ref="B542" ca="1">INDIRECT(A542)</f>
        <v>0</v>
      </c>
      <c r="C542">
        <f t="shared" ca="1" si="32"/>
        <v>5</v>
      </c>
      <c r="D542" t="str" cm="1">
        <f t="array" aca="1" ref="D542" ca="1">CELL("nomfichier",INDIRECT(A542))</f>
        <v>G:\SCPE\sdc\bq\6 - Mentions valorisantes\Certification environnementale\TEXTES_REGLEMENTATION_CE\Plans_contrôle et grilles\Grille audit niveau 3\Grille d'audit v1.11\[grille-audit-hvev4-v1.11-vf.xlsx]Surfaces_Horti</v>
      </c>
      <c r="E542">
        <f t="shared" ca="1" si="33"/>
        <v>200</v>
      </c>
      <c r="F542">
        <f t="shared" ca="1" si="34"/>
        <v>214</v>
      </c>
      <c r="G542" t="str">
        <f t="shared" ca="1" si="35"/>
        <v>Surfaces_Horti</v>
      </c>
      <c r="H542" cm="1">
        <f t="array" aca="1" ref="H542" ca="1">ROW(INDIRECT(A542))</f>
        <v>32</v>
      </c>
      <c r="I542" cm="1">
        <f t="array" aca="1" ref="I542" ca="1">COLUMN(INDIRECT(A542))</f>
        <v>4</v>
      </c>
      <c r="M542" t="str" cm="1">
        <f t="array" aca="1" ref="M542" ca="1">IF(AND(J542="O",ISBLANK(INDIRECT(A542))),"Valeur obligatoire non renseignée","")</f>
        <v/>
      </c>
    </row>
    <row r="543" spans="1:13" x14ac:dyDescent="0.25">
      <c r="A543" s="91" t="s">
        <v>3286</v>
      </c>
      <c r="B543" cm="1">
        <f t="array" aca="1" ref="B543" ca="1">INDIRECT(A543)</f>
        <v>0</v>
      </c>
      <c r="C543">
        <f t="shared" ca="1" si="32"/>
        <v>5</v>
      </c>
      <c r="D543" t="str" cm="1">
        <f t="array" aca="1" ref="D543" ca="1">CELL("nomfichier",INDIRECT(A543))</f>
        <v>G:\SCPE\sdc\bq\6 - Mentions valorisantes\Certification environnementale\TEXTES_REGLEMENTATION_CE\Plans_contrôle et grilles\Grille audit niveau 3\Grille d'audit v1.11\[grille-audit-hvev4-v1.11-vf.xlsx]Surfaces_Horti</v>
      </c>
      <c r="E543">
        <f t="shared" ca="1" si="33"/>
        <v>200</v>
      </c>
      <c r="F543">
        <f t="shared" ca="1" si="34"/>
        <v>214</v>
      </c>
      <c r="G543" t="str">
        <f t="shared" ca="1" si="35"/>
        <v>Surfaces_Horti</v>
      </c>
      <c r="H543" cm="1">
        <f t="array" aca="1" ref="H543" ca="1">ROW(INDIRECT(A543))</f>
        <v>32</v>
      </c>
      <c r="I543" cm="1">
        <f t="array" aca="1" ref="I543" ca="1">COLUMN(INDIRECT(A543))</f>
        <v>5</v>
      </c>
      <c r="M543" t="str" cm="1">
        <f t="array" aca="1" ref="M543" ca="1">IF(AND(J543="O",ISBLANK(INDIRECT(A543))),"Valeur obligatoire non renseignée","")</f>
        <v/>
      </c>
    </row>
    <row r="544" spans="1:13" x14ac:dyDescent="0.25">
      <c r="A544" s="91" t="s">
        <v>3313</v>
      </c>
      <c r="B544" cm="1">
        <f t="array" aca="1" ref="B544" ca="1">INDIRECT(A544)</f>
        <v>0</v>
      </c>
      <c r="C544">
        <f t="shared" ca="1" si="32"/>
        <v>5</v>
      </c>
      <c r="D544" t="str" cm="1">
        <f t="array" aca="1" ref="D544" ca="1">CELL("nomfichier",INDIRECT(A544))</f>
        <v>G:\SCPE\sdc\bq\6 - Mentions valorisantes\Certification environnementale\TEXTES_REGLEMENTATION_CE\Plans_contrôle et grilles\Grille audit niveau 3\Grille d'audit v1.11\[grille-audit-hvev4-v1.11-vf.xlsx]Surfaces_Horti</v>
      </c>
      <c r="E544">
        <f t="shared" ca="1" si="33"/>
        <v>200</v>
      </c>
      <c r="F544">
        <f t="shared" ca="1" si="34"/>
        <v>214</v>
      </c>
      <c r="G544" t="str">
        <f t="shared" ca="1" si="35"/>
        <v>Surfaces_Horti</v>
      </c>
      <c r="H544" cm="1">
        <f t="array" aca="1" ref="H544" ca="1">ROW(INDIRECT(A544))</f>
        <v>32</v>
      </c>
      <c r="I544" cm="1">
        <f t="array" aca="1" ref="I544" ca="1">COLUMN(INDIRECT(A544))</f>
        <v>6</v>
      </c>
      <c r="M544" t="str" cm="1">
        <f t="array" aca="1" ref="M544" ca="1">IF(AND(J544="O",ISBLANK(INDIRECT(A544))),"Valeur obligatoire non renseignée","")</f>
        <v/>
      </c>
    </row>
    <row r="545" spans="1:13" x14ac:dyDescent="0.25">
      <c r="A545" s="91" t="s">
        <v>3340</v>
      </c>
      <c r="B545" cm="1">
        <f t="array" aca="1" ref="B545" ca="1">INDIRECT(A545)</f>
        <v>0</v>
      </c>
      <c r="C545">
        <f t="shared" ca="1" si="32"/>
        <v>5</v>
      </c>
      <c r="D545" t="str" cm="1">
        <f t="array" aca="1" ref="D545" ca="1">CELL("nomfichier",INDIRECT(A545))</f>
        <v>G:\SCPE\sdc\bq\6 - Mentions valorisantes\Certification environnementale\TEXTES_REGLEMENTATION_CE\Plans_contrôle et grilles\Grille audit niveau 3\Grille d'audit v1.11\[grille-audit-hvev4-v1.11-vf.xlsx]Surfaces_Horti</v>
      </c>
      <c r="E545">
        <f t="shared" ca="1" si="33"/>
        <v>200</v>
      </c>
      <c r="F545">
        <f t="shared" ca="1" si="34"/>
        <v>214</v>
      </c>
      <c r="G545" t="str">
        <f t="shared" ca="1" si="35"/>
        <v>Surfaces_Horti</v>
      </c>
      <c r="H545" cm="1">
        <f t="array" aca="1" ref="H545" ca="1">ROW(INDIRECT(A545))</f>
        <v>32</v>
      </c>
      <c r="I545" cm="1">
        <f t="array" aca="1" ref="I545" ca="1">COLUMN(INDIRECT(A545))</f>
        <v>7</v>
      </c>
      <c r="M545" t="str" cm="1">
        <f t="array" aca="1" ref="M545" ca="1">IF(AND(J545="O",ISBLANK(INDIRECT(A545))),"Valeur obligatoire non renseignée","")</f>
        <v/>
      </c>
    </row>
    <row r="546" spans="1:13" x14ac:dyDescent="0.25">
      <c r="A546" s="91" t="s">
        <v>3367</v>
      </c>
      <c r="B546" cm="1">
        <f t="array" aca="1" ref="B546" ca="1">INDIRECT(A546)</f>
        <v>0</v>
      </c>
      <c r="C546">
        <f t="shared" ca="1" si="32"/>
        <v>5</v>
      </c>
      <c r="D546" t="str" cm="1">
        <f t="array" aca="1" ref="D546" ca="1">CELL("nomfichier",INDIRECT(A546))</f>
        <v>G:\SCPE\sdc\bq\6 - Mentions valorisantes\Certification environnementale\TEXTES_REGLEMENTATION_CE\Plans_contrôle et grilles\Grille audit niveau 3\Grille d'audit v1.11\[grille-audit-hvev4-v1.11-vf.xlsx]Surfaces_Horti</v>
      </c>
      <c r="E546">
        <f t="shared" ca="1" si="33"/>
        <v>200</v>
      </c>
      <c r="F546">
        <f t="shared" ca="1" si="34"/>
        <v>214</v>
      </c>
      <c r="G546" t="str">
        <f t="shared" ca="1" si="35"/>
        <v>Surfaces_Horti</v>
      </c>
      <c r="H546" cm="1">
        <f t="array" aca="1" ref="H546" ca="1">ROW(INDIRECT(A546))</f>
        <v>32</v>
      </c>
      <c r="I546" cm="1">
        <f t="array" aca="1" ref="I546" ca="1">COLUMN(INDIRECT(A546))</f>
        <v>8</v>
      </c>
      <c r="M546" t="str" cm="1">
        <f t="array" aca="1" ref="M546" ca="1">IF(AND(J546="O",ISBLANK(INDIRECT(A546))),"Valeur obligatoire non renseignée","")</f>
        <v/>
      </c>
    </row>
    <row r="547" spans="1:13" x14ac:dyDescent="0.25">
      <c r="A547" s="91" t="s">
        <v>3394</v>
      </c>
      <c r="B547" cm="1">
        <f t="array" aca="1" ref="B547" ca="1">INDIRECT(A547)</f>
        <v>0</v>
      </c>
      <c r="C547">
        <f t="shared" ca="1" si="32"/>
        <v>5</v>
      </c>
      <c r="D547" t="str" cm="1">
        <f t="array" aca="1" ref="D547" ca="1">CELL("nomfichier",INDIRECT(A547))</f>
        <v>G:\SCPE\sdc\bq\6 - Mentions valorisantes\Certification environnementale\TEXTES_REGLEMENTATION_CE\Plans_contrôle et grilles\Grille audit niveau 3\Grille d'audit v1.11\[grille-audit-hvev4-v1.11-vf.xlsx]Surfaces_Horti</v>
      </c>
      <c r="E547">
        <f t="shared" ca="1" si="33"/>
        <v>200</v>
      </c>
      <c r="F547">
        <f t="shared" ca="1" si="34"/>
        <v>214</v>
      </c>
      <c r="G547" t="str">
        <f t="shared" ca="1" si="35"/>
        <v>Surfaces_Horti</v>
      </c>
      <c r="H547" cm="1">
        <f t="array" aca="1" ref="H547" ca="1">ROW(INDIRECT(A547))</f>
        <v>32</v>
      </c>
      <c r="I547" cm="1">
        <f t="array" aca="1" ref="I547" ca="1">COLUMN(INDIRECT(A547))</f>
        <v>9</v>
      </c>
      <c r="M547" t="str" cm="1">
        <f t="array" aca="1" ref="M547" ca="1">IF(AND(J547="O",ISBLANK(INDIRECT(A547))),"Valeur obligatoire non renseignée","")</f>
        <v/>
      </c>
    </row>
    <row r="548" spans="1:13" x14ac:dyDescent="0.25">
      <c r="A548" s="91" t="s">
        <v>3421</v>
      </c>
      <c r="B548" cm="1">
        <f t="array" aca="1" ref="B548" ca="1">INDIRECT(A548)</f>
        <v>0</v>
      </c>
      <c r="C548">
        <f t="shared" ca="1" si="32"/>
        <v>5</v>
      </c>
      <c r="D548" t="str" cm="1">
        <f t="array" aca="1" ref="D548" ca="1">CELL("nomfichier",INDIRECT(A548))</f>
        <v>G:\SCPE\sdc\bq\6 - Mentions valorisantes\Certification environnementale\TEXTES_REGLEMENTATION_CE\Plans_contrôle et grilles\Grille audit niveau 3\Grille d'audit v1.11\[grille-audit-hvev4-v1.11-vf.xlsx]Surfaces_Horti</v>
      </c>
      <c r="E548">
        <f t="shared" ca="1" si="33"/>
        <v>200</v>
      </c>
      <c r="F548">
        <f t="shared" ca="1" si="34"/>
        <v>214</v>
      </c>
      <c r="G548" t="str">
        <f t="shared" ca="1" si="35"/>
        <v>Surfaces_Horti</v>
      </c>
      <c r="H548" cm="1">
        <f t="array" aca="1" ref="H548" ca="1">ROW(INDIRECT(A548))</f>
        <v>32</v>
      </c>
      <c r="I548" cm="1">
        <f t="array" aca="1" ref="I548" ca="1">COLUMN(INDIRECT(A548))</f>
        <v>10</v>
      </c>
      <c r="M548" t="str" cm="1">
        <f t="array" aca="1" ref="M548" ca="1">IF(AND(J548="O",ISBLANK(INDIRECT(A548))),"Valeur obligatoire non renseignée","")</f>
        <v/>
      </c>
    </row>
    <row r="549" spans="1:13" x14ac:dyDescent="0.25">
      <c r="A549" s="91" t="s">
        <v>3448</v>
      </c>
      <c r="B549" cm="1">
        <f t="array" aca="1" ref="B549" ca="1">INDIRECT(A549)</f>
        <v>0</v>
      </c>
      <c r="C549">
        <f t="shared" ca="1" si="32"/>
        <v>5</v>
      </c>
      <c r="D549" t="str" cm="1">
        <f t="array" aca="1" ref="D549" ca="1">CELL("nomfichier",INDIRECT(A549))</f>
        <v>G:\SCPE\sdc\bq\6 - Mentions valorisantes\Certification environnementale\TEXTES_REGLEMENTATION_CE\Plans_contrôle et grilles\Grille audit niveau 3\Grille d'audit v1.11\[grille-audit-hvev4-v1.11-vf.xlsx]Surfaces_Horti</v>
      </c>
      <c r="E549">
        <f t="shared" ca="1" si="33"/>
        <v>200</v>
      </c>
      <c r="F549">
        <f t="shared" ca="1" si="34"/>
        <v>214</v>
      </c>
      <c r="G549" t="str">
        <f t="shared" ca="1" si="35"/>
        <v>Surfaces_Horti</v>
      </c>
      <c r="H549" cm="1">
        <f t="array" aca="1" ref="H549" ca="1">ROW(INDIRECT(A549))</f>
        <v>32</v>
      </c>
      <c r="I549" cm="1">
        <f t="array" aca="1" ref="I549" ca="1">COLUMN(INDIRECT(A549))</f>
        <v>11</v>
      </c>
      <c r="M549" t="str" cm="1">
        <f t="array" aca="1" ref="M549" ca="1">IF(AND(J549="O",ISBLANK(INDIRECT(A549))),"Valeur obligatoire non renseignée","")</f>
        <v/>
      </c>
    </row>
    <row r="550" spans="1:13" x14ac:dyDescent="0.25">
      <c r="A550" s="91" t="s">
        <v>3475</v>
      </c>
      <c r="B550" cm="1">
        <f t="array" aca="1" ref="B550" ca="1">INDIRECT(A550)</f>
        <v>0</v>
      </c>
      <c r="C550">
        <f t="shared" ca="1" si="32"/>
        <v>5</v>
      </c>
      <c r="D550" t="str" cm="1">
        <f t="array" aca="1" ref="D550" ca="1">CELL("nomfichier",INDIRECT(A550))</f>
        <v>G:\SCPE\sdc\bq\6 - Mentions valorisantes\Certification environnementale\TEXTES_REGLEMENTATION_CE\Plans_contrôle et grilles\Grille audit niveau 3\Grille d'audit v1.11\[grille-audit-hvev4-v1.11-vf.xlsx]Surfaces_Horti</v>
      </c>
      <c r="E550">
        <f t="shared" ca="1" si="33"/>
        <v>200</v>
      </c>
      <c r="F550">
        <f t="shared" ca="1" si="34"/>
        <v>214</v>
      </c>
      <c r="G550" t="str">
        <f t="shared" ca="1" si="35"/>
        <v>Surfaces_Horti</v>
      </c>
      <c r="H550" cm="1">
        <f t="array" aca="1" ref="H550" ca="1">ROW(INDIRECT(A550))</f>
        <v>32</v>
      </c>
      <c r="I550" cm="1">
        <f t="array" aca="1" ref="I550" ca="1">COLUMN(INDIRECT(A550))</f>
        <v>12</v>
      </c>
      <c r="M550" t="str" cm="1">
        <f t="array" aca="1" ref="M550" ca="1">IF(AND(J550="O",ISBLANK(INDIRECT(A550))),"Valeur obligatoire non renseignée","")</f>
        <v/>
      </c>
    </row>
    <row r="551" spans="1:13" x14ac:dyDescent="0.25">
      <c r="A551" s="91" t="s">
        <v>3502</v>
      </c>
      <c r="B551" cm="1">
        <f t="array" aca="1" ref="B551" ca="1">INDIRECT(A551)</f>
        <v>0</v>
      </c>
      <c r="C551">
        <f t="shared" ca="1" si="32"/>
        <v>5</v>
      </c>
      <c r="D551" t="str" cm="1">
        <f t="array" aca="1" ref="D551" ca="1">CELL("nomfichier",INDIRECT(A551))</f>
        <v>G:\SCPE\sdc\bq\6 - Mentions valorisantes\Certification environnementale\TEXTES_REGLEMENTATION_CE\Plans_contrôle et grilles\Grille audit niveau 3\Grille d'audit v1.11\[grille-audit-hvev4-v1.11-vf.xlsx]Surfaces_Horti</v>
      </c>
      <c r="E551">
        <f t="shared" ca="1" si="33"/>
        <v>200</v>
      </c>
      <c r="F551">
        <f t="shared" ca="1" si="34"/>
        <v>214</v>
      </c>
      <c r="G551" t="str">
        <f t="shared" ca="1" si="35"/>
        <v>Surfaces_Horti</v>
      </c>
      <c r="H551" cm="1">
        <f t="array" aca="1" ref="H551" ca="1">ROW(INDIRECT(A551))</f>
        <v>32</v>
      </c>
      <c r="I551" cm="1">
        <f t="array" aca="1" ref="I551" ca="1">COLUMN(INDIRECT(A551))</f>
        <v>13</v>
      </c>
      <c r="M551" t="str" cm="1">
        <f t="array" aca="1" ref="M551" ca="1">IF(AND(J551="O",ISBLANK(INDIRECT(A551))),"Valeur obligatoire non renseignée","")</f>
        <v/>
      </c>
    </row>
    <row r="552" spans="1:13" x14ac:dyDescent="0.25">
      <c r="A552" s="91" t="s">
        <v>3529</v>
      </c>
      <c r="B552" cm="1">
        <f t="array" aca="1" ref="B552" ca="1">INDIRECT(A552)</f>
        <v>0</v>
      </c>
      <c r="C552">
        <f t="shared" ca="1" si="32"/>
        <v>5</v>
      </c>
      <c r="D552" t="str" cm="1">
        <f t="array" aca="1" ref="D552" ca="1">CELL("nomfichier",INDIRECT(A552))</f>
        <v>G:\SCPE\sdc\bq\6 - Mentions valorisantes\Certification environnementale\TEXTES_REGLEMENTATION_CE\Plans_contrôle et grilles\Grille audit niveau 3\Grille d'audit v1.11\[grille-audit-hvev4-v1.11-vf.xlsx]Surfaces_Horti</v>
      </c>
      <c r="E552">
        <f t="shared" ca="1" si="33"/>
        <v>200</v>
      </c>
      <c r="F552">
        <f t="shared" ca="1" si="34"/>
        <v>214</v>
      </c>
      <c r="G552" t="str">
        <f t="shared" ca="1" si="35"/>
        <v>Surfaces_Horti</v>
      </c>
      <c r="H552" cm="1">
        <f t="array" aca="1" ref="H552" ca="1">ROW(INDIRECT(A552))</f>
        <v>32</v>
      </c>
      <c r="I552" cm="1">
        <f t="array" aca="1" ref="I552" ca="1">COLUMN(INDIRECT(A552))</f>
        <v>14</v>
      </c>
      <c r="M552" t="str" cm="1">
        <f t="array" aca="1" ref="M552" ca="1">IF(AND(J552="O",ISBLANK(INDIRECT(A552))),"Valeur obligatoire non renseignée","")</f>
        <v/>
      </c>
    </row>
    <row r="553" spans="1:13" x14ac:dyDescent="0.25">
      <c r="A553" s="91" t="s">
        <v>3206</v>
      </c>
      <c r="B553" cm="1">
        <f t="array" aca="1" ref="B553" ca="1">INDIRECT(A553)</f>
        <v>0</v>
      </c>
      <c r="C553">
        <f t="shared" ca="1" si="32"/>
        <v>5</v>
      </c>
      <c r="D553" t="str" cm="1">
        <f t="array" aca="1" ref="D553" ca="1">CELL("nomfichier",INDIRECT(A553))</f>
        <v>G:\SCPE\sdc\bq\6 - Mentions valorisantes\Certification environnementale\TEXTES_REGLEMENTATION_CE\Plans_contrôle et grilles\Grille audit niveau 3\Grille d'audit v1.11\[grille-audit-hvev4-v1.11-vf.xlsx]Surfaces_Horti</v>
      </c>
      <c r="E553">
        <f t="shared" ca="1" si="33"/>
        <v>200</v>
      </c>
      <c r="F553">
        <f t="shared" ca="1" si="34"/>
        <v>214</v>
      </c>
      <c r="G553" t="str">
        <f t="shared" ca="1" si="35"/>
        <v>Surfaces_Horti</v>
      </c>
      <c r="H553" cm="1">
        <f t="array" aca="1" ref="H553" ca="1">ROW(INDIRECT(A553))</f>
        <v>33</v>
      </c>
      <c r="I553" cm="1">
        <f t="array" aca="1" ref="I553" ca="1">COLUMN(INDIRECT(A553))</f>
        <v>2</v>
      </c>
      <c r="M553" t="str" cm="1">
        <f t="array" aca="1" ref="M553" ca="1">IF(AND(J553="O",ISBLANK(INDIRECT(A553))),"Valeur obligatoire non renseignée","")</f>
        <v/>
      </c>
    </row>
    <row r="554" spans="1:13" x14ac:dyDescent="0.25">
      <c r="A554" s="91" t="s">
        <v>3233</v>
      </c>
      <c r="B554" cm="1">
        <f t="array" aca="1" ref="B554" ca="1">INDIRECT(A554)</f>
        <v>0</v>
      </c>
      <c r="C554">
        <f t="shared" ca="1" si="32"/>
        <v>5</v>
      </c>
      <c r="D554" t="str" cm="1">
        <f t="array" aca="1" ref="D554" ca="1">CELL("nomfichier",INDIRECT(A554))</f>
        <v>G:\SCPE\sdc\bq\6 - Mentions valorisantes\Certification environnementale\TEXTES_REGLEMENTATION_CE\Plans_contrôle et grilles\Grille audit niveau 3\Grille d'audit v1.11\[grille-audit-hvev4-v1.11-vf.xlsx]Surfaces_Horti</v>
      </c>
      <c r="E554">
        <f t="shared" ca="1" si="33"/>
        <v>200</v>
      </c>
      <c r="F554">
        <f t="shared" ca="1" si="34"/>
        <v>214</v>
      </c>
      <c r="G554" t="str">
        <f t="shared" ca="1" si="35"/>
        <v>Surfaces_Horti</v>
      </c>
      <c r="H554" cm="1">
        <f t="array" aca="1" ref="H554" ca="1">ROW(INDIRECT(A554))</f>
        <v>33</v>
      </c>
      <c r="I554" cm="1">
        <f t="array" aca="1" ref="I554" ca="1">COLUMN(INDIRECT(A554))</f>
        <v>3</v>
      </c>
      <c r="M554" t="str" cm="1">
        <f t="array" aca="1" ref="M554" ca="1">IF(AND(J554="O",ISBLANK(INDIRECT(A554))),"Valeur obligatoire non renseignée","")</f>
        <v/>
      </c>
    </row>
    <row r="555" spans="1:13" x14ac:dyDescent="0.25">
      <c r="A555" s="91" t="s">
        <v>3260</v>
      </c>
      <c r="B555" cm="1">
        <f t="array" aca="1" ref="B555" ca="1">INDIRECT(A555)</f>
        <v>0</v>
      </c>
      <c r="C555">
        <f t="shared" ca="1" si="32"/>
        <v>5</v>
      </c>
      <c r="D555" t="str" cm="1">
        <f t="array" aca="1" ref="D555" ca="1">CELL("nomfichier",INDIRECT(A555))</f>
        <v>G:\SCPE\sdc\bq\6 - Mentions valorisantes\Certification environnementale\TEXTES_REGLEMENTATION_CE\Plans_contrôle et grilles\Grille audit niveau 3\Grille d'audit v1.11\[grille-audit-hvev4-v1.11-vf.xlsx]Surfaces_Horti</v>
      </c>
      <c r="E555">
        <f t="shared" ca="1" si="33"/>
        <v>200</v>
      </c>
      <c r="F555">
        <f t="shared" ca="1" si="34"/>
        <v>214</v>
      </c>
      <c r="G555" t="str">
        <f t="shared" ca="1" si="35"/>
        <v>Surfaces_Horti</v>
      </c>
      <c r="H555" cm="1">
        <f t="array" aca="1" ref="H555" ca="1">ROW(INDIRECT(A555))</f>
        <v>33</v>
      </c>
      <c r="I555" cm="1">
        <f t="array" aca="1" ref="I555" ca="1">COLUMN(INDIRECT(A555))</f>
        <v>4</v>
      </c>
      <c r="M555" t="str" cm="1">
        <f t="array" aca="1" ref="M555" ca="1">IF(AND(J555="O",ISBLANK(INDIRECT(A555))),"Valeur obligatoire non renseignée","")</f>
        <v/>
      </c>
    </row>
    <row r="556" spans="1:13" x14ac:dyDescent="0.25">
      <c r="A556" s="91" t="s">
        <v>3287</v>
      </c>
      <c r="B556" cm="1">
        <f t="array" aca="1" ref="B556" ca="1">INDIRECT(A556)</f>
        <v>0</v>
      </c>
      <c r="C556">
        <f t="shared" ca="1" si="32"/>
        <v>5</v>
      </c>
      <c r="D556" t="str" cm="1">
        <f t="array" aca="1" ref="D556" ca="1">CELL("nomfichier",INDIRECT(A556))</f>
        <v>G:\SCPE\sdc\bq\6 - Mentions valorisantes\Certification environnementale\TEXTES_REGLEMENTATION_CE\Plans_contrôle et grilles\Grille audit niveau 3\Grille d'audit v1.11\[grille-audit-hvev4-v1.11-vf.xlsx]Surfaces_Horti</v>
      </c>
      <c r="E556">
        <f t="shared" ca="1" si="33"/>
        <v>200</v>
      </c>
      <c r="F556">
        <f t="shared" ca="1" si="34"/>
        <v>214</v>
      </c>
      <c r="G556" t="str">
        <f t="shared" ca="1" si="35"/>
        <v>Surfaces_Horti</v>
      </c>
      <c r="H556" cm="1">
        <f t="array" aca="1" ref="H556" ca="1">ROW(INDIRECT(A556))</f>
        <v>33</v>
      </c>
      <c r="I556" cm="1">
        <f t="array" aca="1" ref="I556" ca="1">COLUMN(INDIRECT(A556))</f>
        <v>5</v>
      </c>
      <c r="M556" t="str" cm="1">
        <f t="array" aca="1" ref="M556" ca="1">IF(AND(J556="O",ISBLANK(INDIRECT(A556))),"Valeur obligatoire non renseignée","")</f>
        <v/>
      </c>
    </row>
    <row r="557" spans="1:13" x14ac:dyDescent="0.25">
      <c r="A557" s="91" t="s">
        <v>3314</v>
      </c>
      <c r="B557" cm="1">
        <f t="array" aca="1" ref="B557" ca="1">INDIRECT(A557)</f>
        <v>0</v>
      </c>
      <c r="C557">
        <f t="shared" ca="1" si="32"/>
        <v>5</v>
      </c>
      <c r="D557" t="str" cm="1">
        <f t="array" aca="1" ref="D557" ca="1">CELL("nomfichier",INDIRECT(A557))</f>
        <v>G:\SCPE\sdc\bq\6 - Mentions valorisantes\Certification environnementale\TEXTES_REGLEMENTATION_CE\Plans_contrôle et grilles\Grille audit niveau 3\Grille d'audit v1.11\[grille-audit-hvev4-v1.11-vf.xlsx]Surfaces_Horti</v>
      </c>
      <c r="E557">
        <f t="shared" ca="1" si="33"/>
        <v>200</v>
      </c>
      <c r="F557">
        <f t="shared" ca="1" si="34"/>
        <v>214</v>
      </c>
      <c r="G557" t="str">
        <f t="shared" ca="1" si="35"/>
        <v>Surfaces_Horti</v>
      </c>
      <c r="H557" cm="1">
        <f t="array" aca="1" ref="H557" ca="1">ROW(INDIRECT(A557))</f>
        <v>33</v>
      </c>
      <c r="I557" cm="1">
        <f t="array" aca="1" ref="I557" ca="1">COLUMN(INDIRECT(A557))</f>
        <v>6</v>
      </c>
      <c r="M557" t="str" cm="1">
        <f t="array" aca="1" ref="M557" ca="1">IF(AND(J557="O",ISBLANK(INDIRECT(A557))),"Valeur obligatoire non renseignée","")</f>
        <v/>
      </c>
    </row>
    <row r="558" spans="1:13" x14ac:dyDescent="0.25">
      <c r="A558" s="91" t="s">
        <v>3341</v>
      </c>
      <c r="B558" cm="1">
        <f t="array" aca="1" ref="B558" ca="1">INDIRECT(A558)</f>
        <v>0</v>
      </c>
      <c r="C558">
        <f t="shared" ca="1" si="32"/>
        <v>5</v>
      </c>
      <c r="D558" t="str" cm="1">
        <f t="array" aca="1" ref="D558" ca="1">CELL("nomfichier",INDIRECT(A558))</f>
        <v>G:\SCPE\sdc\bq\6 - Mentions valorisantes\Certification environnementale\TEXTES_REGLEMENTATION_CE\Plans_contrôle et grilles\Grille audit niveau 3\Grille d'audit v1.11\[grille-audit-hvev4-v1.11-vf.xlsx]Surfaces_Horti</v>
      </c>
      <c r="E558">
        <f t="shared" ca="1" si="33"/>
        <v>200</v>
      </c>
      <c r="F558">
        <f t="shared" ca="1" si="34"/>
        <v>214</v>
      </c>
      <c r="G558" t="str">
        <f t="shared" ca="1" si="35"/>
        <v>Surfaces_Horti</v>
      </c>
      <c r="H558" cm="1">
        <f t="array" aca="1" ref="H558" ca="1">ROW(INDIRECT(A558))</f>
        <v>33</v>
      </c>
      <c r="I558" cm="1">
        <f t="array" aca="1" ref="I558" ca="1">COLUMN(INDIRECT(A558))</f>
        <v>7</v>
      </c>
      <c r="M558" t="str" cm="1">
        <f t="array" aca="1" ref="M558" ca="1">IF(AND(J558="O",ISBLANK(INDIRECT(A558))),"Valeur obligatoire non renseignée","")</f>
        <v/>
      </c>
    </row>
    <row r="559" spans="1:13" x14ac:dyDescent="0.25">
      <c r="A559" s="91" t="s">
        <v>3368</v>
      </c>
      <c r="B559" cm="1">
        <f t="array" aca="1" ref="B559" ca="1">INDIRECT(A559)</f>
        <v>0</v>
      </c>
      <c r="C559">
        <f t="shared" ca="1" si="32"/>
        <v>5</v>
      </c>
      <c r="D559" t="str" cm="1">
        <f t="array" aca="1" ref="D559" ca="1">CELL("nomfichier",INDIRECT(A559))</f>
        <v>G:\SCPE\sdc\bq\6 - Mentions valorisantes\Certification environnementale\TEXTES_REGLEMENTATION_CE\Plans_contrôle et grilles\Grille audit niveau 3\Grille d'audit v1.11\[grille-audit-hvev4-v1.11-vf.xlsx]Surfaces_Horti</v>
      </c>
      <c r="E559">
        <f t="shared" ca="1" si="33"/>
        <v>200</v>
      </c>
      <c r="F559">
        <f t="shared" ca="1" si="34"/>
        <v>214</v>
      </c>
      <c r="G559" t="str">
        <f t="shared" ca="1" si="35"/>
        <v>Surfaces_Horti</v>
      </c>
      <c r="H559" cm="1">
        <f t="array" aca="1" ref="H559" ca="1">ROW(INDIRECT(A559))</f>
        <v>33</v>
      </c>
      <c r="I559" cm="1">
        <f t="array" aca="1" ref="I559" ca="1">COLUMN(INDIRECT(A559))</f>
        <v>8</v>
      </c>
      <c r="M559" t="str" cm="1">
        <f t="array" aca="1" ref="M559" ca="1">IF(AND(J559="O",ISBLANK(INDIRECT(A559))),"Valeur obligatoire non renseignée","")</f>
        <v/>
      </c>
    </row>
    <row r="560" spans="1:13" x14ac:dyDescent="0.25">
      <c r="A560" s="91" t="s">
        <v>3395</v>
      </c>
      <c r="B560" cm="1">
        <f t="array" aca="1" ref="B560" ca="1">INDIRECT(A560)</f>
        <v>0</v>
      </c>
      <c r="C560">
        <f t="shared" ca="1" si="32"/>
        <v>5</v>
      </c>
      <c r="D560" t="str" cm="1">
        <f t="array" aca="1" ref="D560" ca="1">CELL("nomfichier",INDIRECT(A560))</f>
        <v>G:\SCPE\sdc\bq\6 - Mentions valorisantes\Certification environnementale\TEXTES_REGLEMENTATION_CE\Plans_contrôle et grilles\Grille audit niveau 3\Grille d'audit v1.11\[grille-audit-hvev4-v1.11-vf.xlsx]Surfaces_Horti</v>
      </c>
      <c r="E560">
        <f t="shared" ca="1" si="33"/>
        <v>200</v>
      </c>
      <c r="F560">
        <f t="shared" ca="1" si="34"/>
        <v>214</v>
      </c>
      <c r="G560" t="str">
        <f t="shared" ca="1" si="35"/>
        <v>Surfaces_Horti</v>
      </c>
      <c r="H560" cm="1">
        <f t="array" aca="1" ref="H560" ca="1">ROW(INDIRECT(A560))</f>
        <v>33</v>
      </c>
      <c r="I560" cm="1">
        <f t="array" aca="1" ref="I560" ca="1">COLUMN(INDIRECT(A560))</f>
        <v>9</v>
      </c>
      <c r="M560" t="str" cm="1">
        <f t="array" aca="1" ref="M560" ca="1">IF(AND(J560="O",ISBLANK(INDIRECT(A560))),"Valeur obligatoire non renseignée","")</f>
        <v/>
      </c>
    </row>
    <row r="561" spans="1:13" x14ac:dyDescent="0.25">
      <c r="A561" s="91" t="s">
        <v>3422</v>
      </c>
      <c r="B561" cm="1">
        <f t="array" aca="1" ref="B561" ca="1">INDIRECT(A561)</f>
        <v>0</v>
      </c>
      <c r="C561">
        <f t="shared" ca="1" si="32"/>
        <v>5</v>
      </c>
      <c r="D561" t="str" cm="1">
        <f t="array" aca="1" ref="D561" ca="1">CELL("nomfichier",INDIRECT(A561))</f>
        <v>G:\SCPE\sdc\bq\6 - Mentions valorisantes\Certification environnementale\TEXTES_REGLEMENTATION_CE\Plans_contrôle et grilles\Grille audit niveau 3\Grille d'audit v1.11\[grille-audit-hvev4-v1.11-vf.xlsx]Surfaces_Horti</v>
      </c>
      <c r="E561">
        <f t="shared" ca="1" si="33"/>
        <v>200</v>
      </c>
      <c r="F561">
        <f t="shared" ca="1" si="34"/>
        <v>214</v>
      </c>
      <c r="G561" t="str">
        <f t="shared" ca="1" si="35"/>
        <v>Surfaces_Horti</v>
      </c>
      <c r="H561" cm="1">
        <f t="array" aca="1" ref="H561" ca="1">ROW(INDIRECT(A561))</f>
        <v>33</v>
      </c>
      <c r="I561" cm="1">
        <f t="array" aca="1" ref="I561" ca="1">COLUMN(INDIRECT(A561))</f>
        <v>10</v>
      </c>
      <c r="M561" t="str" cm="1">
        <f t="array" aca="1" ref="M561" ca="1">IF(AND(J561="O",ISBLANK(INDIRECT(A561))),"Valeur obligatoire non renseignée","")</f>
        <v/>
      </c>
    </row>
    <row r="562" spans="1:13" x14ac:dyDescent="0.25">
      <c r="A562" s="91" t="s">
        <v>3449</v>
      </c>
      <c r="B562" cm="1">
        <f t="array" aca="1" ref="B562" ca="1">INDIRECT(A562)</f>
        <v>0</v>
      </c>
      <c r="C562">
        <f t="shared" ca="1" si="32"/>
        <v>5</v>
      </c>
      <c r="D562" t="str" cm="1">
        <f t="array" aca="1" ref="D562" ca="1">CELL("nomfichier",INDIRECT(A562))</f>
        <v>G:\SCPE\sdc\bq\6 - Mentions valorisantes\Certification environnementale\TEXTES_REGLEMENTATION_CE\Plans_contrôle et grilles\Grille audit niveau 3\Grille d'audit v1.11\[grille-audit-hvev4-v1.11-vf.xlsx]Surfaces_Horti</v>
      </c>
      <c r="E562">
        <f t="shared" ca="1" si="33"/>
        <v>200</v>
      </c>
      <c r="F562">
        <f t="shared" ca="1" si="34"/>
        <v>214</v>
      </c>
      <c r="G562" t="str">
        <f t="shared" ca="1" si="35"/>
        <v>Surfaces_Horti</v>
      </c>
      <c r="H562" cm="1">
        <f t="array" aca="1" ref="H562" ca="1">ROW(INDIRECT(A562))</f>
        <v>33</v>
      </c>
      <c r="I562" cm="1">
        <f t="array" aca="1" ref="I562" ca="1">COLUMN(INDIRECT(A562))</f>
        <v>11</v>
      </c>
      <c r="M562" t="str" cm="1">
        <f t="array" aca="1" ref="M562" ca="1">IF(AND(J562="O",ISBLANK(INDIRECT(A562))),"Valeur obligatoire non renseignée","")</f>
        <v/>
      </c>
    </row>
    <row r="563" spans="1:13" x14ac:dyDescent="0.25">
      <c r="A563" s="91" t="s">
        <v>3476</v>
      </c>
      <c r="B563" cm="1">
        <f t="array" aca="1" ref="B563" ca="1">INDIRECT(A563)</f>
        <v>0</v>
      </c>
      <c r="C563">
        <f t="shared" ca="1" si="32"/>
        <v>5</v>
      </c>
      <c r="D563" t="str" cm="1">
        <f t="array" aca="1" ref="D563" ca="1">CELL("nomfichier",INDIRECT(A563))</f>
        <v>G:\SCPE\sdc\bq\6 - Mentions valorisantes\Certification environnementale\TEXTES_REGLEMENTATION_CE\Plans_contrôle et grilles\Grille audit niveau 3\Grille d'audit v1.11\[grille-audit-hvev4-v1.11-vf.xlsx]Surfaces_Horti</v>
      </c>
      <c r="E563">
        <f t="shared" ca="1" si="33"/>
        <v>200</v>
      </c>
      <c r="F563">
        <f t="shared" ca="1" si="34"/>
        <v>214</v>
      </c>
      <c r="G563" t="str">
        <f t="shared" ca="1" si="35"/>
        <v>Surfaces_Horti</v>
      </c>
      <c r="H563" cm="1">
        <f t="array" aca="1" ref="H563" ca="1">ROW(INDIRECT(A563))</f>
        <v>33</v>
      </c>
      <c r="I563" cm="1">
        <f t="array" aca="1" ref="I563" ca="1">COLUMN(INDIRECT(A563))</f>
        <v>12</v>
      </c>
      <c r="M563" t="str" cm="1">
        <f t="array" aca="1" ref="M563" ca="1">IF(AND(J563="O",ISBLANK(INDIRECT(A563))),"Valeur obligatoire non renseignée","")</f>
        <v/>
      </c>
    </row>
    <row r="564" spans="1:13" x14ac:dyDescent="0.25">
      <c r="A564" s="91" t="s">
        <v>3503</v>
      </c>
      <c r="B564" cm="1">
        <f t="array" aca="1" ref="B564" ca="1">INDIRECT(A564)</f>
        <v>0</v>
      </c>
      <c r="C564">
        <f t="shared" ca="1" si="32"/>
        <v>5</v>
      </c>
      <c r="D564" t="str" cm="1">
        <f t="array" aca="1" ref="D564" ca="1">CELL("nomfichier",INDIRECT(A564))</f>
        <v>G:\SCPE\sdc\bq\6 - Mentions valorisantes\Certification environnementale\TEXTES_REGLEMENTATION_CE\Plans_contrôle et grilles\Grille audit niveau 3\Grille d'audit v1.11\[grille-audit-hvev4-v1.11-vf.xlsx]Surfaces_Horti</v>
      </c>
      <c r="E564">
        <f t="shared" ca="1" si="33"/>
        <v>200</v>
      </c>
      <c r="F564">
        <f t="shared" ca="1" si="34"/>
        <v>214</v>
      </c>
      <c r="G564" t="str">
        <f t="shared" ca="1" si="35"/>
        <v>Surfaces_Horti</v>
      </c>
      <c r="H564" cm="1">
        <f t="array" aca="1" ref="H564" ca="1">ROW(INDIRECT(A564))</f>
        <v>33</v>
      </c>
      <c r="I564" cm="1">
        <f t="array" aca="1" ref="I564" ca="1">COLUMN(INDIRECT(A564))</f>
        <v>13</v>
      </c>
      <c r="M564" t="str" cm="1">
        <f t="array" aca="1" ref="M564" ca="1">IF(AND(J564="O",ISBLANK(INDIRECT(A564))),"Valeur obligatoire non renseignée","")</f>
        <v/>
      </c>
    </row>
    <row r="565" spans="1:13" x14ac:dyDescent="0.25">
      <c r="A565" s="91" t="s">
        <v>3530</v>
      </c>
      <c r="B565" cm="1">
        <f t="array" aca="1" ref="B565" ca="1">INDIRECT(A565)</f>
        <v>0</v>
      </c>
      <c r="C565">
        <f t="shared" ca="1" si="32"/>
        <v>5</v>
      </c>
      <c r="D565" t="str" cm="1">
        <f t="array" aca="1" ref="D565" ca="1">CELL("nomfichier",INDIRECT(A565))</f>
        <v>G:\SCPE\sdc\bq\6 - Mentions valorisantes\Certification environnementale\TEXTES_REGLEMENTATION_CE\Plans_contrôle et grilles\Grille audit niveau 3\Grille d'audit v1.11\[grille-audit-hvev4-v1.11-vf.xlsx]Surfaces_Horti</v>
      </c>
      <c r="E565">
        <f t="shared" ca="1" si="33"/>
        <v>200</v>
      </c>
      <c r="F565">
        <f t="shared" ca="1" si="34"/>
        <v>214</v>
      </c>
      <c r="G565" t="str">
        <f t="shared" ca="1" si="35"/>
        <v>Surfaces_Horti</v>
      </c>
      <c r="H565" cm="1">
        <f t="array" aca="1" ref="H565" ca="1">ROW(INDIRECT(A565))</f>
        <v>33</v>
      </c>
      <c r="I565" cm="1">
        <f t="array" aca="1" ref="I565" ca="1">COLUMN(INDIRECT(A565))</f>
        <v>14</v>
      </c>
      <c r="M565" t="str" cm="1">
        <f t="array" aca="1" ref="M565" ca="1">IF(AND(J565="O",ISBLANK(INDIRECT(A565))),"Valeur obligatoire non renseignée","")</f>
        <v/>
      </c>
    </row>
    <row r="566" spans="1:13" x14ac:dyDescent="0.25">
      <c r="A566" s="91" t="s">
        <v>3207</v>
      </c>
      <c r="B566" cm="1">
        <f t="array" aca="1" ref="B566" ca="1">INDIRECT(A566)</f>
        <v>0</v>
      </c>
      <c r="C566">
        <f t="shared" ca="1" si="32"/>
        <v>5</v>
      </c>
      <c r="D566" t="str" cm="1">
        <f t="array" aca="1" ref="D566" ca="1">CELL("nomfichier",INDIRECT(A566))</f>
        <v>G:\SCPE\sdc\bq\6 - Mentions valorisantes\Certification environnementale\TEXTES_REGLEMENTATION_CE\Plans_contrôle et grilles\Grille audit niveau 3\Grille d'audit v1.11\[grille-audit-hvev4-v1.11-vf.xlsx]Surfaces_Horti</v>
      </c>
      <c r="E566">
        <f t="shared" ca="1" si="33"/>
        <v>200</v>
      </c>
      <c r="F566">
        <f t="shared" ca="1" si="34"/>
        <v>214</v>
      </c>
      <c r="G566" t="str">
        <f t="shared" ca="1" si="35"/>
        <v>Surfaces_Horti</v>
      </c>
      <c r="H566" cm="1">
        <f t="array" aca="1" ref="H566" ca="1">ROW(INDIRECT(A566))</f>
        <v>35</v>
      </c>
      <c r="I566" cm="1">
        <f t="array" aca="1" ref="I566" ca="1">COLUMN(INDIRECT(A566))</f>
        <v>2</v>
      </c>
      <c r="M566" t="str" cm="1">
        <f t="array" aca="1" ref="M566" ca="1">IF(AND(J566="O",ISBLANK(INDIRECT(A566))),"Valeur obligatoire non renseignée","")</f>
        <v/>
      </c>
    </row>
    <row r="567" spans="1:13" x14ac:dyDescent="0.25">
      <c r="A567" s="91" t="s">
        <v>3234</v>
      </c>
      <c r="B567" cm="1">
        <f t="array" aca="1" ref="B567" ca="1">INDIRECT(A567)</f>
        <v>0</v>
      </c>
      <c r="C567">
        <f t="shared" ca="1" si="32"/>
        <v>5</v>
      </c>
      <c r="D567" t="str" cm="1">
        <f t="array" aca="1" ref="D567" ca="1">CELL("nomfichier",INDIRECT(A567))</f>
        <v>G:\SCPE\sdc\bq\6 - Mentions valorisantes\Certification environnementale\TEXTES_REGLEMENTATION_CE\Plans_contrôle et grilles\Grille audit niveau 3\Grille d'audit v1.11\[grille-audit-hvev4-v1.11-vf.xlsx]Surfaces_Horti</v>
      </c>
      <c r="E567">
        <f t="shared" ca="1" si="33"/>
        <v>200</v>
      </c>
      <c r="F567">
        <f t="shared" ca="1" si="34"/>
        <v>214</v>
      </c>
      <c r="G567" t="str">
        <f t="shared" ca="1" si="35"/>
        <v>Surfaces_Horti</v>
      </c>
      <c r="H567" cm="1">
        <f t="array" aca="1" ref="H567" ca="1">ROW(INDIRECT(A567))</f>
        <v>35</v>
      </c>
      <c r="I567" cm="1">
        <f t="array" aca="1" ref="I567" ca="1">COLUMN(INDIRECT(A567))</f>
        <v>3</v>
      </c>
      <c r="M567" t="str" cm="1">
        <f t="array" aca="1" ref="M567" ca="1">IF(AND(J567="O",ISBLANK(INDIRECT(A567))),"Valeur obligatoire non renseignée","")</f>
        <v/>
      </c>
    </row>
    <row r="568" spans="1:13" x14ac:dyDescent="0.25">
      <c r="A568" s="91" t="s">
        <v>3261</v>
      </c>
      <c r="B568" cm="1">
        <f t="array" aca="1" ref="B568" ca="1">INDIRECT(A568)</f>
        <v>0</v>
      </c>
      <c r="C568">
        <f t="shared" ca="1" si="32"/>
        <v>5</v>
      </c>
      <c r="D568" t="str" cm="1">
        <f t="array" aca="1" ref="D568" ca="1">CELL("nomfichier",INDIRECT(A568))</f>
        <v>G:\SCPE\sdc\bq\6 - Mentions valorisantes\Certification environnementale\TEXTES_REGLEMENTATION_CE\Plans_contrôle et grilles\Grille audit niveau 3\Grille d'audit v1.11\[grille-audit-hvev4-v1.11-vf.xlsx]Surfaces_Horti</v>
      </c>
      <c r="E568">
        <f t="shared" ca="1" si="33"/>
        <v>200</v>
      </c>
      <c r="F568">
        <f t="shared" ca="1" si="34"/>
        <v>214</v>
      </c>
      <c r="G568" t="str">
        <f t="shared" ca="1" si="35"/>
        <v>Surfaces_Horti</v>
      </c>
      <c r="H568" cm="1">
        <f t="array" aca="1" ref="H568" ca="1">ROW(INDIRECT(A568))</f>
        <v>35</v>
      </c>
      <c r="I568" cm="1">
        <f t="array" aca="1" ref="I568" ca="1">COLUMN(INDIRECT(A568))</f>
        <v>4</v>
      </c>
      <c r="M568" t="str" cm="1">
        <f t="array" aca="1" ref="M568" ca="1">IF(AND(J568="O",ISBLANK(INDIRECT(A568))),"Valeur obligatoire non renseignée","")</f>
        <v/>
      </c>
    </row>
    <row r="569" spans="1:13" x14ac:dyDescent="0.25">
      <c r="A569" s="91" t="s">
        <v>3288</v>
      </c>
      <c r="B569" cm="1">
        <f t="array" aca="1" ref="B569" ca="1">INDIRECT(A569)</f>
        <v>0</v>
      </c>
      <c r="C569">
        <f t="shared" ca="1" si="32"/>
        <v>5</v>
      </c>
      <c r="D569" t="str" cm="1">
        <f t="array" aca="1" ref="D569" ca="1">CELL("nomfichier",INDIRECT(A569))</f>
        <v>G:\SCPE\sdc\bq\6 - Mentions valorisantes\Certification environnementale\TEXTES_REGLEMENTATION_CE\Plans_contrôle et grilles\Grille audit niveau 3\Grille d'audit v1.11\[grille-audit-hvev4-v1.11-vf.xlsx]Surfaces_Horti</v>
      </c>
      <c r="E569">
        <f t="shared" ca="1" si="33"/>
        <v>200</v>
      </c>
      <c r="F569">
        <f t="shared" ca="1" si="34"/>
        <v>214</v>
      </c>
      <c r="G569" t="str">
        <f t="shared" ca="1" si="35"/>
        <v>Surfaces_Horti</v>
      </c>
      <c r="H569" cm="1">
        <f t="array" aca="1" ref="H569" ca="1">ROW(INDIRECT(A569))</f>
        <v>35</v>
      </c>
      <c r="I569" cm="1">
        <f t="array" aca="1" ref="I569" ca="1">COLUMN(INDIRECT(A569))</f>
        <v>5</v>
      </c>
      <c r="M569" t="str" cm="1">
        <f t="array" aca="1" ref="M569" ca="1">IF(AND(J569="O",ISBLANK(INDIRECT(A569))),"Valeur obligatoire non renseignée","")</f>
        <v/>
      </c>
    </row>
    <row r="570" spans="1:13" x14ac:dyDescent="0.25">
      <c r="A570" s="91" t="s">
        <v>3315</v>
      </c>
      <c r="B570" cm="1">
        <f t="array" aca="1" ref="B570" ca="1">INDIRECT(A570)</f>
        <v>0</v>
      </c>
      <c r="C570">
        <f t="shared" ca="1" si="32"/>
        <v>5</v>
      </c>
      <c r="D570" t="str" cm="1">
        <f t="array" aca="1" ref="D570" ca="1">CELL("nomfichier",INDIRECT(A570))</f>
        <v>G:\SCPE\sdc\bq\6 - Mentions valorisantes\Certification environnementale\TEXTES_REGLEMENTATION_CE\Plans_contrôle et grilles\Grille audit niveau 3\Grille d'audit v1.11\[grille-audit-hvev4-v1.11-vf.xlsx]Surfaces_Horti</v>
      </c>
      <c r="E570">
        <f t="shared" ca="1" si="33"/>
        <v>200</v>
      </c>
      <c r="F570">
        <f t="shared" ca="1" si="34"/>
        <v>214</v>
      </c>
      <c r="G570" t="str">
        <f t="shared" ca="1" si="35"/>
        <v>Surfaces_Horti</v>
      </c>
      <c r="H570" cm="1">
        <f t="array" aca="1" ref="H570" ca="1">ROW(INDIRECT(A570))</f>
        <v>35</v>
      </c>
      <c r="I570" cm="1">
        <f t="array" aca="1" ref="I570" ca="1">COLUMN(INDIRECT(A570))</f>
        <v>6</v>
      </c>
      <c r="M570" t="str" cm="1">
        <f t="array" aca="1" ref="M570" ca="1">IF(AND(J570="O",ISBLANK(INDIRECT(A570))),"Valeur obligatoire non renseignée","")</f>
        <v/>
      </c>
    </row>
    <row r="571" spans="1:13" x14ac:dyDescent="0.25">
      <c r="A571" s="91" t="s">
        <v>3342</v>
      </c>
      <c r="B571" cm="1">
        <f t="array" aca="1" ref="B571" ca="1">INDIRECT(A571)</f>
        <v>0</v>
      </c>
      <c r="C571">
        <f t="shared" ca="1" si="32"/>
        <v>5</v>
      </c>
      <c r="D571" t="str" cm="1">
        <f t="array" aca="1" ref="D571" ca="1">CELL("nomfichier",INDIRECT(A571))</f>
        <v>G:\SCPE\sdc\bq\6 - Mentions valorisantes\Certification environnementale\TEXTES_REGLEMENTATION_CE\Plans_contrôle et grilles\Grille audit niveau 3\Grille d'audit v1.11\[grille-audit-hvev4-v1.11-vf.xlsx]Surfaces_Horti</v>
      </c>
      <c r="E571">
        <f t="shared" ca="1" si="33"/>
        <v>200</v>
      </c>
      <c r="F571">
        <f t="shared" ca="1" si="34"/>
        <v>214</v>
      </c>
      <c r="G571" t="str">
        <f t="shared" ca="1" si="35"/>
        <v>Surfaces_Horti</v>
      </c>
      <c r="H571" cm="1">
        <f t="array" aca="1" ref="H571" ca="1">ROW(INDIRECT(A571))</f>
        <v>35</v>
      </c>
      <c r="I571" cm="1">
        <f t="array" aca="1" ref="I571" ca="1">COLUMN(INDIRECT(A571))</f>
        <v>7</v>
      </c>
      <c r="M571" t="str" cm="1">
        <f t="array" aca="1" ref="M571" ca="1">IF(AND(J571="O",ISBLANK(INDIRECT(A571))),"Valeur obligatoire non renseignée","")</f>
        <v/>
      </c>
    </row>
    <row r="572" spans="1:13" x14ac:dyDescent="0.25">
      <c r="A572" s="91" t="s">
        <v>3369</v>
      </c>
      <c r="B572" cm="1">
        <f t="array" aca="1" ref="B572" ca="1">INDIRECT(A572)</f>
        <v>0</v>
      </c>
      <c r="C572">
        <f t="shared" ca="1" si="32"/>
        <v>5</v>
      </c>
      <c r="D572" t="str" cm="1">
        <f t="array" aca="1" ref="D572" ca="1">CELL("nomfichier",INDIRECT(A572))</f>
        <v>G:\SCPE\sdc\bq\6 - Mentions valorisantes\Certification environnementale\TEXTES_REGLEMENTATION_CE\Plans_contrôle et grilles\Grille audit niveau 3\Grille d'audit v1.11\[grille-audit-hvev4-v1.11-vf.xlsx]Surfaces_Horti</v>
      </c>
      <c r="E572">
        <f t="shared" ca="1" si="33"/>
        <v>200</v>
      </c>
      <c r="F572">
        <f t="shared" ca="1" si="34"/>
        <v>214</v>
      </c>
      <c r="G572" t="str">
        <f t="shared" ca="1" si="35"/>
        <v>Surfaces_Horti</v>
      </c>
      <c r="H572" cm="1">
        <f t="array" aca="1" ref="H572" ca="1">ROW(INDIRECT(A572))</f>
        <v>35</v>
      </c>
      <c r="I572" cm="1">
        <f t="array" aca="1" ref="I572" ca="1">COLUMN(INDIRECT(A572))</f>
        <v>8</v>
      </c>
      <c r="M572" t="str" cm="1">
        <f t="array" aca="1" ref="M572" ca="1">IF(AND(J572="O",ISBLANK(INDIRECT(A572))),"Valeur obligatoire non renseignée","")</f>
        <v/>
      </c>
    </row>
    <row r="573" spans="1:13" x14ac:dyDescent="0.25">
      <c r="A573" s="91" t="s">
        <v>3396</v>
      </c>
      <c r="B573" cm="1">
        <f t="array" aca="1" ref="B573" ca="1">INDIRECT(A573)</f>
        <v>0</v>
      </c>
      <c r="C573">
        <f t="shared" ca="1" si="32"/>
        <v>5</v>
      </c>
      <c r="D573" t="str" cm="1">
        <f t="array" aca="1" ref="D573" ca="1">CELL("nomfichier",INDIRECT(A573))</f>
        <v>G:\SCPE\sdc\bq\6 - Mentions valorisantes\Certification environnementale\TEXTES_REGLEMENTATION_CE\Plans_contrôle et grilles\Grille audit niveau 3\Grille d'audit v1.11\[grille-audit-hvev4-v1.11-vf.xlsx]Surfaces_Horti</v>
      </c>
      <c r="E573">
        <f t="shared" ca="1" si="33"/>
        <v>200</v>
      </c>
      <c r="F573">
        <f t="shared" ca="1" si="34"/>
        <v>214</v>
      </c>
      <c r="G573" t="str">
        <f t="shared" ca="1" si="35"/>
        <v>Surfaces_Horti</v>
      </c>
      <c r="H573" cm="1">
        <f t="array" aca="1" ref="H573" ca="1">ROW(INDIRECT(A573))</f>
        <v>35</v>
      </c>
      <c r="I573" cm="1">
        <f t="array" aca="1" ref="I573" ca="1">COLUMN(INDIRECT(A573))</f>
        <v>9</v>
      </c>
      <c r="M573" t="str" cm="1">
        <f t="array" aca="1" ref="M573" ca="1">IF(AND(J573="O",ISBLANK(INDIRECT(A573))),"Valeur obligatoire non renseignée","")</f>
        <v/>
      </c>
    </row>
    <row r="574" spans="1:13" x14ac:dyDescent="0.25">
      <c r="A574" s="91" t="s">
        <v>3423</v>
      </c>
      <c r="B574" cm="1">
        <f t="array" aca="1" ref="B574" ca="1">INDIRECT(A574)</f>
        <v>0</v>
      </c>
      <c r="C574">
        <f t="shared" ca="1" si="32"/>
        <v>5</v>
      </c>
      <c r="D574" t="str" cm="1">
        <f t="array" aca="1" ref="D574" ca="1">CELL("nomfichier",INDIRECT(A574))</f>
        <v>G:\SCPE\sdc\bq\6 - Mentions valorisantes\Certification environnementale\TEXTES_REGLEMENTATION_CE\Plans_contrôle et grilles\Grille audit niveau 3\Grille d'audit v1.11\[grille-audit-hvev4-v1.11-vf.xlsx]Surfaces_Horti</v>
      </c>
      <c r="E574">
        <f t="shared" ca="1" si="33"/>
        <v>200</v>
      </c>
      <c r="F574">
        <f t="shared" ca="1" si="34"/>
        <v>214</v>
      </c>
      <c r="G574" t="str">
        <f t="shared" ca="1" si="35"/>
        <v>Surfaces_Horti</v>
      </c>
      <c r="H574" cm="1">
        <f t="array" aca="1" ref="H574" ca="1">ROW(INDIRECT(A574))</f>
        <v>35</v>
      </c>
      <c r="I574" cm="1">
        <f t="array" aca="1" ref="I574" ca="1">COLUMN(INDIRECT(A574))</f>
        <v>10</v>
      </c>
      <c r="M574" t="str" cm="1">
        <f t="array" aca="1" ref="M574" ca="1">IF(AND(J574="O",ISBLANK(INDIRECT(A574))),"Valeur obligatoire non renseignée","")</f>
        <v/>
      </c>
    </row>
    <row r="575" spans="1:13" x14ac:dyDescent="0.25">
      <c r="A575" s="91" t="s">
        <v>3450</v>
      </c>
      <c r="B575" cm="1">
        <f t="array" aca="1" ref="B575" ca="1">INDIRECT(A575)</f>
        <v>0</v>
      </c>
      <c r="C575">
        <f t="shared" ca="1" si="32"/>
        <v>5</v>
      </c>
      <c r="D575" t="str" cm="1">
        <f t="array" aca="1" ref="D575" ca="1">CELL("nomfichier",INDIRECT(A575))</f>
        <v>G:\SCPE\sdc\bq\6 - Mentions valorisantes\Certification environnementale\TEXTES_REGLEMENTATION_CE\Plans_contrôle et grilles\Grille audit niveau 3\Grille d'audit v1.11\[grille-audit-hvev4-v1.11-vf.xlsx]Surfaces_Horti</v>
      </c>
      <c r="E575">
        <f t="shared" ca="1" si="33"/>
        <v>200</v>
      </c>
      <c r="F575">
        <f t="shared" ca="1" si="34"/>
        <v>214</v>
      </c>
      <c r="G575" t="str">
        <f t="shared" ca="1" si="35"/>
        <v>Surfaces_Horti</v>
      </c>
      <c r="H575" cm="1">
        <f t="array" aca="1" ref="H575" ca="1">ROW(INDIRECT(A575))</f>
        <v>35</v>
      </c>
      <c r="I575" cm="1">
        <f t="array" aca="1" ref="I575" ca="1">COLUMN(INDIRECT(A575))</f>
        <v>11</v>
      </c>
      <c r="M575" t="str" cm="1">
        <f t="array" aca="1" ref="M575" ca="1">IF(AND(J575="O",ISBLANK(INDIRECT(A575))),"Valeur obligatoire non renseignée","")</f>
        <v/>
      </c>
    </row>
    <row r="576" spans="1:13" x14ac:dyDescent="0.25">
      <c r="A576" s="91" t="s">
        <v>3477</v>
      </c>
      <c r="B576" cm="1">
        <f t="array" aca="1" ref="B576" ca="1">INDIRECT(A576)</f>
        <v>0</v>
      </c>
      <c r="C576">
        <f t="shared" ca="1" si="32"/>
        <v>5</v>
      </c>
      <c r="D576" t="str" cm="1">
        <f t="array" aca="1" ref="D576" ca="1">CELL("nomfichier",INDIRECT(A576))</f>
        <v>G:\SCPE\sdc\bq\6 - Mentions valorisantes\Certification environnementale\TEXTES_REGLEMENTATION_CE\Plans_contrôle et grilles\Grille audit niveau 3\Grille d'audit v1.11\[grille-audit-hvev4-v1.11-vf.xlsx]Surfaces_Horti</v>
      </c>
      <c r="E576">
        <f t="shared" ca="1" si="33"/>
        <v>200</v>
      </c>
      <c r="F576">
        <f t="shared" ca="1" si="34"/>
        <v>214</v>
      </c>
      <c r="G576" t="str">
        <f t="shared" ca="1" si="35"/>
        <v>Surfaces_Horti</v>
      </c>
      <c r="H576" cm="1">
        <f t="array" aca="1" ref="H576" ca="1">ROW(INDIRECT(A576))</f>
        <v>35</v>
      </c>
      <c r="I576" cm="1">
        <f t="array" aca="1" ref="I576" ca="1">COLUMN(INDIRECT(A576))</f>
        <v>12</v>
      </c>
      <c r="M576" t="str" cm="1">
        <f t="array" aca="1" ref="M576" ca="1">IF(AND(J576="O",ISBLANK(INDIRECT(A576))),"Valeur obligatoire non renseignée","")</f>
        <v/>
      </c>
    </row>
    <row r="577" spans="1:13" x14ac:dyDescent="0.25">
      <c r="A577" s="91" t="s">
        <v>3504</v>
      </c>
      <c r="B577" cm="1">
        <f t="array" aca="1" ref="B577" ca="1">INDIRECT(A577)</f>
        <v>0</v>
      </c>
      <c r="C577">
        <f t="shared" ca="1" si="32"/>
        <v>5</v>
      </c>
      <c r="D577" t="str" cm="1">
        <f t="array" aca="1" ref="D577" ca="1">CELL("nomfichier",INDIRECT(A577))</f>
        <v>G:\SCPE\sdc\bq\6 - Mentions valorisantes\Certification environnementale\TEXTES_REGLEMENTATION_CE\Plans_contrôle et grilles\Grille audit niveau 3\Grille d'audit v1.11\[grille-audit-hvev4-v1.11-vf.xlsx]Surfaces_Horti</v>
      </c>
      <c r="E577">
        <f t="shared" ca="1" si="33"/>
        <v>200</v>
      </c>
      <c r="F577">
        <f t="shared" ca="1" si="34"/>
        <v>214</v>
      </c>
      <c r="G577" t="str">
        <f t="shared" ca="1" si="35"/>
        <v>Surfaces_Horti</v>
      </c>
      <c r="H577" cm="1">
        <f t="array" aca="1" ref="H577" ca="1">ROW(INDIRECT(A577))</f>
        <v>35</v>
      </c>
      <c r="I577" cm="1">
        <f t="array" aca="1" ref="I577" ca="1">COLUMN(INDIRECT(A577))</f>
        <v>13</v>
      </c>
      <c r="M577" t="str" cm="1">
        <f t="array" aca="1" ref="M577" ca="1">IF(AND(J577="O",ISBLANK(INDIRECT(A577))),"Valeur obligatoire non renseignée","")</f>
        <v/>
      </c>
    </row>
    <row r="578" spans="1:13" x14ac:dyDescent="0.25">
      <c r="A578" s="91" t="s">
        <v>3531</v>
      </c>
      <c r="B578" cm="1">
        <f t="array" aca="1" ref="B578" ca="1">INDIRECT(A578)</f>
        <v>0</v>
      </c>
      <c r="C578">
        <f t="shared" ref="C578:C641" ca="1" si="36">_xlfn.SHEET(INDIRECT(A578))</f>
        <v>5</v>
      </c>
      <c r="D578" t="str" cm="1">
        <f t="array" aca="1" ref="D578" ca="1">CELL("nomfichier",INDIRECT(A578))</f>
        <v>G:\SCPE\sdc\bq\6 - Mentions valorisantes\Certification environnementale\TEXTES_REGLEMENTATION_CE\Plans_contrôle et grilles\Grille audit niveau 3\Grille d'audit v1.11\[grille-audit-hvev4-v1.11-vf.xlsx]Surfaces_Horti</v>
      </c>
      <c r="E578">
        <f t="shared" ref="E578:E641" ca="1" si="37">FIND("]",D578)</f>
        <v>200</v>
      </c>
      <c r="F578">
        <f t="shared" ref="F578:F641" ca="1" si="38">LEN(D578)</f>
        <v>214</v>
      </c>
      <c r="G578" t="str">
        <f t="shared" ref="G578:G641" ca="1" si="39">RIGHT(D578,F578-E578)</f>
        <v>Surfaces_Horti</v>
      </c>
      <c r="H578" cm="1">
        <f t="array" aca="1" ref="H578" ca="1">ROW(INDIRECT(A578))</f>
        <v>35</v>
      </c>
      <c r="I578" cm="1">
        <f t="array" aca="1" ref="I578" ca="1">COLUMN(INDIRECT(A578))</f>
        <v>14</v>
      </c>
      <c r="M578" t="str" cm="1">
        <f t="array" aca="1" ref="M578" ca="1">IF(AND(J578="O",ISBLANK(INDIRECT(A578))),"Valeur obligatoire non renseignée","")</f>
        <v/>
      </c>
    </row>
    <row r="579" spans="1:13" x14ac:dyDescent="0.25">
      <c r="A579" s="91" t="s">
        <v>3208</v>
      </c>
      <c r="B579" cm="1">
        <f t="array" aca="1" ref="B579" ca="1">INDIRECT(A579)</f>
        <v>0</v>
      </c>
      <c r="C579">
        <f t="shared" ca="1" si="36"/>
        <v>5</v>
      </c>
      <c r="D579" t="str" cm="1">
        <f t="array" aca="1" ref="D579" ca="1">CELL("nomfichier",INDIRECT(A579))</f>
        <v>G:\SCPE\sdc\bq\6 - Mentions valorisantes\Certification environnementale\TEXTES_REGLEMENTATION_CE\Plans_contrôle et grilles\Grille audit niveau 3\Grille d'audit v1.11\[grille-audit-hvev4-v1.11-vf.xlsx]Surfaces_Horti</v>
      </c>
      <c r="E579">
        <f t="shared" ca="1" si="37"/>
        <v>200</v>
      </c>
      <c r="F579">
        <f t="shared" ca="1" si="38"/>
        <v>214</v>
      </c>
      <c r="G579" t="str">
        <f t="shared" ca="1" si="39"/>
        <v>Surfaces_Horti</v>
      </c>
      <c r="H579" cm="1">
        <f t="array" aca="1" ref="H579" ca="1">ROW(INDIRECT(A579))</f>
        <v>36</v>
      </c>
      <c r="I579" cm="1">
        <f t="array" aca="1" ref="I579" ca="1">COLUMN(INDIRECT(A579))</f>
        <v>2</v>
      </c>
      <c r="M579" t="str" cm="1">
        <f t="array" aca="1" ref="M579" ca="1">IF(AND(J579="O",ISBLANK(INDIRECT(A579))),"Valeur obligatoire non renseignée","")</f>
        <v/>
      </c>
    </row>
    <row r="580" spans="1:13" x14ac:dyDescent="0.25">
      <c r="A580" s="91" t="s">
        <v>3235</v>
      </c>
      <c r="B580" cm="1">
        <f t="array" aca="1" ref="B580" ca="1">INDIRECT(A580)</f>
        <v>0</v>
      </c>
      <c r="C580">
        <f t="shared" ca="1" si="36"/>
        <v>5</v>
      </c>
      <c r="D580" t="str" cm="1">
        <f t="array" aca="1" ref="D580" ca="1">CELL("nomfichier",INDIRECT(A580))</f>
        <v>G:\SCPE\sdc\bq\6 - Mentions valorisantes\Certification environnementale\TEXTES_REGLEMENTATION_CE\Plans_contrôle et grilles\Grille audit niveau 3\Grille d'audit v1.11\[grille-audit-hvev4-v1.11-vf.xlsx]Surfaces_Horti</v>
      </c>
      <c r="E580">
        <f t="shared" ca="1" si="37"/>
        <v>200</v>
      </c>
      <c r="F580">
        <f t="shared" ca="1" si="38"/>
        <v>214</v>
      </c>
      <c r="G580" t="str">
        <f t="shared" ca="1" si="39"/>
        <v>Surfaces_Horti</v>
      </c>
      <c r="H580" cm="1">
        <f t="array" aca="1" ref="H580" ca="1">ROW(INDIRECT(A580))</f>
        <v>36</v>
      </c>
      <c r="I580" cm="1">
        <f t="array" aca="1" ref="I580" ca="1">COLUMN(INDIRECT(A580))</f>
        <v>3</v>
      </c>
      <c r="M580" t="str" cm="1">
        <f t="array" aca="1" ref="M580" ca="1">IF(AND(J580="O",ISBLANK(INDIRECT(A580))),"Valeur obligatoire non renseignée","")</f>
        <v/>
      </c>
    </row>
    <row r="581" spans="1:13" x14ac:dyDescent="0.25">
      <c r="A581" s="91" t="s">
        <v>3262</v>
      </c>
      <c r="B581" cm="1">
        <f t="array" aca="1" ref="B581" ca="1">INDIRECT(A581)</f>
        <v>0</v>
      </c>
      <c r="C581">
        <f t="shared" ca="1" si="36"/>
        <v>5</v>
      </c>
      <c r="D581" t="str" cm="1">
        <f t="array" aca="1" ref="D581" ca="1">CELL("nomfichier",INDIRECT(A581))</f>
        <v>G:\SCPE\sdc\bq\6 - Mentions valorisantes\Certification environnementale\TEXTES_REGLEMENTATION_CE\Plans_contrôle et grilles\Grille audit niveau 3\Grille d'audit v1.11\[grille-audit-hvev4-v1.11-vf.xlsx]Surfaces_Horti</v>
      </c>
      <c r="E581">
        <f t="shared" ca="1" si="37"/>
        <v>200</v>
      </c>
      <c r="F581">
        <f t="shared" ca="1" si="38"/>
        <v>214</v>
      </c>
      <c r="G581" t="str">
        <f t="shared" ca="1" si="39"/>
        <v>Surfaces_Horti</v>
      </c>
      <c r="H581" cm="1">
        <f t="array" aca="1" ref="H581" ca="1">ROW(INDIRECT(A581))</f>
        <v>36</v>
      </c>
      <c r="I581" cm="1">
        <f t="array" aca="1" ref="I581" ca="1">COLUMN(INDIRECT(A581))</f>
        <v>4</v>
      </c>
      <c r="M581" t="str" cm="1">
        <f t="array" aca="1" ref="M581" ca="1">IF(AND(J581="O",ISBLANK(INDIRECT(A581))),"Valeur obligatoire non renseignée","")</f>
        <v/>
      </c>
    </row>
    <row r="582" spans="1:13" x14ac:dyDescent="0.25">
      <c r="A582" s="91" t="s">
        <v>3289</v>
      </c>
      <c r="B582" cm="1">
        <f t="array" aca="1" ref="B582" ca="1">INDIRECT(A582)</f>
        <v>0</v>
      </c>
      <c r="C582">
        <f t="shared" ca="1" si="36"/>
        <v>5</v>
      </c>
      <c r="D582" t="str" cm="1">
        <f t="array" aca="1" ref="D582" ca="1">CELL("nomfichier",INDIRECT(A582))</f>
        <v>G:\SCPE\sdc\bq\6 - Mentions valorisantes\Certification environnementale\TEXTES_REGLEMENTATION_CE\Plans_contrôle et grilles\Grille audit niveau 3\Grille d'audit v1.11\[grille-audit-hvev4-v1.11-vf.xlsx]Surfaces_Horti</v>
      </c>
      <c r="E582">
        <f t="shared" ca="1" si="37"/>
        <v>200</v>
      </c>
      <c r="F582">
        <f t="shared" ca="1" si="38"/>
        <v>214</v>
      </c>
      <c r="G582" t="str">
        <f t="shared" ca="1" si="39"/>
        <v>Surfaces_Horti</v>
      </c>
      <c r="H582" cm="1">
        <f t="array" aca="1" ref="H582" ca="1">ROW(INDIRECT(A582))</f>
        <v>36</v>
      </c>
      <c r="I582" cm="1">
        <f t="array" aca="1" ref="I582" ca="1">COLUMN(INDIRECT(A582))</f>
        <v>5</v>
      </c>
      <c r="M582" t="str" cm="1">
        <f t="array" aca="1" ref="M582" ca="1">IF(AND(J582="O",ISBLANK(INDIRECT(A582))),"Valeur obligatoire non renseignée","")</f>
        <v/>
      </c>
    </row>
    <row r="583" spans="1:13" x14ac:dyDescent="0.25">
      <c r="A583" s="91" t="s">
        <v>3316</v>
      </c>
      <c r="B583" cm="1">
        <f t="array" aca="1" ref="B583" ca="1">INDIRECT(A583)</f>
        <v>0</v>
      </c>
      <c r="C583">
        <f t="shared" ca="1" si="36"/>
        <v>5</v>
      </c>
      <c r="D583" t="str" cm="1">
        <f t="array" aca="1" ref="D583" ca="1">CELL("nomfichier",INDIRECT(A583))</f>
        <v>G:\SCPE\sdc\bq\6 - Mentions valorisantes\Certification environnementale\TEXTES_REGLEMENTATION_CE\Plans_contrôle et grilles\Grille audit niveau 3\Grille d'audit v1.11\[grille-audit-hvev4-v1.11-vf.xlsx]Surfaces_Horti</v>
      </c>
      <c r="E583">
        <f t="shared" ca="1" si="37"/>
        <v>200</v>
      </c>
      <c r="F583">
        <f t="shared" ca="1" si="38"/>
        <v>214</v>
      </c>
      <c r="G583" t="str">
        <f t="shared" ca="1" si="39"/>
        <v>Surfaces_Horti</v>
      </c>
      <c r="H583" cm="1">
        <f t="array" aca="1" ref="H583" ca="1">ROW(INDIRECT(A583))</f>
        <v>36</v>
      </c>
      <c r="I583" cm="1">
        <f t="array" aca="1" ref="I583" ca="1">COLUMN(INDIRECT(A583))</f>
        <v>6</v>
      </c>
      <c r="M583" t="str" cm="1">
        <f t="array" aca="1" ref="M583" ca="1">IF(AND(J583="O",ISBLANK(INDIRECT(A583))),"Valeur obligatoire non renseignée","")</f>
        <v/>
      </c>
    </row>
    <row r="584" spans="1:13" x14ac:dyDescent="0.25">
      <c r="A584" s="91" t="s">
        <v>3343</v>
      </c>
      <c r="B584" cm="1">
        <f t="array" aca="1" ref="B584" ca="1">INDIRECT(A584)</f>
        <v>0</v>
      </c>
      <c r="C584">
        <f t="shared" ca="1" si="36"/>
        <v>5</v>
      </c>
      <c r="D584" t="str" cm="1">
        <f t="array" aca="1" ref="D584" ca="1">CELL("nomfichier",INDIRECT(A584))</f>
        <v>G:\SCPE\sdc\bq\6 - Mentions valorisantes\Certification environnementale\TEXTES_REGLEMENTATION_CE\Plans_contrôle et grilles\Grille audit niveau 3\Grille d'audit v1.11\[grille-audit-hvev4-v1.11-vf.xlsx]Surfaces_Horti</v>
      </c>
      <c r="E584">
        <f t="shared" ca="1" si="37"/>
        <v>200</v>
      </c>
      <c r="F584">
        <f t="shared" ca="1" si="38"/>
        <v>214</v>
      </c>
      <c r="G584" t="str">
        <f t="shared" ca="1" si="39"/>
        <v>Surfaces_Horti</v>
      </c>
      <c r="H584" cm="1">
        <f t="array" aca="1" ref="H584" ca="1">ROW(INDIRECT(A584))</f>
        <v>36</v>
      </c>
      <c r="I584" cm="1">
        <f t="array" aca="1" ref="I584" ca="1">COLUMN(INDIRECT(A584))</f>
        <v>7</v>
      </c>
      <c r="M584" t="str" cm="1">
        <f t="array" aca="1" ref="M584" ca="1">IF(AND(J584="O",ISBLANK(INDIRECT(A584))),"Valeur obligatoire non renseignée","")</f>
        <v/>
      </c>
    </row>
    <row r="585" spans="1:13" x14ac:dyDescent="0.25">
      <c r="A585" s="91" t="s">
        <v>3370</v>
      </c>
      <c r="B585" cm="1">
        <f t="array" aca="1" ref="B585" ca="1">INDIRECT(A585)</f>
        <v>0</v>
      </c>
      <c r="C585">
        <f t="shared" ca="1" si="36"/>
        <v>5</v>
      </c>
      <c r="D585" t="str" cm="1">
        <f t="array" aca="1" ref="D585" ca="1">CELL("nomfichier",INDIRECT(A585))</f>
        <v>G:\SCPE\sdc\bq\6 - Mentions valorisantes\Certification environnementale\TEXTES_REGLEMENTATION_CE\Plans_contrôle et grilles\Grille audit niveau 3\Grille d'audit v1.11\[grille-audit-hvev4-v1.11-vf.xlsx]Surfaces_Horti</v>
      </c>
      <c r="E585">
        <f t="shared" ca="1" si="37"/>
        <v>200</v>
      </c>
      <c r="F585">
        <f t="shared" ca="1" si="38"/>
        <v>214</v>
      </c>
      <c r="G585" t="str">
        <f t="shared" ca="1" si="39"/>
        <v>Surfaces_Horti</v>
      </c>
      <c r="H585" cm="1">
        <f t="array" aca="1" ref="H585" ca="1">ROW(INDIRECT(A585))</f>
        <v>36</v>
      </c>
      <c r="I585" cm="1">
        <f t="array" aca="1" ref="I585" ca="1">COLUMN(INDIRECT(A585))</f>
        <v>8</v>
      </c>
      <c r="M585" t="str" cm="1">
        <f t="array" aca="1" ref="M585" ca="1">IF(AND(J585="O",ISBLANK(INDIRECT(A585))),"Valeur obligatoire non renseignée","")</f>
        <v/>
      </c>
    </row>
    <row r="586" spans="1:13" x14ac:dyDescent="0.25">
      <c r="A586" s="91" t="s">
        <v>3397</v>
      </c>
      <c r="B586" cm="1">
        <f t="array" aca="1" ref="B586" ca="1">INDIRECT(A586)</f>
        <v>0</v>
      </c>
      <c r="C586">
        <f t="shared" ca="1" si="36"/>
        <v>5</v>
      </c>
      <c r="D586" t="str" cm="1">
        <f t="array" aca="1" ref="D586" ca="1">CELL("nomfichier",INDIRECT(A586))</f>
        <v>G:\SCPE\sdc\bq\6 - Mentions valorisantes\Certification environnementale\TEXTES_REGLEMENTATION_CE\Plans_contrôle et grilles\Grille audit niveau 3\Grille d'audit v1.11\[grille-audit-hvev4-v1.11-vf.xlsx]Surfaces_Horti</v>
      </c>
      <c r="E586">
        <f t="shared" ca="1" si="37"/>
        <v>200</v>
      </c>
      <c r="F586">
        <f t="shared" ca="1" si="38"/>
        <v>214</v>
      </c>
      <c r="G586" t="str">
        <f t="shared" ca="1" si="39"/>
        <v>Surfaces_Horti</v>
      </c>
      <c r="H586" cm="1">
        <f t="array" aca="1" ref="H586" ca="1">ROW(INDIRECT(A586))</f>
        <v>36</v>
      </c>
      <c r="I586" cm="1">
        <f t="array" aca="1" ref="I586" ca="1">COLUMN(INDIRECT(A586))</f>
        <v>9</v>
      </c>
      <c r="M586" t="str" cm="1">
        <f t="array" aca="1" ref="M586" ca="1">IF(AND(J586="O",ISBLANK(INDIRECT(A586))),"Valeur obligatoire non renseignée","")</f>
        <v/>
      </c>
    </row>
    <row r="587" spans="1:13" x14ac:dyDescent="0.25">
      <c r="A587" s="91" t="s">
        <v>3424</v>
      </c>
      <c r="B587" cm="1">
        <f t="array" aca="1" ref="B587" ca="1">INDIRECT(A587)</f>
        <v>0</v>
      </c>
      <c r="C587">
        <f t="shared" ca="1" si="36"/>
        <v>5</v>
      </c>
      <c r="D587" t="str" cm="1">
        <f t="array" aca="1" ref="D587" ca="1">CELL("nomfichier",INDIRECT(A587))</f>
        <v>G:\SCPE\sdc\bq\6 - Mentions valorisantes\Certification environnementale\TEXTES_REGLEMENTATION_CE\Plans_contrôle et grilles\Grille audit niveau 3\Grille d'audit v1.11\[grille-audit-hvev4-v1.11-vf.xlsx]Surfaces_Horti</v>
      </c>
      <c r="E587">
        <f t="shared" ca="1" si="37"/>
        <v>200</v>
      </c>
      <c r="F587">
        <f t="shared" ca="1" si="38"/>
        <v>214</v>
      </c>
      <c r="G587" t="str">
        <f t="shared" ca="1" si="39"/>
        <v>Surfaces_Horti</v>
      </c>
      <c r="H587" cm="1">
        <f t="array" aca="1" ref="H587" ca="1">ROW(INDIRECT(A587))</f>
        <v>36</v>
      </c>
      <c r="I587" cm="1">
        <f t="array" aca="1" ref="I587" ca="1">COLUMN(INDIRECT(A587))</f>
        <v>10</v>
      </c>
      <c r="M587" t="str" cm="1">
        <f t="array" aca="1" ref="M587" ca="1">IF(AND(J587="O",ISBLANK(INDIRECT(A587))),"Valeur obligatoire non renseignée","")</f>
        <v/>
      </c>
    </row>
    <row r="588" spans="1:13" x14ac:dyDescent="0.25">
      <c r="A588" s="91" t="s">
        <v>3451</v>
      </c>
      <c r="B588" cm="1">
        <f t="array" aca="1" ref="B588" ca="1">INDIRECT(A588)</f>
        <v>0</v>
      </c>
      <c r="C588">
        <f t="shared" ca="1" si="36"/>
        <v>5</v>
      </c>
      <c r="D588" t="str" cm="1">
        <f t="array" aca="1" ref="D588" ca="1">CELL("nomfichier",INDIRECT(A588))</f>
        <v>G:\SCPE\sdc\bq\6 - Mentions valorisantes\Certification environnementale\TEXTES_REGLEMENTATION_CE\Plans_contrôle et grilles\Grille audit niveau 3\Grille d'audit v1.11\[grille-audit-hvev4-v1.11-vf.xlsx]Surfaces_Horti</v>
      </c>
      <c r="E588">
        <f t="shared" ca="1" si="37"/>
        <v>200</v>
      </c>
      <c r="F588">
        <f t="shared" ca="1" si="38"/>
        <v>214</v>
      </c>
      <c r="G588" t="str">
        <f t="shared" ca="1" si="39"/>
        <v>Surfaces_Horti</v>
      </c>
      <c r="H588" cm="1">
        <f t="array" aca="1" ref="H588" ca="1">ROW(INDIRECT(A588))</f>
        <v>36</v>
      </c>
      <c r="I588" cm="1">
        <f t="array" aca="1" ref="I588" ca="1">COLUMN(INDIRECT(A588))</f>
        <v>11</v>
      </c>
      <c r="M588" t="str" cm="1">
        <f t="array" aca="1" ref="M588" ca="1">IF(AND(J588="O",ISBLANK(INDIRECT(A588))),"Valeur obligatoire non renseignée","")</f>
        <v/>
      </c>
    </row>
    <row r="589" spans="1:13" x14ac:dyDescent="0.25">
      <c r="A589" s="91" t="s">
        <v>3478</v>
      </c>
      <c r="B589" cm="1">
        <f t="array" aca="1" ref="B589" ca="1">INDIRECT(A589)</f>
        <v>0</v>
      </c>
      <c r="C589">
        <f t="shared" ca="1" si="36"/>
        <v>5</v>
      </c>
      <c r="D589" t="str" cm="1">
        <f t="array" aca="1" ref="D589" ca="1">CELL("nomfichier",INDIRECT(A589))</f>
        <v>G:\SCPE\sdc\bq\6 - Mentions valorisantes\Certification environnementale\TEXTES_REGLEMENTATION_CE\Plans_contrôle et grilles\Grille audit niveau 3\Grille d'audit v1.11\[grille-audit-hvev4-v1.11-vf.xlsx]Surfaces_Horti</v>
      </c>
      <c r="E589">
        <f t="shared" ca="1" si="37"/>
        <v>200</v>
      </c>
      <c r="F589">
        <f t="shared" ca="1" si="38"/>
        <v>214</v>
      </c>
      <c r="G589" t="str">
        <f t="shared" ca="1" si="39"/>
        <v>Surfaces_Horti</v>
      </c>
      <c r="H589" cm="1">
        <f t="array" aca="1" ref="H589" ca="1">ROW(INDIRECT(A589))</f>
        <v>36</v>
      </c>
      <c r="I589" cm="1">
        <f t="array" aca="1" ref="I589" ca="1">COLUMN(INDIRECT(A589))</f>
        <v>12</v>
      </c>
      <c r="M589" t="str" cm="1">
        <f t="array" aca="1" ref="M589" ca="1">IF(AND(J589="O",ISBLANK(INDIRECT(A589))),"Valeur obligatoire non renseignée","")</f>
        <v/>
      </c>
    </row>
    <row r="590" spans="1:13" x14ac:dyDescent="0.25">
      <c r="A590" s="91" t="s">
        <v>3505</v>
      </c>
      <c r="B590" cm="1">
        <f t="array" aca="1" ref="B590" ca="1">INDIRECT(A590)</f>
        <v>0</v>
      </c>
      <c r="C590">
        <f t="shared" ca="1" si="36"/>
        <v>5</v>
      </c>
      <c r="D590" t="str" cm="1">
        <f t="array" aca="1" ref="D590" ca="1">CELL("nomfichier",INDIRECT(A590))</f>
        <v>G:\SCPE\sdc\bq\6 - Mentions valorisantes\Certification environnementale\TEXTES_REGLEMENTATION_CE\Plans_contrôle et grilles\Grille audit niveau 3\Grille d'audit v1.11\[grille-audit-hvev4-v1.11-vf.xlsx]Surfaces_Horti</v>
      </c>
      <c r="E590">
        <f t="shared" ca="1" si="37"/>
        <v>200</v>
      </c>
      <c r="F590">
        <f t="shared" ca="1" si="38"/>
        <v>214</v>
      </c>
      <c r="G590" t="str">
        <f t="shared" ca="1" si="39"/>
        <v>Surfaces_Horti</v>
      </c>
      <c r="H590" cm="1">
        <f t="array" aca="1" ref="H590" ca="1">ROW(INDIRECT(A590))</f>
        <v>36</v>
      </c>
      <c r="I590" cm="1">
        <f t="array" aca="1" ref="I590" ca="1">COLUMN(INDIRECT(A590))</f>
        <v>13</v>
      </c>
      <c r="M590" t="str" cm="1">
        <f t="array" aca="1" ref="M590" ca="1">IF(AND(J590="O",ISBLANK(INDIRECT(A590))),"Valeur obligatoire non renseignée","")</f>
        <v/>
      </c>
    </row>
    <row r="591" spans="1:13" x14ac:dyDescent="0.25">
      <c r="A591" s="91" t="s">
        <v>3532</v>
      </c>
      <c r="B591" cm="1">
        <f t="array" aca="1" ref="B591" ca="1">INDIRECT(A591)</f>
        <v>0</v>
      </c>
      <c r="C591">
        <f t="shared" ca="1" si="36"/>
        <v>5</v>
      </c>
      <c r="D591" t="str" cm="1">
        <f t="array" aca="1" ref="D591" ca="1">CELL("nomfichier",INDIRECT(A591))</f>
        <v>G:\SCPE\sdc\bq\6 - Mentions valorisantes\Certification environnementale\TEXTES_REGLEMENTATION_CE\Plans_contrôle et grilles\Grille audit niveau 3\Grille d'audit v1.11\[grille-audit-hvev4-v1.11-vf.xlsx]Surfaces_Horti</v>
      </c>
      <c r="E591">
        <f t="shared" ca="1" si="37"/>
        <v>200</v>
      </c>
      <c r="F591">
        <f t="shared" ca="1" si="38"/>
        <v>214</v>
      </c>
      <c r="G591" t="str">
        <f t="shared" ca="1" si="39"/>
        <v>Surfaces_Horti</v>
      </c>
      <c r="H591" cm="1">
        <f t="array" aca="1" ref="H591" ca="1">ROW(INDIRECT(A591))</f>
        <v>36</v>
      </c>
      <c r="I591" cm="1">
        <f t="array" aca="1" ref="I591" ca="1">COLUMN(INDIRECT(A591))</f>
        <v>14</v>
      </c>
      <c r="M591" t="str" cm="1">
        <f t="array" aca="1" ref="M591" ca="1">IF(AND(J591="O",ISBLANK(INDIRECT(A591))),"Valeur obligatoire non renseignée","")</f>
        <v/>
      </c>
    </row>
    <row r="592" spans="1:13" x14ac:dyDescent="0.25">
      <c r="A592" s="91" t="s">
        <v>3209</v>
      </c>
      <c r="B592" cm="1">
        <f t="array" aca="1" ref="B592" ca="1">INDIRECT(A592)</f>
        <v>0</v>
      </c>
      <c r="C592">
        <f t="shared" ca="1" si="36"/>
        <v>5</v>
      </c>
      <c r="D592" t="str" cm="1">
        <f t="array" aca="1" ref="D592" ca="1">CELL("nomfichier",INDIRECT(A592))</f>
        <v>G:\SCPE\sdc\bq\6 - Mentions valorisantes\Certification environnementale\TEXTES_REGLEMENTATION_CE\Plans_contrôle et grilles\Grille audit niveau 3\Grille d'audit v1.11\[grille-audit-hvev4-v1.11-vf.xlsx]Surfaces_Horti</v>
      </c>
      <c r="E592">
        <f t="shared" ca="1" si="37"/>
        <v>200</v>
      </c>
      <c r="F592">
        <f t="shared" ca="1" si="38"/>
        <v>214</v>
      </c>
      <c r="G592" t="str">
        <f t="shared" ca="1" si="39"/>
        <v>Surfaces_Horti</v>
      </c>
      <c r="H592" cm="1">
        <f t="array" aca="1" ref="H592" ca="1">ROW(INDIRECT(A592))</f>
        <v>38</v>
      </c>
      <c r="I592" cm="1">
        <f t="array" aca="1" ref="I592" ca="1">COLUMN(INDIRECT(A592))</f>
        <v>2</v>
      </c>
      <c r="M592" t="str" cm="1">
        <f t="array" aca="1" ref="M592" ca="1">IF(AND(J592="O",ISBLANK(INDIRECT(A592))),"Valeur obligatoire non renseignée","")</f>
        <v/>
      </c>
    </row>
    <row r="593" spans="1:13" x14ac:dyDescent="0.25">
      <c r="A593" s="91" t="s">
        <v>3236</v>
      </c>
      <c r="B593" cm="1">
        <f t="array" aca="1" ref="B593" ca="1">INDIRECT(A593)</f>
        <v>0</v>
      </c>
      <c r="C593">
        <f t="shared" ca="1" si="36"/>
        <v>5</v>
      </c>
      <c r="D593" t="str" cm="1">
        <f t="array" aca="1" ref="D593" ca="1">CELL("nomfichier",INDIRECT(A593))</f>
        <v>G:\SCPE\sdc\bq\6 - Mentions valorisantes\Certification environnementale\TEXTES_REGLEMENTATION_CE\Plans_contrôle et grilles\Grille audit niveau 3\Grille d'audit v1.11\[grille-audit-hvev4-v1.11-vf.xlsx]Surfaces_Horti</v>
      </c>
      <c r="E593">
        <f t="shared" ca="1" si="37"/>
        <v>200</v>
      </c>
      <c r="F593">
        <f t="shared" ca="1" si="38"/>
        <v>214</v>
      </c>
      <c r="G593" t="str">
        <f t="shared" ca="1" si="39"/>
        <v>Surfaces_Horti</v>
      </c>
      <c r="H593" cm="1">
        <f t="array" aca="1" ref="H593" ca="1">ROW(INDIRECT(A593))</f>
        <v>38</v>
      </c>
      <c r="I593" cm="1">
        <f t="array" aca="1" ref="I593" ca="1">COLUMN(INDIRECT(A593))</f>
        <v>3</v>
      </c>
      <c r="M593" t="str" cm="1">
        <f t="array" aca="1" ref="M593" ca="1">IF(AND(J593="O",ISBLANK(INDIRECT(A593))),"Valeur obligatoire non renseignée","")</f>
        <v/>
      </c>
    </row>
    <row r="594" spans="1:13" x14ac:dyDescent="0.25">
      <c r="A594" s="91" t="s">
        <v>3263</v>
      </c>
      <c r="B594" cm="1">
        <f t="array" aca="1" ref="B594" ca="1">INDIRECT(A594)</f>
        <v>0</v>
      </c>
      <c r="C594">
        <f t="shared" ca="1" si="36"/>
        <v>5</v>
      </c>
      <c r="D594" t="str" cm="1">
        <f t="array" aca="1" ref="D594" ca="1">CELL("nomfichier",INDIRECT(A594))</f>
        <v>G:\SCPE\sdc\bq\6 - Mentions valorisantes\Certification environnementale\TEXTES_REGLEMENTATION_CE\Plans_contrôle et grilles\Grille audit niveau 3\Grille d'audit v1.11\[grille-audit-hvev4-v1.11-vf.xlsx]Surfaces_Horti</v>
      </c>
      <c r="E594">
        <f t="shared" ca="1" si="37"/>
        <v>200</v>
      </c>
      <c r="F594">
        <f t="shared" ca="1" si="38"/>
        <v>214</v>
      </c>
      <c r="G594" t="str">
        <f t="shared" ca="1" si="39"/>
        <v>Surfaces_Horti</v>
      </c>
      <c r="H594" cm="1">
        <f t="array" aca="1" ref="H594" ca="1">ROW(INDIRECT(A594))</f>
        <v>38</v>
      </c>
      <c r="I594" cm="1">
        <f t="array" aca="1" ref="I594" ca="1">COLUMN(INDIRECT(A594))</f>
        <v>4</v>
      </c>
      <c r="M594" t="str" cm="1">
        <f t="array" aca="1" ref="M594" ca="1">IF(AND(J594="O",ISBLANK(INDIRECT(A594))),"Valeur obligatoire non renseignée","")</f>
        <v/>
      </c>
    </row>
    <row r="595" spans="1:13" x14ac:dyDescent="0.25">
      <c r="A595" s="91" t="s">
        <v>3290</v>
      </c>
      <c r="B595" cm="1">
        <f t="array" aca="1" ref="B595" ca="1">INDIRECT(A595)</f>
        <v>0</v>
      </c>
      <c r="C595">
        <f t="shared" ca="1" si="36"/>
        <v>5</v>
      </c>
      <c r="D595" t="str" cm="1">
        <f t="array" aca="1" ref="D595" ca="1">CELL("nomfichier",INDIRECT(A595))</f>
        <v>G:\SCPE\sdc\bq\6 - Mentions valorisantes\Certification environnementale\TEXTES_REGLEMENTATION_CE\Plans_contrôle et grilles\Grille audit niveau 3\Grille d'audit v1.11\[grille-audit-hvev4-v1.11-vf.xlsx]Surfaces_Horti</v>
      </c>
      <c r="E595">
        <f t="shared" ca="1" si="37"/>
        <v>200</v>
      </c>
      <c r="F595">
        <f t="shared" ca="1" si="38"/>
        <v>214</v>
      </c>
      <c r="G595" t="str">
        <f t="shared" ca="1" si="39"/>
        <v>Surfaces_Horti</v>
      </c>
      <c r="H595" cm="1">
        <f t="array" aca="1" ref="H595" ca="1">ROW(INDIRECT(A595))</f>
        <v>38</v>
      </c>
      <c r="I595" cm="1">
        <f t="array" aca="1" ref="I595" ca="1">COLUMN(INDIRECT(A595))</f>
        <v>5</v>
      </c>
      <c r="M595" t="str" cm="1">
        <f t="array" aca="1" ref="M595" ca="1">IF(AND(J595="O",ISBLANK(INDIRECT(A595))),"Valeur obligatoire non renseignée","")</f>
        <v/>
      </c>
    </row>
    <row r="596" spans="1:13" x14ac:dyDescent="0.25">
      <c r="A596" s="91" t="s">
        <v>3317</v>
      </c>
      <c r="B596" cm="1">
        <f t="array" aca="1" ref="B596" ca="1">INDIRECT(A596)</f>
        <v>0</v>
      </c>
      <c r="C596">
        <f t="shared" ca="1" si="36"/>
        <v>5</v>
      </c>
      <c r="D596" t="str" cm="1">
        <f t="array" aca="1" ref="D596" ca="1">CELL("nomfichier",INDIRECT(A596))</f>
        <v>G:\SCPE\sdc\bq\6 - Mentions valorisantes\Certification environnementale\TEXTES_REGLEMENTATION_CE\Plans_contrôle et grilles\Grille audit niveau 3\Grille d'audit v1.11\[grille-audit-hvev4-v1.11-vf.xlsx]Surfaces_Horti</v>
      </c>
      <c r="E596">
        <f t="shared" ca="1" si="37"/>
        <v>200</v>
      </c>
      <c r="F596">
        <f t="shared" ca="1" si="38"/>
        <v>214</v>
      </c>
      <c r="G596" t="str">
        <f t="shared" ca="1" si="39"/>
        <v>Surfaces_Horti</v>
      </c>
      <c r="H596" cm="1">
        <f t="array" aca="1" ref="H596" ca="1">ROW(INDIRECT(A596))</f>
        <v>38</v>
      </c>
      <c r="I596" cm="1">
        <f t="array" aca="1" ref="I596" ca="1">COLUMN(INDIRECT(A596))</f>
        <v>6</v>
      </c>
      <c r="M596" t="str" cm="1">
        <f t="array" aca="1" ref="M596" ca="1">IF(AND(J596="O",ISBLANK(INDIRECT(A596))),"Valeur obligatoire non renseignée","")</f>
        <v/>
      </c>
    </row>
    <row r="597" spans="1:13" x14ac:dyDescent="0.25">
      <c r="A597" s="91" t="s">
        <v>3344</v>
      </c>
      <c r="B597" cm="1">
        <f t="array" aca="1" ref="B597" ca="1">INDIRECT(A597)</f>
        <v>0</v>
      </c>
      <c r="C597">
        <f t="shared" ca="1" si="36"/>
        <v>5</v>
      </c>
      <c r="D597" t="str" cm="1">
        <f t="array" aca="1" ref="D597" ca="1">CELL("nomfichier",INDIRECT(A597))</f>
        <v>G:\SCPE\sdc\bq\6 - Mentions valorisantes\Certification environnementale\TEXTES_REGLEMENTATION_CE\Plans_contrôle et grilles\Grille audit niveau 3\Grille d'audit v1.11\[grille-audit-hvev4-v1.11-vf.xlsx]Surfaces_Horti</v>
      </c>
      <c r="E597">
        <f t="shared" ca="1" si="37"/>
        <v>200</v>
      </c>
      <c r="F597">
        <f t="shared" ca="1" si="38"/>
        <v>214</v>
      </c>
      <c r="G597" t="str">
        <f t="shared" ca="1" si="39"/>
        <v>Surfaces_Horti</v>
      </c>
      <c r="H597" cm="1">
        <f t="array" aca="1" ref="H597" ca="1">ROW(INDIRECT(A597))</f>
        <v>38</v>
      </c>
      <c r="I597" cm="1">
        <f t="array" aca="1" ref="I597" ca="1">COLUMN(INDIRECT(A597))</f>
        <v>7</v>
      </c>
      <c r="M597" t="str" cm="1">
        <f t="array" aca="1" ref="M597" ca="1">IF(AND(J597="O",ISBLANK(INDIRECT(A597))),"Valeur obligatoire non renseignée","")</f>
        <v/>
      </c>
    </row>
    <row r="598" spans="1:13" x14ac:dyDescent="0.25">
      <c r="A598" s="91" t="s">
        <v>3371</v>
      </c>
      <c r="B598" cm="1">
        <f t="array" aca="1" ref="B598" ca="1">INDIRECT(A598)</f>
        <v>0</v>
      </c>
      <c r="C598">
        <f t="shared" ca="1" si="36"/>
        <v>5</v>
      </c>
      <c r="D598" t="str" cm="1">
        <f t="array" aca="1" ref="D598" ca="1">CELL("nomfichier",INDIRECT(A598))</f>
        <v>G:\SCPE\sdc\bq\6 - Mentions valorisantes\Certification environnementale\TEXTES_REGLEMENTATION_CE\Plans_contrôle et grilles\Grille audit niveau 3\Grille d'audit v1.11\[grille-audit-hvev4-v1.11-vf.xlsx]Surfaces_Horti</v>
      </c>
      <c r="E598">
        <f t="shared" ca="1" si="37"/>
        <v>200</v>
      </c>
      <c r="F598">
        <f t="shared" ca="1" si="38"/>
        <v>214</v>
      </c>
      <c r="G598" t="str">
        <f t="shared" ca="1" si="39"/>
        <v>Surfaces_Horti</v>
      </c>
      <c r="H598" cm="1">
        <f t="array" aca="1" ref="H598" ca="1">ROW(INDIRECT(A598))</f>
        <v>38</v>
      </c>
      <c r="I598" cm="1">
        <f t="array" aca="1" ref="I598" ca="1">COLUMN(INDIRECT(A598))</f>
        <v>8</v>
      </c>
      <c r="M598" t="str" cm="1">
        <f t="array" aca="1" ref="M598" ca="1">IF(AND(J598="O",ISBLANK(INDIRECT(A598))),"Valeur obligatoire non renseignée","")</f>
        <v/>
      </c>
    </row>
    <row r="599" spans="1:13" x14ac:dyDescent="0.25">
      <c r="A599" s="91" t="s">
        <v>3398</v>
      </c>
      <c r="B599" cm="1">
        <f t="array" aca="1" ref="B599" ca="1">INDIRECT(A599)</f>
        <v>0</v>
      </c>
      <c r="C599">
        <f t="shared" ca="1" si="36"/>
        <v>5</v>
      </c>
      <c r="D599" t="str" cm="1">
        <f t="array" aca="1" ref="D599" ca="1">CELL("nomfichier",INDIRECT(A599))</f>
        <v>G:\SCPE\sdc\bq\6 - Mentions valorisantes\Certification environnementale\TEXTES_REGLEMENTATION_CE\Plans_contrôle et grilles\Grille audit niveau 3\Grille d'audit v1.11\[grille-audit-hvev4-v1.11-vf.xlsx]Surfaces_Horti</v>
      </c>
      <c r="E599">
        <f t="shared" ca="1" si="37"/>
        <v>200</v>
      </c>
      <c r="F599">
        <f t="shared" ca="1" si="38"/>
        <v>214</v>
      </c>
      <c r="G599" t="str">
        <f t="shared" ca="1" si="39"/>
        <v>Surfaces_Horti</v>
      </c>
      <c r="H599" cm="1">
        <f t="array" aca="1" ref="H599" ca="1">ROW(INDIRECT(A599))</f>
        <v>38</v>
      </c>
      <c r="I599" cm="1">
        <f t="array" aca="1" ref="I599" ca="1">COLUMN(INDIRECT(A599))</f>
        <v>9</v>
      </c>
      <c r="M599" t="str" cm="1">
        <f t="array" aca="1" ref="M599" ca="1">IF(AND(J599="O",ISBLANK(INDIRECT(A599))),"Valeur obligatoire non renseignée","")</f>
        <v/>
      </c>
    </row>
    <row r="600" spans="1:13" x14ac:dyDescent="0.25">
      <c r="A600" s="91" t="s">
        <v>3425</v>
      </c>
      <c r="B600" cm="1">
        <f t="array" aca="1" ref="B600" ca="1">INDIRECT(A600)</f>
        <v>0</v>
      </c>
      <c r="C600">
        <f t="shared" ca="1" si="36"/>
        <v>5</v>
      </c>
      <c r="D600" t="str" cm="1">
        <f t="array" aca="1" ref="D600" ca="1">CELL("nomfichier",INDIRECT(A600))</f>
        <v>G:\SCPE\sdc\bq\6 - Mentions valorisantes\Certification environnementale\TEXTES_REGLEMENTATION_CE\Plans_contrôle et grilles\Grille audit niveau 3\Grille d'audit v1.11\[grille-audit-hvev4-v1.11-vf.xlsx]Surfaces_Horti</v>
      </c>
      <c r="E600">
        <f t="shared" ca="1" si="37"/>
        <v>200</v>
      </c>
      <c r="F600">
        <f t="shared" ca="1" si="38"/>
        <v>214</v>
      </c>
      <c r="G600" t="str">
        <f t="shared" ca="1" si="39"/>
        <v>Surfaces_Horti</v>
      </c>
      <c r="H600" cm="1">
        <f t="array" aca="1" ref="H600" ca="1">ROW(INDIRECT(A600))</f>
        <v>38</v>
      </c>
      <c r="I600" cm="1">
        <f t="array" aca="1" ref="I600" ca="1">COLUMN(INDIRECT(A600))</f>
        <v>10</v>
      </c>
      <c r="M600" t="str" cm="1">
        <f t="array" aca="1" ref="M600" ca="1">IF(AND(J600="O",ISBLANK(INDIRECT(A600))),"Valeur obligatoire non renseignée","")</f>
        <v/>
      </c>
    </row>
    <row r="601" spans="1:13" x14ac:dyDescent="0.25">
      <c r="A601" s="91" t="s">
        <v>3452</v>
      </c>
      <c r="B601" cm="1">
        <f t="array" aca="1" ref="B601" ca="1">INDIRECT(A601)</f>
        <v>0</v>
      </c>
      <c r="C601">
        <f t="shared" ca="1" si="36"/>
        <v>5</v>
      </c>
      <c r="D601" t="str" cm="1">
        <f t="array" aca="1" ref="D601" ca="1">CELL("nomfichier",INDIRECT(A601))</f>
        <v>G:\SCPE\sdc\bq\6 - Mentions valorisantes\Certification environnementale\TEXTES_REGLEMENTATION_CE\Plans_contrôle et grilles\Grille audit niveau 3\Grille d'audit v1.11\[grille-audit-hvev4-v1.11-vf.xlsx]Surfaces_Horti</v>
      </c>
      <c r="E601">
        <f t="shared" ca="1" si="37"/>
        <v>200</v>
      </c>
      <c r="F601">
        <f t="shared" ca="1" si="38"/>
        <v>214</v>
      </c>
      <c r="G601" t="str">
        <f t="shared" ca="1" si="39"/>
        <v>Surfaces_Horti</v>
      </c>
      <c r="H601" cm="1">
        <f t="array" aca="1" ref="H601" ca="1">ROW(INDIRECT(A601))</f>
        <v>38</v>
      </c>
      <c r="I601" cm="1">
        <f t="array" aca="1" ref="I601" ca="1">COLUMN(INDIRECT(A601))</f>
        <v>11</v>
      </c>
      <c r="M601" t="str" cm="1">
        <f t="array" aca="1" ref="M601" ca="1">IF(AND(J601="O",ISBLANK(INDIRECT(A601))),"Valeur obligatoire non renseignée","")</f>
        <v/>
      </c>
    </row>
    <row r="602" spans="1:13" x14ac:dyDescent="0.25">
      <c r="A602" s="91" t="s">
        <v>3479</v>
      </c>
      <c r="B602" cm="1">
        <f t="array" aca="1" ref="B602" ca="1">INDIRECT(A602)</f>
        <v>0</v>
      </c>
      <c r="C602">
        <f t="shared" ca="1" si="36"/>
        <v>5</v>
      </c>
      <c r="D602" t="str" cm="1">
        <f t="array" aca="1" ref="D602" ca="1">CELL("nomfichier",INDIRECT(A602))</f>
        <v>G:\SCPE\sdc\bq\6 - Mentions valorisantes\Certification environnementale\TEXTES_REGLEMENTATION_CE\Plans_contrôle et grilles\Grille audit niveau 3\Grille d'audit v1.11\[grille-audit-hvev4-v1.11-vf.xlsx]Surfaces_Horti</v>
      </c>
      <c r="E602">
        <f t="shared" ca="1" si="37"/>
        <v>200</v>
      </c>
      <c r="F602">
        <f t="shared" ca="1" si="38"/>
        <v>214</v>
      </c>
      <c r="G602" t="str">
        <f t="shared" ca="1" si="39"/>
        <v>Surfaces_Horti</v>
      </c>
      <c r="H602" cm="1">
        <f t="array" aca="1" ref="H602" ca="1">ROW(INDIRECT(A602))</f>
        <v>38</v>
      </c>
      <c r="I602" cm="1">
        <f t="array" aca="1" ref="I602" ca="1">COLUMN(INDIRECT(A602))</f>
        <v>12</v>
      </c>
      <c r="M602" t="str" cm="1">
        <f t="array" aca="1" ref="M602" ca="1">IF(AND(J602="O",ISBLANK(INDIRECT(A602))),"Valeur obligatoire non renseignée","")</f>
        <v/>
      </c>
    </row>
    <row r="603" spans="1:13" x14ac:dyDescent="0.25">
      <c r="A603" s="91" t="s">
        <v>3506</v>
      </c>
      <c r="B603" cm="1">
        <f t="array" aca="1" ref="B603" ca="1">INDIRECT(A603)</f>
        <v>0</v>
      </c>
      <c r="C603">
        <f t="shared" ca="1" si="36"/>
        <v>5</v>
      </c>
      <c r="D603" t="str" cm="1">
        <f t="array" aca="1" ref="D603" ca="1">CELL("nomfichier",INDIRECT(A603))</f>
        <v>G:\SCPE\sdc\bq\6 - Mentions valorisantes\Certification environnementale\TEXTES_REGLEMENTATION_CE\Plans_contrôle et grilles\Grille audit niveau 3\Grille d'audit v1.11\[grille-audit-hvev4-v1.11-vf.xlsx]Surfaces_Horti</v>
      </c>
      <c r="E603">
        <f t="shared" ca="1" si="37"/>
        <v>200</v>
      </c>
      <c r="F603">
        <f t="shared" ca="1" si="38"/>
        <v>214</v>
      </c>
      <c r="G603" t="str">
        <f t="shared" ca="1" si="39"/>
        <v>Surfaces_Horti</v>
      </c>
      <c r="H603" cm="1">
        <f t="array" aca="1" ref="H603" ca="1">ROW(INDIRECT(A603))</f>
        <v>38</v>
      </c>
      <c r="I603" cm="1">
        <f t="array" aca="1" ref="I603" ca="1">COLUMN(INDIRECT(A603))</f>
        <v>13</v>
      </c>
      <c r="M603" t="str" cm="1">
        <f t="array" aca="1" ref="M603" ca="1">IF(AND(J603="O",ISBLANK(INDIRECT(A603))),"Valeur obligatoire non renseignée","")</f>
        <v/>
      </c>
    </row>
    <row r="604" spans="1:13" x14ac:dyDescent="0.25">
      <c r="A604" s="91" t="s">
        <v>3533</v>
      </c>
      <c r="B604" cm="1">
        <f t="array" aca="1" ref="B604" ca="1">INDIRECT(A604)</f>
        <v>0</v>
      </c>
      <c r="C604">
        <f t="shared" ca="1" si="36"/>
        <v>5</v>
      </c>
      <c r="D604" t="str" cm="1">
        <f t="array" aca="1" ref="D604" ca="1">CELL("nomfichier",INDIRECT(A604))</f>
        <v>G:\SCPE\sdc\bq\6 - Mentions valorisantes\Certification environnementale\TEXTES_REGLEMENTATION_CE\Plans_contrôle et grilles\Grille audit niveau 3\Grille d'audit v1.11\[grille-audit-hvev4-v1.11-vf.xlsx]Surfaces_Horti</v>
      </c>
      <c r="E604">
        <f t="shared" ca="1" si="37"/>
        <v>200</v>
      </c>
      <c r="F604">
        <f t="shared" ca="1" si="38"/>
        <v>214</v>
      </c>
      <c r="G604" t="str">
        <f t="shared" ca="1" si="39"/>
        <v>Surfaces_Horti</v>
      </c>
      <c r="H604" cm="1">
        <f t="array" aca="1" ref="H604" ca="1">ROW(INDIRECT(A604))</f>
        <v>38</v>
      </c>
      <c r="I604" cm="1">
        <f t="array" aca="1" ref="I604" ca="1">COLUMN(INDIRECT(A604))</f>
        <v>14</v>
      </c>
      <c r="M604" t="str" cm="1">
        <f t="array" aca="1" ref="M604" ca="1">IF(AND(J604="O",ISBLANK(INDIRECT(A604))),"Valeur obligatoire non renseignée","")</f>
        <v/>
      </c>
    </row>
    <row r="605" spans="1:13" x14ac:dyDescent="0.25">
      <c r="A605" s="91" t="s">
        <v>3210</v>
      </c>
      <c r="B605" cm="1">
        <f t="array" aca="1" ref="B605" ca="1">INDIRECT(A605)</f>
        <v>0</v>
      </c>
      <c r="C605">
        <f t="shared" ca="1" si="36"/>
        <v>5</v>
      </c>
      <c r="D605" t="str" cm="1">
        <f t="array" aca="1" ref="D605" ca="1">CELL("nomfichier",INDIRECT(A605))</f>
        <v>G:\SCPE\sdc\bq\6 - Mentions valorisantes\Certification environnementale\TEXTES_REGLEMENTATION_CE\Plans_contrôle et grilles\Grille audit niveau 3\Grille d'audit v1.11\[grille-audit-hvev4-v1.11-vf.xlsx]Surfaces_Horti</v>
      </c>
      <c r="E605">
        <f t="shared" ca="1" si="37"/>
        <v>200</v>
      </c>
      <c r="F605">
        <f t="shared" ca="1" si="38"/>
        <v>214</v>
      </c>
      <c r="G605" t="str">
        <f t="shared" ca="1" si="39"/>
        <v>Surfaces_Horti</v>
      </c>
      <c r="H605" cm="1">
        <f t="array" aca="1" ref="H605" ca="1">ROW(INDIRECT(A605))</f>
        <v>39</v>
      </c>
      <c r="I605" cm="1">
        <f t="array" aca="1" ref="I605" ca="1">COLUMN(INDIRECT(A605))</f>
        <v>2</v>
      </c>
      <c r="M605" t="str" cm="1">
        <f t="array" aca="1" ref="M605" ca="1">IF(AND(J605="O",ISBLANK(INDIRECT(A605))),"Valeur obligatoire non renseignée","")</f>
        <v/>
      </c>
    </row>
    <row r="606" spans="1:13" x14ac:dyDescent="0.25">
      <c r="A606" s="91" t="s">
        <v>3237</v>
      </c>
      <c r="B606" cm="1">
        <f t="array" aca="1" ref="B606" ca="1">INDIRECT(A606)</f>
        <v>0</v>
      </c>
      <c r="C606">
        <f t="shared" ca="1" si="36"/>
        <v>5</v>
      </c>
      <c r="D606" t="str" cm="1">
        <f t="array" aca="1" ref="D606" ca="1">CELL("nomfichier",INDIRECT(A606))</f>
        <v>G:\SCPE\sdc\bq\6 - Mentions valorisantes\Certification environnementale\TEXTES_REGLEMENTATION_CE\Plans_contrôle et grilles\Grille audit niveau 3\Grille d'audit v1.11\[grille-audit-hvev4-v1.11-vf.xlsx]Surfaces_Horti</v>
      </c>
      <c r="E606">
        <f t="shared" ca="1" si="37"/>
        <v>200</v>
      </c>
      <c r="F606">
        <f t="shared" ca="1" si="38"/>
        <v>214</v>
      </c>
      <c r="G606" t="str">
        <f t="shared" ca="1" si="39"/>
        <v>Surfaces_Horti</v>
      </c>
      <c r="H606" cm="1">
        <f t="array" aca="1" ref="H606" ca="1">ROW(INDIRECT(A606))</f>
        <v>39</v>
      </c>
      <c r="I606" cm="1">
        <f t="array" aca="1" ref="I606" ca="1">COLUMN(INDIRECT(A606))</f>
        <v>3</v>
      </c>
      <c r="M606" t="str" cm="1">
        <f t="array" aca="1" ref="M606" ca="1">IF(AND(J606="O",ISBLANK(INDIRECT(A606))),"Valeur obligatoire non renseignée","")</f>
        <v/>
      </c>
    </row>
    <row r="607" spans="1:13" x14ac:dyDescent="0.25">
      <c r="A607" s="91" t="s">
        <v>3264</v>
      </c>
      <c r="B607" cm="1">
        <f t="array" aca="1" ref="B607" ca="1">INDIRECT(A607)</f>
        <v>0</v>
      </c>
      <c r="C607">
        <f t="shared" ca="1" si="36"/>
        <v>5</v>
      </c>
      <c r="D607" t="str" cm="1">
        <f t="array" aca="1" ref="D607" ca="1">CELL("nomfichier",INDIRECT(A607))</f>
        <v>G:\SCPE\sdc\bq\6 - Mentions valorisantes\Certification environnementale\TEXTES_REGLEMENTATION_CE\Plans_contrôle et grilles\Grille audit niveau 3\Grille d'audit v1.11\[grille-audit-hvev4-v1.11-vf.xlsx]Surfaces_Horti</v>
      </c>
      <c r="E607">
        <f t="shared" ca="1" si="37"/>
        <v>200</v>
      </c>
      <c r="F607">
        <f t="shared" ca="1" si="38"/>
        <v>214</v>
      </c>
      <c r="G607" t="str">
        <f t="shared" ca="1" si="39"/>
        <v>Surfaces_Horti</v>
      </c>
      <c r="H607" cm="1">
        <f t="array" aca="1" ref="H607" ca="1">ROW(INDIRECT(A607))</f>
        <v>39</v>
      </c>
      <c r="I607" cm="1">
        <f t="array" aca="1" ref="I607" ca="1">COLUMN(INDIRECT(A607))</f>
        <v>4</v>
      </c>
      <c r="M607" t="str" cm="1">
        <f t="array" aca="1" ref="M607" ca="1">IF(AND(J607="O",ISBLANK(INDIRECT(A607))),"Valeur obligatoire non renseignée","")</f>
        <v/>
      </c>
    </row>
    <row r="608" spans="1:13" x14ac:dyDescent="0.25">
      <c r="A608" s="91" t="s">
        <v>3291</v>
      </c>
      <c r="B608" cm="1">
        <f t="array" aca="1" ref="B608" ca="1">INDIRECT(A608)</f>
        <v>0</v>
      </c>
      <c r="C608">
        <f t="shared" ca="1" si="36"/>
        <v>5</v>
      </c>
      <c r="D608" t="str" cm="1">
        <f t="array" aca="1" ref="D608" ca="1">CELL("nomfichier",INDIRECT(A608))</f>
        <v>G:\SCPE\sdc\bq\6 - Mentions valorisantes\Certification environnementale\TEXTES_REGLEMENTATION_CE\Plans_contrôle et grilles\Grille audit niveau 3\Grille d'audit v1.11\[grille-audit-hvev4-v1.11-vf.xlsx]Surfaces_Horti</v>
      </c>
      <c r="E608">
        <f t="shared" ca="1" si="37"/>
        <v>200</v>
      </c>
      <c r="F608">
        <f t="shared" ca="1" si="38"/>
        <v>214</v>
      </c>
      <c r="G608" t="str">
        <f t="shared" ca="1" si="39"/>
        <v>Surfaces_Horti</v>
      </c>
      <c r="H608" cm="1">
        <f t="array" aca="1" ref="H608" ca="1">ROW(INDIRECT(A608))</f>
        <v>39</v>
      </c>
      <c r="I608" cm="1">
        <f t="array" aca="1" ref="I608" ca="1">COLUMN(INDIRECT(A608))</f>
        <v>5</v>
      </c>
      <c r="M608" t="str" cm="1">
        <f t="array" aca="1" ref="M608" ca="1">IF(AND(J608="O",ISBLANK(INDIRECT(A608))),"Valeur obligatoire non renseignée","")</f>
        <v/>
      </c>
    </row>
    <row r="609" spans="1:13" x14ac:dyDescent="0.25">
      <c r="A609" s="91" t="s">
        <v>3318</v>
      </c>
      <c r="B609" cm="1">
        <f t="array" aca="1" ref="B609" ca="1">INDIRECT(A609)</f>
        <v>0</v>
      </c>
      <c r="C609">
        <f t="shared" ca="1" si="36"/>
        <v>5</v>
      </c>
      <c r="D609" t="str" cm="1">
        <f t="array" aca="1" ref="D609" ca="1">CELL("nomfichier",INDIRECT(A609))</f>
        <v>G:\SCPE\sdc\bq\6 - Mentions valorisantes\Certification environnementale\TEXTES_REGLEMENTATION_CE\Plans_contrôle et grilles\Grille audit niveau 3\Grille d'audit v1.11\[grille-audit-hvev4-v1.11-vf.xlsx]Surfaces_Horti</v>
      </c>
      <c r="E609">
        <f t="shared" ca="1" si="37"/>
        <v>200</v>
      </c>
      <c r="F609">
        <f t="shared" ca="1" si="38"/>
        <v>214</v>
      </c>
      <c r="G609" t="str">
        <f t="shared" ca="1" si="39"/>
        <v>Surfaces_Horti</v>
      </c>
      <c r="H609" cm="1">
        <f t="array" aca="1" ref="H609" ca="1">ROW(INDIRECT(A609))</f>
        <v>39</v>
      </c>
      <c r="I609" cm="1">
        <f t="array" aca="1" ref="I609" ca="1">COLUMN(INDIRECT(A609))</f>
        <v>6</v>
      </c>
      <c r="M609" t="str" cm="1">
        <f t="array" aca="1" ref="M609" ca="1">IF(AND(J609="O",ISBLANK(INDIRECT(A609))),"Valeur obligatoire non renseignée","")</f>
        <v/>
      </c>
    </row>
    <row r="610" spans="1:13" x14ac:dyDescent="0.25">
      <c r="A610" s="91" t="s">
        <v>3345</v>
      </c>
      <c r="B610" cm="1">
        <f t="array" aca="1" ref="B610" ca="1">INDIRECT(A610)</f>
        <v>0</v>
      </c>
      <c r="C610">
        <f t="shared" ca="1" si="36"/>
        <v>5</v>
      </c>
      <c r="D610" t="str" cm="1">
        <f t="array" aca="1" ref="D610" ca="1">CELL("nomfichier",INDIRECT(A610))</f>
        <v>G:\SCPE\sdc\bq\6 - Mentions valorisantes\Certification environnementale\TEXTES_REGLEMENTATION_CE\Plans_contrôle et grilles\Grille audit niveau 3\Grille d'audit v1.11\[grille-audit-hvev4-v1.11-vf.xlsx]Surfaces_Horti</v>
      </c>
      <c r="E610">
        <f t="shared" ca="1" si="37"/>
        <v>200</v>
      </c>
      <c r="F610">
        <f t="shared" ca="1" si="38"/>
        <v>214</v>
      </c>
      <c r="G610" t="str">
        <f t="shared" ca="1" si="39"/>
        <v>Surfaces_Horti</v>
      </c>
      <c r="H610" cm="1">
        <f t="array" aca="1" ref="H610" ca="1">ROW(INDIRECT(A610))</f>
        <v>39</v>
      </c>
      <c r="I610" cm="1">
        <f t="array" aca="1" ref="I610" ca="1">COLUMN(INDIRECT(A610))</f>
        <v>7</v>
      </c>
      <c r="M610" t="str" cm="1">
        <f t="array" aca="1" ref="M610" ca="1">IF(AND(J610="O",ISBLANK(INDIRECT(A610))),"Valeur obligatoire non renseignée","")</f>
        <v/>
      </c>
    </row>
    <row r="611" spans="1:13" x14ac:dyDescent="0.25">
      <c r="A611" s="91" t="s">
        <v>3372</v>
      </c>
      <c r="B611" cm="1">
        <f t="array" aca="1" ref="B611" ca="1">INDIRECT(A611)</f>
        <v>0</v>
      </c>
      <c r="C611">
        <f t="shared" ca="1" si="36"/>
        <v>5</v>
      </c>
      <c r="D611" t="str" cm="1">
        <f t="array" aca="1" ref="D611" ca="1">CELL("nomfichier",INDIRECT(A611))</f>
        <v>G:\SCPE\sdc\bq\6 - Mentions valorisantes\Certification environnementale\TEXTES_REGLEMENTATION_CE\Plans_contrôle et grilles\Grille audit niveau 3\Grille d'audit v1.11\[grille-audit-hvev4-v1.11-vf.xlsx]Surfaces_Horti</v>
      </c>
      <c r="E611">
        <f t="shared" ca="1" si="37"/>
        <v>200</v>
      </c>
      <c r="F611">
        <f t="shared" ca="1" si="38"/>
        <v>214</v>
      </c>
      <c r="G611" t="str">
        <f t="shared" ca="1" si="39"/>
        <v>Surfaces_Horti</v>
      </c>
      <c r="H611" cm="1">
        <f t="array" aca="1" ref="H611" ca="1">ROW(INDIRECT(A611))</f>
        <v>39</v>
      </c>
      <c r="I611" cm="1">
        <f t="array" aca="1" ref="I611" ca="1">COLUMN(INDIRECT(A611))</f>
        <v>8</v>
      </c>
      <c r="M611" t="str" cm="1">
        <f t="array" aca="1" ref="M611" ca="1">IF(AND(J611="O",ISBLANK(INDIRECT(A611))),"Valeur obligatoire non renseignée","")</f>
        <v/>
      </c>
    </row>
    <row r="612" spans="1:13" x14ac:dyDescent="0.25">
      <c r="A612" s="91" t="s">
        <v>3399</v>
      </c>
      <c r="B612" cm="1">
        <f t="array" aca="1" ref="B612" ca="1">INDIRECT(A612)</f>
        <v>0</v>
      </c>
      <c r="C612">
        <f t="shared" ca="1" si="36"/>
        <v>5</v>
      </c>
      <c r="D612" t="str" cm="1">
        <f t="array" aca="1" ref="D612" ca="1">CELL("nomfichier",INDIRECT(A612))</f>
        <v>G:\SCPE\sdc\bq\6 - Mentions valorisantes\Certification environnementale\TEXTES_REGLEMENTATION_CE\Plans_contrôle et grilles\Grille audit niveau 3\Grille d'audit v1.11\[grille-audit-hvev4-v1.11-vf.xlsx]Surfaces_Horti</v>
      </c>
      <c r="E612">
        <f t="shared" ca="1" si="37"/>
        <v>200</v>
      </c>
      <c r="F612">
        <f t="shared" ca="1" si="38"/>
        <v>214</v>
      </c>
      <c r="G612" t="str">
        <f t="shared" ca="1" si="39"/>
        <v>Surfaces_Horti</v>
      </c>
      <c r="H612" cm="1">
        <f t="array" aca="1" ref="H612" ca="1">ROW(INDIRECT(A612))</f>
        <v>39</v>
      </c>
      <c r="I612" cm="1">
        <f t="array" aca="1" ref="I612" ca="1">COLUMN(INDIRECT(A612))</f>
        <v>9</v>
      </c>
      <c r="M612" t="str" cm="1">
        <f t="array" aca="1" ref="M612" ca="1">IF(AND(J612="O",ISBLANK(INDIRECT(A612))),"Valeur obligatoire non renseignée","")</f>
        <v/>
      </c>
    </row>
    <row r="613" spans="1:13" x14ac:dyDescent="0.25">
      <c r="A613" s="91" t="s">
        <v>3426</v>
      </c>
      <c r="B613" cm="1">
        <f t="array" aca="1" ref="B613" ca="1">INDIRECT(A613)</f>
        <v>0</v>
      </c>
      <c r="C613">
        <f t="shared" ca="1" si="36"/>
        <v>5</v>
      </c>
      <c r="D613" t="str" cm="1">
        <f t="array" aca="1" ref="D613" ca="1">CELL("nomfichier",INDIRECT(A613))</f>
        <v>G:\SCPE\sdc\bq\6 - Mentions valorisantes\Certification environnementale\TEXTES_REGLEMENTATION_CE\Plans_contrôle et grilles\Grille audit niveau 3\Grille d'audit v1.11\[grille-audit-hvev4-v1.11-vf.xlsx]Surfaces_Horti</v>
      </c>
      <c r="E613">
        <f t="shared" ca="1" si="37"/>
        <v>200</v>
      </c>
      <c r="F613">
        <f t="shared" ca="1" si="38"/>
        <v>214</v>
      </c>
      <c r="G613" t="str">
        <f t="shared" ca="1" si="39"/>
        <v>Surfaces_Horti</v>
      </c>
      <c r="H613" cm="1">
        <f t="array" aca="1" ref="H613" ca="1">ROW(INDIRECT(A613))</f>
        <v>39</v>
      </c>
      <c r="I613" cm="1">
        <f t="array" aca="1" ref="I613" ca="1">COLUMN(INDIRECT(A613))</f>
        <v>10</v>
      </c>
      <c r="M613" t="str" cm="1">
        <f t="array" aca="1" ref="M613" ca="1">IF(AND(J613="O",ISBLANK(INDIRECT(A613))),"Valeur obligatoire non renseignée","")</f>
        <v/>
      </c>
    </row>
    <row r="614" spans="1:13" x14ac:dyDescent="0.25">
      <c r="A614" s="91" t="s">
        <v>3453</v>
      </c>
      <c r="B614" cm="1">
        <f t="array" aca="1" ref="B614" ca="1">INDIRECT(A614)</f>
        <v>0</v>
      </c>
      <c r="C614">
        <f t="shared" ca="1" si="36"/>
        <v>5</v>
      </c>
      <c r="D614" t="str" cm="1">
        <f t="array" aca="1" ref="D614" ca="1">CELL("nomfichier",INDIRECT(A614))</f>
        <v>G:\SCPE\sdc\bq\6 - Mentions valorisantes\Certification environnementale\TEXTES_REGLEMENTATION_CE\Plans_contrôle et grilles\Grille audit niveau 3\Grille d'audit v1.11\[grille-audit-hvev4-v1.11-vf.xlsx]Surfaces_Horti</v>
      </c>
      <c r="E614">
        <f t="shared" ca="1" si="37"/>
        <v>200</v>
      </c>
      <c r="F614">
        <f t="shared" ca="1" si="38"/>
        <v>214</v>
      </c>
      <c r="G614" t="str">
        <f t="shared" ca="1" si="39"/>
        <v>Surfaces_Horti</v>
      </c>
      <c r="H614" cm="1">
        <f t="array" aca="1" ref="H614" ca="1">ROW(INDIRECT(A614))</f>
        <v>39</v>
      </c>
      <c r="I614" cm="1">
        <f t="array" aca="1" ref="I614" ca="1">COLUMN(INDIRECT(A614))</f>
        <v>11</v>
      </c>
      <c r="M614" t="str" cm="1">
        <f t="array" aca="1" ref="M614" ca="1">IF(AND(J614="O",ISBLANK(INDIRECT(A614))),"Valeur obligatoire non renseignée","")</f>
        <v/>
      </c>
    </row>
    <row r="615" spans="1:13" x14ac:dyDescent="0.25">
      <c r="A615" s="91" t="s">
        <v>3480</v>
      </c>
      <c r="B615" cm="1">
        <f t="array" aca="1" ref="B615" ca="1">INDIRECT(A615)</f>
        <v>0</v>
      </c>
      <c r="C615">
        <f t="shared" ca="1" si="36"/>
        <v>5</v>
      </c>
      <c r="D615" t="str" cm="1">
        <f t="array" aca="1" ref="D615" ca="1">CELL("nomfichier",INDIRECT(A615))</f>
        <v>G:\SCPE\sdc\bq\6 - Mentions valorisantes\Certification environnementale\TEXTES_REGLEMENTATION_CE\Plans_contrôle et grilles\Grille audit niveau 3\Grille d'audit v1.11\[grille-audit-hvev4-v1.11-vf.xlsx]Surfaces_Horti</v>
      </c>
      <c r="E615">
        <f t="shared" ca="1" si="37"/>
        <v>200</v>
      </c>
      <c r="F615">
        <f t="shared" ca="1" si="38"/>
        <v>214</v>
      </c>
      <c r="G615" t="str">
        <f t="shared" ca="1" si="39"/>
        <v>Surfaces_Horti</v>
      </c>
      <c r="H615" cm="1">
        <f t="array" aca="1" ref="H615" ca="1">ROW(INDIRECT(A615))</f>
        <v>39</v>
      </c>
      <c r="I615" cm="1">
        <f t="array" aca="1" ref="I615" ca="1">COLUMN(INDIRECT(A615))</f>
        <v>12</v>
      </c>
      <c r="M615" t="str" cm="1">
        <f t="array" aca="1" ref="M615" ca="1">IF(AND(J615="O",ISBLANK(INDIRECT(A615))),"Valeur obligatoire non renseignée","")</f>
        <v/>
      </c>
    </row>
    <row r="616" spans="1:13" x14ac:dyDescent="0.25">
      <c r="A616" s="91" t="s">
        <v>3507</v>
      </c>
      <c r="B616" cm="1">
        <f t="array" aca="1" ref="B616" ca="1">INDIRECT(A616)</f>
        <v>0</v>
      </c>
      <c r="C616">
        <f t="shared" ca="1" si="36"/>
        <v>5</v>
      </c>
      <c r="D616" t="str" cm="1">
        <f t="array" aca="1" ref="D616" ca="1">CELL("nomfichier",INDIRECT(A616))</f>
        <v>G:\SCPE\sdc\bq\6 - Mentions valorisantes\Certification environnementale\TEXTES_REGLEMENTATION_CE\Plans_contrôle et grilles\Grille audit niveau 3\Grille d'audit v1.11\[grille-audit-hvev4-v1.11-vf.xlsx]Surfaces_Horti</v>
      </c>
      <c r="E616">
        <f t="shared" ca="1" si="37"/>
        <v>200</v>
      </c>
      <c r="F616">
        <f t="shared" ca="1" si="38"/>
        <v>214</v>
      </c>
      <c r="G616" t="str">
        <f t="shared" ca="1" si="39"/>
        <v>Surfaces_Horti</v>
      </c>
      <c r="H616" cm="1">
        <f t="array" aca="1" ref="H616" ca="1">ROW(INDIRECT(A616))</f>
        <v>39</v>
      </c>
      <c r="I616" cm="1">
        <f t="array" aca="1" ref="I616" ca="1">COLUMN(INDIRECT(A616))</f>
        <v>13</v>
      </c>
      <c r="M616" t="str" cm="1">
        <f t="array" aca="1" ref="M616" ca="1">IF(AND(J616="O",ISBLANK(INDIRECT(A616))),"Valeur obligatoire non renseignée","")</f>
        <v/>
      </c>
    </row>
    <row r="617" spans="1:13" x14ac:dyDescent="0.25">
      <c r="A617" s="91" t="s">
        <v>3534</v>
      </c>
      <c r="B617" cm="1">
        <f t="array" aca="1" ref="B617" ca="1">INDIRECT(A617)</f>
        <v>0</v>
      </c>
      <c r="C617">
        <f t="shared" ca="1" si="36"/>
        <v>5</v>
      </c>
      <c r="D617" t="str" cm="1">
        <f t="array" aca="1" ref="D617" ca="1">CELL("nomfichier",INDIRECT(A617))</f>
        <v>G:\SCPE\sdc\bq\6 - Mentions valorisantes\Certification environnementale\TEXTES_REGLEMENTATION_CE\Plans_contrôle et grilles\Grille audit niveau 3\Grille d'audit v1.11\[grille-audit-hvev4-v1.11-vf.xlsx]Surfaces_Horti</v>
      </c>
      <c r="E617">
        <f t="shared" ca="1" si="37"/>
        <v>200</v>
      </c>
      <c r="F617">
        <f t="shared" ca="1" si="38"/>
        <v>214</v>
      </c>
      <c r="G617" t="str">
        <f t="shared" ca="1" si="39"/>
        <v>Surfaces_Horti</v>
      </c>
      <c r="H617" cm="1">
        <f t="array" aca="1" ref="H617" ca="1">ROW(INDIRECT(A617))</f>
        <v>39</v>
      </c>
      <c r="I617" cm="1">
        <f t="array" aca="1" ref="I617" ca="1">COLUMN(INDIRECT(A617))</f>
        <v>14</v>
      </c>
      <c r="M617" t="str" cm="1">
        <f t="array" aca="1" ref="M617" ca="1">IF(AND(J617="O",ISBLANK(INDIRECT(A617))),"Valeur obligatoire non renseignée","")</f>
        <v/>
      </c>
    </row>
    <row r="618" spans="1:13" x14ac:dyDescent="0.25">
      <c r="A618" s="91" t="s">
        <v>3211</v>
      </c>
      <c r="B618" cm="1">
        <f t="array" aca="1" ref="B618" ca="1">INDIRECT(A618)</f>
        <v>0</v>
      </c>
      <c r="C618">
        <f t="shared" ca="1" si="36"/>
        <v>5</v>
      </c>
      <c r="D618" t="str" cm="1">
        <f t="array" aca="1" ref="D618" ca="1">CELL("nomfichier",INDIRECT(A618))</f>
        <v>G:\SCPE\sdc\bq\6 - Mentions valorisantes\Certification environnementale\TEXTES_REGLEMENTATION_CE\Plans_contrôle et grilles\Grille audit niveau 3\Grille d'audit v1.11\[grille-audit-hvev4-v1.11-vf.xlsx]Surfaces_Horti</v>
      </c>
      <c r="E618">
        <f t="shared" ca="1" si="37"/>
        <v>200</v>
      </c>
      <c r="F618">
        <f t="shared" ca="1" si="38"/>
        <v>214</v>
      </c>
      <c r="G618" t="str">
        <f t="shared" ca="1" si="39"/>
        <v>Surfaces_Horti</v>
      </c>
      <c r="H618" cm="1">
        <f t="array" aca="1" ref="H618" ca="1">ROW(INDIRECT(A618))</f>
        <v>40</v>
      </c>
      <c r="I618" cm="1">
        <f t="array" aca="1" ref="I618" ca="1">COLUMN(INDIRECT(A618))</f>
        <v>2</v>
      </c>
      <c r="M618" t="str" cm="1">
        <f t="array" aca="1" ref="M618" ca="1">IF(AND(J618="O",ISBLANK(INDIRECT(A618))),"Valeur obligatoire non renseignée","")</f>
        <v/>
      </c>
    </row>
    <row r="619" spans="1:13" x14ac:dyDescent="0.25">
      <c r="A619" s="91" t="s">
        <v>3238</v>
      </c>
      <c r="B619" cm="1">
        <f t="array" aca="1" ref="B619" ca="1">INDIRECT(A619)</f>
        <v>0</v>
      </c>
      <c r="C619">
        <f t="shared" ca="1" si="36"/>
        <v>5</v>
      </c>
      <c r="D619" t="str" cm="1">
        <f t="array" aca="1" ref="D619" ca="1">CELL("nomfichier",INDIRECT(A619))</f>
        <v>G:\SCPE\sdc\bq\6 - Mentions valorisantes\Certification environnementale\TEXTES_REGLEMENTATION_CE\Plans_contrôle et grilles\Grille audit niveau 3\Grille d'audit v1.11\[grille-audit-hvev4-v1.11-vf.xlsx]Surfaces_Horti</v>
      </c>
      <c r="E619">
        <f t="shared" ca="1" si="37"/>
        <v>200</v>
      </c>
      <c r="F619">
        <f t="shared" ca="1" si="38"/>
        <v>214</v>
      </c>
      <c r="G619" t="str">
        <f t="shared" ca="1" si="39"/>
        <v>Surfaces_Horti</v>
      </c>
      <c r="H619" cm="1">
        <f t="array" aca="1" ref="H619" ca="1">ROW(INDIRECT(A619))</f>
        <v>40</v>
      </c>
      <c r="I619" cm="1">
        <f t="array" aca="1" ref="I619" ca="1">COLUMN(INDIRECT(A619))</f>
        <v>3</v>
      </c>
      <c r="M619" t="str" cm="1">
        <f t="array" aca="1" ref="M619" ca="1">IF(AND(J619="O",ISBLANK(INDIRECT(A619))),"Valeur obligatoire non renseignée","")</f>
        <v/>
      </c>
    </row>
    <row r="620" spans="1:13" x14ac:dyDescent="0.25">
      <c r="A620" s="91" t="s">
        <v>3265</v>
      </c>
      <c r="B620" cm="1">
        <f t="array" aca="1" ref="B620" ca="1">INDIRECT(A620)</f>
        <v>0</v>
      </c>
      <c r="C620">
        <f t="shared" ca="1" si="36"/>
        <v>5</v>
      </c>
      <c r="D620" t="str" cm="1">
        <f t="array" aca="1" ref="D620" ca="1">CELL("nomfichier",INDIRECT(A620))</f>
        <v>G:\SCPE\sdc\bq\6 - Mentions valorisantes\Certification environnementale\TEXTES_REGLEMENTATION_CE\Plans_contrôle et grilles\Grille audit niveau 3\Grille d'audit v1.11\[grille-audit-hvev4-v1.11-vf.xlsx]Surfaces_Horti</v>
      </c>
      <c r="E620">
        <f t="shared" ca="1" si="37"/>
        <v>200</v>
      </c>
      <c r="F620">
        <f t="shared" ca="1" si="38"/>
        <v>214</v>
      </c>
      <c r="G620" t="str">
        <f t="shared" ca="1" si="39"/>
        <v>Surfaces_Horti</v>
      </c>
      <c r="H620" cm="1">
        <f t="array" aca="1" ref="H620" ca="1">ROW(INDIRECT(A620))</f>
        <v>40</v>
      </c>
      <c r="I620" cm="1">
        <f t="array" aca="1" ref="I620" ca="1">COLUMN(INDIRECT(A620))</f>
        <v>4</v>
      </c>
      <c r="M620" t="str" cm="1">
        <f t="array" aca="1" ref="M620" ca="1">IF(AND(J620="O",ISBLANK(INDIRECT(A620))),"Valeur obligatoire non renseignée","")</f>
        <v/>
      </c>
    </row>
    <row r="621" spans="1:13" x14ac:dyDescent="0.25">
      <c r="A621" s="91" t="s">
        <v>3292</v>
      </c>
      <c r="B621" cm="1">
        <f t="array" aca="1" ref="B621" ca="1">INDIRECT(A621)</f>
        <v>0</v>
      </c>
      <c r="C621">
        <f t="shared" ca="1" si="36"/>
        <v>5</v>
      </c>
      <c r="D621" t="str" cm="1">
        <f t="array" aca="1" ref="D621" ca="1">CELL("nomfichier",INDIRECT(A621))</f>
        <v>G:\SCPE\sdc\bq\6 - Mentions valorisantes\Certification environnementale\TEXTES_REGLEMENTATION_CE\Plans_contrôle et grilles\Grille audit niveau 3\Grille d'audit v1.11\[grille-audit-hvev4-v1.11-vf.xlsx]Surfaces_Horti</v>
      </c>
      <c r="E621">
        <f t="shared" ca="1" si="37"/>
        <v>200</v>
      </c>
      <c r="F621">
        <f t="shared" ca="1" si="38"/>
        <v>214</v>
      </c>
      <c r="G621" t="str">
        <f t="shared" ca="1" si="39"/>
        <v>Surfaces_Horti</v>
      </c>
      <c r="H621" cm="1">
        <f t="array" aca="1" ref="H621" ca="1">ROW(INDIRECT(A621))</f>
        <v>40</v>
      </c>
      <c r="I621" cm="1">
        <f t="array" aca="1" ref="I621" ca="1">COLUMN(INDIRECT(A621))</f>
        <v>5</v>
      </c>
      <c r="M621" t="str" cm="1">
        <f t="array" aca="1" ref="M621" ca="1">IF(AND(J621="O",ISBLANK(INDIRECT(A621))),"Valeur obligatoire non renseignée","")</f>
        <v/>
      </c>
    </row>
    <row r="622" spans="1:13" x14ac:dyDescent="0.25">
      <c r="A622" s="91" t="s">
        <v>3319</v>
      </c>
      <c r="B622" cm="1">
        <f t="array" aca="1" ref="B622" ca="1">INDIRECT(A622)</f>
        <v>0</v>
      </c>
      <c r="C622">
        <f t="shared" ca="1" si="36"/>
        <v>5</v>
      </c>
      <c r="D622" t="str" cm="1">
        <f t="array" aca="1" ref="D622" ca="1">CELL("nomfichier",INDIRECT(A622))</f>
        <v>G:\SCPE\sdc\bq\6 - Mentions valorisantes\Certification environnementale\TEXTES_REGLEMENTATION_CE\Plans_contrôle et grilles\Grille audit niveau 3\Grille d'audit v1.11\[grille-audit-hvev4-v1.11-vf.xlsx]Surfaces_Horti</v>
      </c>
      <c r="E622">
        <f t="shared" ca="1" si="37"/>
        <v>200</v>
      </c>
      <c r="F622">
        <f t="shared" ca="1" si="38"/>
        <v>214</v>
      </c>
      <c r="G622" t="str">
        <f t="shared" ca="1" si="39"/>
        <v>Surfaces_Horti</v>
      </c>
      <c r="H622" cm="1">
        <f t="array" aca="1" ref="H622" ca="1">ROW(INDIRECT(A622))</f>
        <v>40</v>
      </c>
      <c r="I622" cm="1">
        <f t="array" aca="1" ref="I622" ca="1">COLUMN(INDIRECT(A622))</f>
        <v>6</v>
      </c>
      <c r="M622" t="str" cm="1">
        <f t="array" aca="1" ref="M622" ca="1">IF(AND(J622="O",ISBLANK(INDIRECT(A622))),"Valeur obligatoire non renseignée","")</f>
        <v/>
      </c>
    </row>
    <row r="623" spans="1:13" x14ac:dyDescent="0.25">
      <c r="A623" s="91" t="s">
        <v>3346</v>
      </c>
      <c r="B623" cm="1">
        <f t="array" aca="1" ref="B623" ca="1">INDIRECT(A623)</f>
        <v>0</v>
      </c>
      <c r="C623">
        <f t="shared" ca="1" si="36"/>
        <v>5</v>
      </c>
      <c r="D623" t="str" cm="1">
        <f t="array" aca="1" ref="D623" ca="1">CELL("nomfichier",INDIRECT(A623))</f>
        <v>G:\SCPE\sdc\bq\6 - Mentions valorisantes\Certification environnementale\TEXTES_REGLEMENTATION_CE\Plans_contrôle et grilles\Grille audit niveau 3\Grille d'audit v1.11\[grille-audit-hvev4-v1.11-vf.xlsx]Surfaces_Horti</v>
      </c>
      <c r="E623">
        <f t="shared" ca="1" si="37"/>
        <v>200</v>
      </c>
      <c r="F623">
        <f t="shared" ca="1" si="38"/>
        <v>214</v>
      </c>
      <c r="G623" t="str">
        <f t="shared" ca="1" si="39"/>
        <v>Surfaces_Horti</v>
      </c>
      <c r="H623" cm="1">
        <f t="array" aca="1" ref="H623" ca="1">ROW(INDIRECT(A623))</f>
        <v>40</v>
      </c>
      <c r="I623" cm="1">
        <f t="array" aca="1" ref="I623" ca="1">COLUMN(INDIRECT(A623))</f>
        <v>7</v>
      </c>
      <c r="M623" t="str" cm="1">
        <f t="array" aca="1" ref="M623" ca="1">IF(AND(J623="O",ISBLANK(INDIRECT(A623))),"Valeur obligatoire non renseignée","")</f>
        <v/>
      </c>
    </row>
    <row r="624" spans="1:13" x14ac:dyDescent="0.25">
      <c r="A624" s="91" t="s">
        <v>3373</v>
      </c>
      <c r="B624" cm="1">
        <f t="array" aca="1" ref="B624" ca="1">INDIRECT(A624)</f>
        <v>0</v>
      </c>
      <c r="C624">
        <f t="shared" ca="1" si="36"/>
        <v>5</v>
      </c>
      <c r="D624" t="str" cm="1">
        <f t="array" aca="1" ref="D624" ca="1">CELL("nomfichier",INDIRECT(A624))</f>
        <v>G:\SCPE\sdc\bq\6 - Mentions valorisantes\Certification environnementale\TEXTES_REGLEMENTATION_CE\Plans_contrôle et grilles\Grille audit niveau 3\Grille d'audit v1.11\[grille-audit-hvev4-v1.11-vf.xlsx]Surfaces_Horti</v>
      </c>
      <c r="E624">
        <f t="shared" ca="1" si="37"/>
        <v>200</v>
      </c>
      <c r="F624">
        <f t="shared" ca="1" si="38"/>
        <v>214</v>
      </c>
      <c r="G624" t="str">
        <f t="shared" ca="1" si="39"/>
        <v>Surfaces_Horti</v>
      </c>
      <c r="H624" cm="1">
        <f t="array" aca="1" ref="H624" ca="1">ROW(INDIRECT(A624))</f>
        <v>40</v>
      </c>
      <c r="I624" cm="1">
        <f t="array" aca="1" ref="I624" ca="1">COLUMN(INDIRECT(A624))</f>
        <v>8</v>
      </c>
      <c r="M624" t="str" cm="1">
        <f t="array" aca="1" ref="M624" ca="1">IF(AND(J624="O",ISBLANK(INDIRECT(A624))),"Valeur obligatoire non renseignée","")</f>
        <v/>
      </c>
    </row>
    <row r="625" spans="1:13" x14ac:dyDescent="0.25">
      <c r="A625" s="91" t="s">
        <v>3400</v>
      </c>
      <c r="B625" cm="1">
        <f t="array" aca="1" ref="B625" ca="1">INDIRECT(A625)</f>
        <v>0</v>
      </c>
      <c r="C625">
        <f t="shared" ca="1" si="36"/>
        <v>5</v>
      </c>
      <c r="D625" t="str" cm="1">
        <f t="array" aca="1" ref="D625" ca="1">CELL("nomfichier",INDIRECT(A625))</f>
        <v>G:\SCPE\sdc\bq\6 - Mentions valorisantes\Certification environnementale\TEXTES_REGLEMENTATION_CE\Plans_contrôle et grilles\Grille audit niveau 3\Grille d'audit v1.11\[grille-audit-hvev4-v1.11-vf.xlsx]Surfaces_Horti</v>
      </c>
      <c r="E625">
        <f t="shared" ca="1" si="37"/>
        <v>200</v>
      </c>
      <c r="F625">
        <f t="shared" ca="1" si="38"/>
        <v>214</v>
      </c>
      <c r="G625" t="str">
        <f t="shared" ca="1" si="39"/>
        <v>Surfaces_Horti</v>
      </c>
      <c r="H625" cm="1">
        <f t="array" aca="1" ref="H625" ca="1">ROW(INDIRECT(A625))</f>
        <v>40</v>
      </c>
      <c r="I625" cm="1">
        <f t="array" aca="1" ref="I625" ca="1">COLUMN(INDIRECT(A625))</f>
        <v>9</v>
      </c>
      <c r="M625" t="str" cm="1">
        <f t="array" aca="1" ref="M625" ca="1">IF(AND(J625="O",ISBLANK(INDIRECT(A625))),"Valeur obligatoire non renseignée","")</f>
        <v/>
      </c>
    </row>
    <row r="626" spans="1:13" x14ac:dyDescent="0.25">
      <c r="A626" s="91" t="s">
        <v>3427</v>
      </c>
      <c r="B626" cm="1">
        <f t="array" aca="1" ref="B626" ca="1">INDIRECT(A626)</f>
        <v>0</v>
      </c>
      <c r="C626">
        <f t="shared" ca="1" si="36"/>
        <v>5</v>
      </c>
      <c r="D626" t="str" cm="1">
        <f t="array" aca="1" ref="D626" ca="1">CELL("nomfichier",INDIRECT(A626))</f>
        <v>G:\SCPE\sdc\bq\6 - Mentions valorisantes\Certification environnementale\TEXTES_REGLEMENTATION_CE\Plans_contrôle et grilles\Grille audit niveau 3\Grille d'audit v1.11\[grille-audit-hvev4-v1.11-vf.xlsx]Surfaces_Horti</v>
      </c>
      <c r="E626">
        <f t="shared" ca="1" si="37"/>
        <v>200</v>
      </c>
      <c r="F626">
        <f t="shared" ca="1" si="38"/>
        <v>214</v>
      </c>
      <c r="G626" t="str">
        <f t="shared" ca="1" si="39"/>
        <v>Surfaces_Horti</v>
      </c>
      <c r="H626" cm="1">
        <f t="array" aca="1" ref="H626" ca="1">ROW(INDIRECT(A626))</f>
        <v>40</v>
      </c>
      <c r="I626" cm="1">
        <f t="array" aca="1" ref="I626" ca="1">COLUMN(INDIRECT(A626))</f>
        <v>10</v>
      </c>
      <c r="M626" t="str" cm="1">
        <f t="array" aca="1" ref="M626" ca="1">IF(AND(J626="O",ISBLANK(INDIRECT(A626))),"Valeur obligatoire non renseignée","")</f>
        <v/>
      </c>
    </row>
    <row r="627" spans="1:13" x14ac:dyDescent="0.25">
      <c r="A627" s="91" t="s">
        <v>3454</v>
      </c>
      <c r="B627" cm="1">
        <f t="array" aca="1" ref="B627" ca="1">INDIRECT(A627)</f>
        <v>0</v>
      </c>
      <c r="C627">
        <f t="shared" ca="1" si="36"/>
        <v>5</v>
      </c>
      <c r="D627" t="str" cm="1">
        <f t="array" aca="1" ref="D627" ca="1">CELL("nomfichier",INDIRECT(A627))</f>
        <v>G:\SCPE\sdc\bq\6 - Mentions valorisantes\Certification environnementale\TEXTES_REGLEMENTATION_CE\Plans_contrôle et grilles\Grille audit niveau 3\Grille d'audit v1.11\[grille-audit-hvev4-v1.11-vf.xlsx]Surfaces_Horti</v>
      </c>
      <c r="E627">
        <f t="shared" ca="1" si="37"/>
        <v>200</v>
      </c>
      <c r="F627">
        <f t="shared" ca="1" si="38"/>
        <v>214</v>
      </c>
      <c r="G627" t="str">
        <f t="shared" ca="1" si="39"/>
        <v>Surfaces_Horti</v>
      </c>
      <c r="H627" cm="1">
        <f t="array" aca="1" ref="H627" ca="1">ROW(INDIRECT(A627))</f>
        <v>40</v>
      </c>
      <c r="I627" cm="1">
        <f t="array" aca="1" ref="I627" ca="1">COLUMN(INDIRECT(A627))</f>
        <v>11</v>
      </c>
      <c r="M627" t="str" cm="1">
        <f t="array" aca="1" ref="M627" ca="1">IF(AND(J627="O",ISBLANK(INDIRECT(A627))),"Valeur obligatoire non renseignée","")</f>
        <v/>
      </c>
    </row>
    <row r="628" spans="1:13" x14ac:dyDescent="0.25">
      <c r="A628" s="91" t="s">
        <v>3481</v>
      </c>
      <c r="B628" cm="1">
        <f t="array" aca="1" ref="B628" ca="1">INDIRECT(A628)</f>
        <v>0</v>
      </c>
      <c r="C628">
        <f t="shared" ca="1" si="36"/>
        <v>5</v>
      </c>
      <c r="D628" t="str" cm="1">
        <f t="array" aca="1" ref="D628" ca="1">CELL("nomfichier",INDIRECT(A628))</f>
        <v>G:\SCPE\sdc\bq\6 - Mentions valorisantes\Certification environnementale\TEXTES_REGLEMENTATION_CE\Plans_contrôle et grilles\Grille audit niveau 3\Grille d'audit v1.11\[grille-audit-hvev4-v1.11-vf.xlsx]Surfaces_Horti</v>
      </c>
      <c r="E628">
        <f t="shared" ca="1" si="37"/>
        <v>200</v>
      </c>
      <c r="F628">
        <f t="shared" ca="1" si="38"/>
        <v>214</v>
      </c>
      <c r="G628" t="str">
        <f t="shared" ca="1" si="39"/>
        <v>Surfaces_Horti</v>
      </c>
      <c r="H628" cm="1">
        <f t="array" aca="1" ref="H628" ca="1">ROW(INDIRECT(A628))</f>
        <v>40</v>
      </c>
      <c r="I628" cm="1">
        <f t="array" aca="1" ref="I628" ca="1">COLUMN(INDIRECT(A628))</f>
        <v>12</v>
      </c>
      <c r="M628" t="str" cm="1">
        <f t="array" aca="1" ref="M628" ca="1">IF(AND(J628="O",ISBLANK(INDIRECT(A628))),"Valeur obligatoire non renseignée","")</f>
        <v/>
      </c>
    </row>
    <row r="629" spans="1:13" x14ac:dyDescent="0.25">
      <c r="A629" s="91" t="s">
        <v>3508</v>
      </c>
      <c r="B629" cm="1">
        <f t="array" aca="1" ref="B629" ca="1">INDIRECT(A629)</f>
        <v>0</v>
      </c>
      <c r="C629">
        <f t="shared" ca="1" si="36"/>
        <v>5</v>
      </c>
      <c r="D629" t="str" cm="1">
        <f t="array" aca="1" ref="D629" ca="1">CELL("nomfichier",INDIRECT(A629))</f>
        <v>G:\SCPE\sdc\bq\6 - Mentions valorisantes\Certification environnementale\TEXTES_REGLEMENTATION_CE\Plans_contrôle et grilles\Grille audit niveau 3\Grille d'audit v1.11\[grille-audit-hvev4-v1.11-vf.xlsx]Surfaces_Horti</v>
      </c>
      <c r="E629">
        <f t="shared" ca="1" si="37"/>
        <v>200</v>
      </c>
      <c r="F629">
        <f t="shared" ca="1" si="38"/>
        <v>214</v>
      </c>
      <c r="G629" t="str">
        <f t="shared" ca="1" si="39"/>
        <v>Surfaces_Horti</v>
      </c>
      <c r="H629" cm="1">
        <f t="array" aca="1" ref="H629" ca="1">ROW(INDIRECT(A629))</f>
        <v>40</v>
      </c>
      <c r="I629" cm="1">
        <f t="array" aca="1" ref="I629" ca="1">COLUMN(INDIRECT(A629))</f>
        <v>13</v>
      </c>
      <c r="M629" t="str" cm="1">
        <f t="array" aca="1" ref="M629" ca="1">IF(AND(J629="O",ISBLANK(INDIRECT(A629))),"Valeur obligatoire non renseignée","")</f>
        <v/>
      </c>
    </row>
    <row r="630" spans="1:13" x14ac:dyDescent="0.25">
      <c r="A630" s="91" t="s">
        <v>3535</v>
      </c>
      <c r="B630" cm="1">
        <f t="array" aca="1" ref="B630" ca="1">INDIRECT(A630)</f>
        <v>0</v>
      </c>
      <c r="C630">
        <f t="shared" ca="1" si="36"/>
        <v>5</v>
      </c>
      <c r="D630" t="str" cm="1">
        <f t="array" aca="1" ref="D630" ca="1">CELL("nomfichier",INDIRECT(A630))</f>
        <v>G:\SCPE\sdc\bq\6 - Mentions valorisantes\Certification environnementale\TEXTES_REGLEMENTATION_CE\Plans_contrôle et grilles\Grille audit niveau 3\Grille d'audit v1.11\[grille-audit-hvev4-v1.11-vf.xlsx]Surfaces_Horti</v>
      </c>
      <c r="E630">
        <f t="shared" ca="1" si="37"/>
        <v>200</v>
      </c>
      <c r="F630">
        <f t="shared" ca="1" si="38"/>
        <v>214</v>
      </c>
      <c r="G630" t="str">
        <f t="shared" ca="1" si="39"/>
        <v>Surfaces_Horti</v>
      </c>
      <c r="H630" cm="1">
        <f t="array" aca="1" ref="H630" ca="1">ROW(INDIRECT(A630))</f>
        <v>40</v>
      </c>
      <c r="I630" cm="1">
        <f t="array" aca="1" ref="I630" ca="1">COLUMN(INDIRECT(A630))</f>
        <v>14</v>
      </c>
      <c r="M630" t="str" cm="1">
        <f t="array" aca="1" ref="M630" ca="1">IF(AND(J630="O",ISBLANK(INDIRECT(A630))),"Valeur obligatoire non renseignée","")</f>
        <v/>
      </c>
    </row>
    <row r="631" spans="1:13" x14ac:dyDescent="0.25">
      <c r="A631" s="91" t="s">
        <v>3212</v>
      </c>
      <c r="B631" cm="1">
        <f t="array" aca="1" ref="B631" ca="1">INDIRECT(A631)</f>
        <v>0</v>
      </c>
      <c r="C631">
        <f t="shared" ca="1" si="36"/>
        <v>5</v>
      </c>
      <c r="D631" t="str" cm="1">
        <f t="array" aca="1" ref="D631" ca="1">CELL("nomfichier",INDIRECT(A631))</f>
        <v>G:\SCPE\sdc\bq\6 - Mentions valorisantes\Certification environnementale\TEXTES_REGLEMENTATION_CE\Plans_contrôle et grilles\Grille audit niveau 3\Grille d'audit v1.11\[grille-audit-hvev4-v1.11-vf.xlsx]Surfaces_Horti</v>
      </c>
      <c r="E631">
        <f t="shared" ca="1" si="37"/>
        <v>200</v>
      </c>
      <c r="F631">
        <f t="shared" ca="1" si="38"/>
        <v>214</v>
      </c>
      <c r="G631" t="str">
        <f t="shared" ca="1" si="39"/>
        <v>Surfaces_Horti</v>
      </c>
      <c r="H631" cm="1">
        <f t="array" aca="1" ref="H631" ca="1">ROW(INDIRECT(A631))</f>
        <v>41</v>
      </c>
      <c r="I631" cm="1">
        <f t="array" aca="1" ref="I631" ca="1">COLUMN(INDIRECT(A631))</f>
        <v>2</v>
      </c>
      <c r="M631" t="str" cm="1">
        <f t="array" aca="1" ref="M631" ca="1">IF(AND(J631="O",ISBLANK(INDIRECT(A631))),"Valeur obligatoire non renseignée","")</f>
        <v/>
      </c>
    </row>
    <row r="632" spans="1:13" x14ac:dyDescent="0.25">
      <c r="A632" s="91" t="s">
        <v>3239</v>
      </c>
      <c r="B632" cm="1">
        <f t="array" aca="1" ref="B632" ca="1">INDIRECT(A632)</f>
        <v>0</v>
      </c>
      <c r="C632">
        <f t="shared" ca="1" si="36"/>
        <v>5</v>
      </c>
      <c r="D632" t="str" cm="1">
        <f t="array" aca="1" ref="D632" ca="1">CELL("nomfichier",INDIRECT(A632))</f>
        <v>G:\SCPE\sdc\bq\6 - Mentions valorisantes\Certification environnementale\TEXTES_REGLEMENTATION_CE\Plans_contrôle et grilles\Grille audit niveau 3\Grille d'audit v1.11\[grille-audit-hvev4-v1.11-vf.xlsx]Surfaces_Horti</v>
      </c>
      <c r="E632">
        <f t="shared" ca="1" si="37"/>
        <v>200</v>
      </c>
      <c r="F632">
        <f t="shared" ca="1" si="38"/>
        <v>214</v>
      </c>
      <c r="G632" t="str">
        <f t="shared" ca="1" si="39"/>
        <v>Surfaces_Horti</v>
      </c>
      <c r="H632" cm="1">
        <f t="array" aca="1" ref="H632" ca="1">ROW(INDIRECT(A632))</f>
        <v>41</v>
      </c>
      <c r="I632" cm="1">
        <f t="array" aca="1" ref="I632" ca="1">COLUMN(INDIRECT(A632))</f>
        <v>3</v>
      </c>
      <c r="M632" t="str" cm="1">
        <f t="array" aca="1" ref="M632" ca="1">IF(AND(J632="O",ISBLANK(INDIRECT(A632))),"Valeur obligatoire non renseignée","")</f>
        <v/>
      </c>
    </row>
    <row r="633" spans="1:13" x14ac:dyDescent="0.25">
      <c r="A633" s="91" t="s">
        <v>3266</v>
      </c>
      <c r="B633" cm="1">
        <f t="array" aca="1" ref="B633" ca="1">INDIRECT(A633)</f>
        <v>0</v>
      </c>
      <c r="C633">
        <f t="shared" ca="1" si="36"/>
        <v>5</v>
      </c>
      <c r="D633" t="str" cm="1">
        <f t="array" aca="1" ref="D633" ca="1">CELL("nomfichier",INDIRECT(A633))</f>
        <v>G:\SCPE\sdc\bq\6 - Mentions valorisantes\Certification environnementale\TEXTES_REGLEMENTATION_CE\Plans_contrôle et grilles\Grille audit niveau 3\Grille d'audit v1.11\[grille-audit-hvev4-v1.11-vf.xlsx]Surfaces_Horti</v>
      </c>
      <c r="E633">
        <f t="shared" ca="1" si="37"/>
        <v>200</v>
      </c>
      <c r="F633">
        <f t="shared" ca="1" si="38"/>
        <v>214</v>
      </c>
      <c r="G633" t="str">
        <f t="shared" ca="1" si="39"/>
        <v>Surfaces_Horti</v>
      </c>
      <c r="H633" cm="1">
        <f t="array" aca="1" ref="H633" ca="1">ROW(INDIRECT(A633))</f>
        <v>41</v>
      </c>
      <c r="I633" cm="1">
        <f t="array" aca="1" ref="I633" ca="1">COLUMN(INDIRECT(A633))</f>
        <v>4</v>
      </c>
      <c r="M633" t="str" cm="1">
        <f t="array" aca="1" ref="M633" ca="1">IF(AND(J633="O",ISBLANK(INDIRECT(A633))),"Valeur obligatoire non renseignée","")</f>
        <v/>
      </c>
    </row>
    <row r="634" spans="1:13" x14ac:dyDescent="0.25">
      <c r="A634" s="91" t="s">
        <v>3293</v>
      </c>
      <c r="B634" cm="1">
        <f t="array" aca="1" ref="B634" ca="1">INDIRECT(A634)</f>
        <v>0</v>
      </c>
      <c r="C634">
        <f t="shared" ca="1" si="36"/>
        <v>5</v>
      </c>
      <c r="D634" t="str" cm="1">
        <f t="array" aca="1" ref="D634" ca="1">CELL("nomfichier",INDIRECT(A634))</f>
        <v>G:\SCPE\sdc\bq\6 - Mentions valorisantes\Certification environnementale\TEXTES_REGLEMENTATION_CE\Plans_contrôle et grilles\Grille audit niveau 3\Grille d'audit v1.11\[grille-audit-hvev4-v1.11-vf.xlsx]Surfaces_Horti</v>
      </c>
      <c r="E634">
        <f t="shared" ca="1" si="37"/>
        <v>200</v>
      </c>
      <c r="F634">
        <f t="shared" ca="1" si="38"/>
        <v>214</v>
      </c>
      <c r="G634" t="str">
        <f t="shared" ca="1" si="39"/>
        <v>Surfaces_Horti</v>
      </c>
      <c r="H634" cm="1">
        <f t="array" aca="1" ref="H634" ca="1">ROW(INDIRECT(A634))</f>
        <v>41</v>
      </c>
      <c r="I634" cm="1">
        <f t="array" aca="1" ref="I634" ca="1">COLUMN(INDIRECT(A634))</f>
        <v>5</v>
      </c>
      <c r="M634" t="str" cm="1">
        <f t="array" aca="1" ref="M634" ca="1">IF(AND(J634="O",ISBLANK(INDIRECT(A634))),"Valeur obligatoire non renseignée","")</f>
        <v/>
      </c>
    </row>
    <row r="635" spans="1:13" x14ac:dyDescent="0.25">
      <c r="A635" s="91" t="s">
        <v>3320</v>
      </c>
      <c r="B635" cm="1">
        <f t="array" aca="1" ref="B635" ca="1">INDIRECT(A635)</f>
        <v>0</v>
      </c>
      <c r="C635">
        <f t="shared" ca="1" si="36"/>
        <v>5</v>
      </c>
      <c r="D635" t="str" cm="1">
        <f t="array" aca="1" ref="D635" ca="1">CELL("nomfichier",INDIRECT(A635))</f>
        <v>G:\SCPE\sdc\bq\6 - Mentions valorisantes\Certification environnementale\TEXTES_REGLEMENTATION_CE\Plans_contrôle et grilles\Grille audit niveau 3\Grille d'audit v1.11\[grille-audit-hvev4-v1.11-vf.xlsx]Surfaces_Horti</v>
      </c>
      <c r="E635">
        <f t="shared" ca="1" si="37"/>
        <v>200</v>
      </c>
      <c r="F635">
        <f t="shared" ca="1" si="38"/>
        <v>214</v>
      </c>
      <c r="G635" t="str">
        <f t="shared" ca="1" si="39"/>
        <v>Surfaces_Horti</v>
      </c>
      <c r="H635" cm="1">
        <f t="array" aca="1" ref="H635" ca="1">ROW(INDIRECT(A635))</f>
        <v>41</v>
      </c>
      <c r="I635" cm="1">
        <f t="array" aca="1" ref="I635" ca="1">COLUMN(INDIRECT(A635))</f>
        <v>6</v>
      </c>
      <c r="M635" t="str" cm="1">
        <f t="array" aca="1" ref="M635" ca="1">IF(AND(J635="O",ISBLANK(INDIRECT(A635))),"Valeur obligatoire non renseignée","")</f>
        <v/>
      </c>
    </row>
    <row r="636" spans="1:13" x14ac:dyDescent="0.25">
      <c r="A636" s="91" t="s">
        <v>3347</v>
      </c>
      <c r="B636" cm="1">
        <f t="array" aca="1" ref="B636" ca="1">INDIRECT(A636)</f>
        <v>0</v>
      </c>
      <c r="C636">
        <f t="shared" ca="1" si="36"/>
        <v>5</v>
      </c>
      <c r="D636" t="str" cm="1">
        <f t="array" aca="1" ref="D636" ca="1">CELL("nomfichier",INDIRECT(A636))</f>
        <v>G:\SCPE\sdc\bq\6 - Mentions valorisantes\Certification environnementale\TEXTES_REGLEMENTATION_CE\Plans_contrôle et grilles\Grille audit niveau 3\Grille d'audit v1.11\[grille-audit-hvev4-v1.11-vf.xlsx]Surfaces_Horti</v>
      </c>
      <c r="E636">
        <f t="shared" ca="1" si="37"/>
        <v>200</v>
      </c>
      <c r="F636">
        <f t="shared" ca="1" si="38"/>
        <v>214</v>
      </c>
      <c r="G636" t="str">
        <f t="shared" ca="1" si="39"/>
        <v>Surfaces_Horti</v>
      </c>
      <c r="H636" cm="1">
        <f t="array" aca="1" ref="H636" ca="1">ROW(INDIRECT(A636))</f>
        <v>41</v>
      </c>
      <c r="I636" cm="1">
        <f t="array" aca="1" ref="I636" ca="1">COLUMN(INDIRECT(A636))</f>
        <v>7</v>
      </c>
      <c r="M636" t="str" cm="1">
        <f t="array" aca="1" ref="M636" ca="1">IF(AND(J636="O",ISBLANK(INDIRECT(A636))),"Valeur obligatoire non renseignée","")</f>
        <v/>
      </c>
    </row>
    <row r="637" spans="1:13" x14ac:dyDescent="0.25">
      <c r="A637" s="91" t="s">
        <v>3374</v>
      </c>
      <c r="B637" cm="1">
        <f t="array" aca="1" ref="B637" ca="1">INDIRECT(A637)</f>
        <v>0</v>
      </c>
      <c r="C637">
        <f t="shared" ca="1" si="36"/>
        <v>5</v>
      </c>
      <c r="D637" t="str" cm="1">
        <f t="array" aca="1" ref="D637" ca="1">CELL("nomfichier",INDIRECT(A637))</f>
        <v>G:\SCPE\sdc\bq\6 - Mentions valorisantes\Certification environnementale\TEXTES_REGLEMENTATION_CE\Plans_contrôle et grilles\Grille audit niveau 3\Grille d'audit v1.11\[grille-audit-hvev4-v1.11-vf.xlsx]Surfaces_Horti</v>
      </c>
      <c r="E637">
        <f t="shared" ca="1" si="37"/>
        <v>200</v>
      </c>
      <c r="F637">
        <f t="shared" ca="1" si="38"/>
        <v>214</v>
      </c>
      <c r="G637" t="str">
        <f t="shared" ca="1" si="39"/>
        <v>Surfaces_Horti</v>
      </c>
      <c r="H637" cm="1">
        <f t="array" aca="1" ref="H637" ca="1">ROW(INDIRECT(A637))</f>
        <v>41</v>
      </c>
      <c r="I637" cm="1">
        <f t="array" aca="1" ref="I637" ca="1">COLUMN(INDIRECT(A637))</f>
        <v>8</v>
      </c>
      <c r="M637" t="str" cm="1">
        <f t="array" aca="1" ref="M637" ca="1">IF(AND(J637="O",ISBLANK(INDIRECT(A637))),"Valeur obligatoire non renseignée","")</f>
        <v/>
      </c>
    </row>
    <row r="638" spans="1:13" x14ac:dyDescent="0.25">
      <c r="A638" s="91" t="s">
        <v>3401</v>
      </c>
      <c r="B638" cm="1">
        <f t="array" aca="1" ref="B638" ca="1">INDIRECT(A638)</f>
        <v>0</v>
      </c>
      <c r="C638">
        <f t="shared" ca="1" si="36"/>
        <v>5</v>
      </c>
      <c r="D638" t="str" cm="1">
        <f t="array" aca="1" ref="D638" ca="1">CELL("nomfichier",INDIRECT(A638))</f>
        <v>G:\SCPE\sdc\bq\6 - Mentions valorisantes\Certification environnementale\TEXTES_REGLEMENTATION_CE\Plans_contrôle et grilles\Grille audit niveau 3\Grille d'audit v1.11\[grille-audit-hvev4-v1.11-vf.xlsx]Surfaces_Horti</v>
      </c>
      <c r="E638">
        <f t="shared" ca="1" si="37"/>
        <v>200</v>
      </c>
      <c r="F638">
        <f t="shared" ca="1" si="38"/>
        <v>214</v>
      </c>
      <c r="G638" t="str">
        <f t="shared" ca="1" si="39"/>
        <v>Surfaces_Horti</v>
      </c>
      <c r="H638" cm="1">
        <f t="array" aca="1" ref="H638" ca="1">ROW(INDIRECT(A638))</f>
        <v>41</v>
      </c>
      <c r="I638" cm="1">
        <f t="array" aca="1" ref="I638" ca="1">COLUMN(INDIRECT(A638))</f>
        <v>9</v>
      </c>
      <c r="M638" t="str" cm="1">
        <f t="array" aca="1" ref="M638" ca="1">IF(AND(J638="O",ISBLANK(INDIRECT(A638))),"Valeur obligatoire non renseignée","")</f>
        <v/>
      </c>
    </row>
    <row r="639" spans="1:13" x14ac:dyDescent="0.25">
      <c r="A639" s="91" t="s">
        <v>3428</v>
      </c>
      <c r="B639" cm="1">
        <f t="array" aca="1" ref="B639" ca="1">INDIRECT(A639)</f>
        <v>0</v>
      </c>
      <c r="C639">
        <f t="shared" ca="1" si="36"/>
        <v>5</v>
      </c>
      <c r="D639" t="str" cm="1">
        <f t="array" aca="1" ref="D639" ca="1">CELL("nomfichier",INDIRECT(A639))</f>
        <v>G:\SCPE\sdc\bq\6 - Mentions valorisantes\Certification environnementale\TEXTES_REGLEMENTATION_CE\Plans_contrôle et grilles\Grille audit niveau 3\Grille d'audit v1.11\[grille-audit-hvev4-v1.11-vf.xlsx]Surfaces_Horti</v>
      </c>
      <c r="E639">
        <f t="shared" ca="1" si="37"/>
        <v>200</v>
      </c>
      <c r="F639">
        <f t="shared" ca="1" si="38"/>
        <v>214</v>
      </c>
      <c r="G639" t="str">
        <f t="shared" ca="1" si="39"/>
        <v>Surfaces_Horti</v>
      </c>
      <c r="H639" cm="1">
        <f t="array" aca="1" ref="H639" ca="1">ROW(INDIRECT(A639))</f>
        <v>41</v>
      </c>
      <c r="I639" cm="1">
        <f t="array" aca="1" ref="I639" ca="1">COLUMN(INDIRECT(A639))</f>
        <v>10</v>
      </c>
      <c r="M639" t="str" cm="1">
        <f t="array" aca="1" ref="M639" ca="1">IF(AND(J639="O",ISBLANK(INDIRECT(A639))),"Valeur obligatoire non renseignée","")</f>
        <v/>
      </c>
    </row>
    <row r="640" spans="1:13" x14ac:dyDescent="0.25">
      <c r="A640" s="91" t="s">
        <v>3455</v>
      </c>
      <c r="B640" cm="1">
        <f t="array" aca="1" ref="B640" ca="1">INDIRECT(A640)</f>
        <v>0</v>
      </c>
      <c r="C640">
        <f t="shared" ca="1" si="36"/>
        <v>5</v>
      </c>
      <c r="D640" t="str" cm="1">
        <f t="array" aca="1" ref="D640" ca="1">CELL("nomfichier",INDIRECT(A640))</f>
        <v>G:\SCPE\sdc\bq\6 - Mentions valorisantes\Certification environnementale\TEXTES_REGLEMENTATION_CE\Plans_contrôle et grilles\Grille audit niveau 3\Grille d'audit v1.11\[grille-audit-hvev4-v1.11-vf.xlsx]Surfaces_Horti</v>
      </c>
      <c r="E640">
        <f t="shared" ca="1" si="37"/>
        <v>200</v>
      </c>
      <c r="F640">
        <f t="shared" ca="1" si="38"/>
        <v>214</v>
      </c>
      <c r="G640" t="str">
        <f t="shared" ca="1" si="39"/>
        <v>Surfaces_Horti</v>
      </c>
      <c r="H640" cm="1">
        <f t="array" aca="1" ref="H640" ca="1">ROW(INDIRECT(A640))</f>
        <v>41</v>
      </c>
      <c r="I640" cm="1">
        <f t="array" aca="1" ref="I640" ca="1">COLUMN(INDIRECT(A640))</f>
        <v>11</v>
      </c>
      <c r="M640" t="str" cm="1">
        <f t="array" aca="1" ref="M640" ca="1">IF(AND(J640="O",ISBLANK(INDIRECT(A640))),"Valeur obligatoire non renseignée","")</f>
        <v/>
      </c>
    </row>
    <row r="641" spans="1:13" x14ac:dyDescent="0.25">
      <c r="A641" s="91" t="s">
        <v>3482</v>
      </c>
      <c r="B641" cm="1">
        <f t="array" aca="1" ref="B641" ca="1">INDIRECT(A641)</f>
        <v>0</v>
      </c>
      <c r="C641">
        <f t="shared" ca="1" si="36"/>
        <v>5</v>
      </c>
      <c r="D641" t="str" cm="1">
        <f t="array" aca="1" ref="D641" ca="1">CELL("nomfichier",INDIRECT(A641))</f>
        <v>G:\SCPE\sdc\bq\6 - Mentions valorisantes\Certification environnementale\TEXTES_REGLEMENTATION_CE\Plans_contrôle et grilles\Grille audit niveau 3\Grille d'audit v1.11\[grille-audit-hvev4-v1.11-vf.xlsx]Surfaces_Horti</v>
      </c>
      <c r="E641">
        <f t="shared" ca="1" si="37"/>
        <v>200</v>
      </c>
      <c r="F641">
        <f t="shared" ca="1" si="38"/>
        <v>214</v>
      </c>
      <c r="G641" t="str">
        <f t="shared" ca="1" si="39"/>
        <v>Surfaces_Horti</v>
      </c>
      <c r="H641" cm="1">
        <f t="array" aca="1" ref="H641" ca="1">ROW(INDIRECT(A641))</f>
        <v>41</v>
      </c>
      <c r="I641" cm="1">
        <f t="array" aca="1" ref="I641" ca="1">COLUMN(INDIRECT(A641))</f>
        <v>12</v>
      </c>
      <c r="M641" t="str" cm="1">
        <f t="array" aca="1" ref="M641" ca="1">IF(AND(J641="O",ISBLANK(INDIRECT(A641))),"Valeur obligatoire non renseignée","")</f>
        <v/>
      </c>
    </row>
    <row r="642" spans="1:13" x14ac:dyDescent="0.25">
      <c r="A642" s="91" t="s">
        <v>3509</v>
      </c>
      <c r="B642" cm="1">
        <f t="array" aca="1" ref="B642" ca="1">INDIRECT(A642)</f>
        <v>0</v>
      </c>
      <c r="C642">
        <f t="shared" ref="C642:C705" ca="1" si="40">_xlfn.SHEET(INDIRECT(A642))</f>
        <v>5</v>
      </c>
      <c r="D642" t="str" cm="1">
        <f t="array" aca="1" ref="D642" ca="1">CELL("nomfichier",INDIRECT(A642))</f>
        <v>G:\SCPE\sdc\bq\6 - Mentions valorisantes\Certification environnementale\TEXTES_REGLEMENTATION_CE\Plans_contrôle et grilles\Grille audit niveau 3\Grille d'audit v1.11\[grille-audit-hvev4-v1.11-vf.xlsx]Surfaces_Horti</v>
      </c>
      <c r="E642">
        <f t="shared" ref="E642:E705" ca="1" si="41">FIND("]",D642)</f>
        <v>200</v>
      </c>
      <c r="F642">
        <f t="shared" ref="F642:F705" ca="1" si="42">LEN(D642)</f>
        <v>214</v>
      </c>
      <c r="G642" t="str">
        <f t="shared" ref="G642:G705" ca="1" si="43">RIGHT(D642,F642-E642)</f>
        <v>Surfaces_Horti</v>
      </c>
      <c r="H642" cm="1">
        <f t="array" aca="1" ref="H642" ca="1">ROW(INDIRECT(A642))</f>
        <v>41</v>
      </c>
      <c r="I642" cm="1">
        <f t="array" aca="1" ref="I642" ca="1">COLUMN(INDIRECT(A642))</f>
        <v>13</v>
      </c>
      <c r="M642" t="str" cm="1">
        <f t="array" aca="1" ref="M642" ca="1">IF(AND(J642="O",ISBLANK(INDIRECT(A642))),"Valeur obligatoire non renseignée","")</f>
        <v/>
      </c>
    </row>
    <row r="643" spans="1:13" x14ac:dyDescent="0.25">
      <c r="A643" s="91" t="s">
        <v>3536</v>
      </c>
      <c r="B643" cm="1">
        <f t="array" aca="1" ref="B643" ca="1">INDIRECT(A643)</f>
        <v>0</v>
      </c>
      <c r="C643">
        <f t="shared" ca="1" si="40"/>
        <v>5</v>
      </c>
      <c r="D643" t="str" cm="1">
        <f t="array" aca="1" ref="D643" ca="1">CELL("nomfichier",INDIRECT(A643))</f>
        <v>G:\SCPE\sdc\bq\6 - Mentions valorisantes\Certification environnementale\TEXTES_REGLEMENTATION_CE\Plans_contrôle et grilles\Grille audit niveau 3\Grille d'audit v1.11\[grille-audit-hvev4-v1.11-vf.xlsx]Surfaces_Horti</v>
      </c>
      <c r="E643">
        <f t="shared" ca="1" si="41"/>
        <v>200</v>
      </c>
      <c r="F643">
        <f t="shared" ca="1" si="42"/>
        <v>214</v>
      </c>
      <c r="G643" t="str">
        <f t="shared" ca="1" si="43"/>
        <v>Surfaces_Horti</v>
      </c>
      <c r="H643" cm="1">
        <f t="array" aca="1" ref="H643" ca="1">ROW(INDIRECT(A643))</f>
        <v>41</v>
      </c>
      <c r="I643" cm="1">
        <f t="array" aca="1" ref="I643" ca="1">COLUMN(INDIRECT(A643))</f>
        <v>14</v>
      </c>
      <c r="M643" t="str" cm="1">
        <f t="array" aca="1" ref="M643" ca="1">IF(AND(J643="O",ISBLANK(INDIRECT(A643))),"Valeur obligatoire non renseignée","")</f>
        <v/>
      </c>
    </row>
    <row r="644" spans="1:13" x14ac:dyDescent="0.25">
      <c r="A644" s="91" t="s">
        <v>3537</v>
      </c>
      <c r="B644" cm="1">
        <f t="array" aca="1" ref="B644" ca="1">INDIRECT(A644)</f>
        <v>0</v>
      </c>
      <c r="C644">
        <f t="shared" ca="1" si="40"/>
        <v>5</v>
      </c>
      <c r="D644" t="str" cm="1">
        <f t="array" aca="1" ref="D644" ca="1">CELL("nomfichier",INDIRECT(A644))</f>
        <v>G:\SCPE\sdc\bq\6 - Mentions valorisantes\Certification environnementale\TEXTES_REGLEMENTATION_CE\Plans_contrôle et grilles\Grille audit niveau 3\Grille d'audit v1.11\[grille-audit-hvev4-v1.11-vf.xlsx]Surfaces_Horti</v>
      </c>
      <c r="E644">
        <f t="shared" ca="1" si="41"/>
        <v>200</v>
      </c>
      <c r="F644">
        <f t="shared" ca="1" si="42"/>
        <v>214</v>
      </c>
      <c r="G644" t="str">
        <f t="shared" ca="1" si="43"/>
        <v>Surfaces_Horti</v>
      </c>
      <c r="H644" cm="1">
        <f t="array" aca="1" ref="H644" ca="1">ROW(INDIRECT(A644))</f>
        <v>49</v>
      </c>
      <c r="I644" cm="1">
        <f t="array" aca="1" ref="I644" ca="1">COLUMN(INDIRECT(A644))</f>
        <v>2</v>
      </c>
      <c r="M644" t="str" cm="1">
        <f t="array" aca="1" ref="M644" ca="1">IF(AND(J644="O",ISBLANK(INDIRECT(A644))),"Valeur obligatoire non renseignée","")</f>
        <v/>
      </c>
    </row>
    <row r="645" spans="1:13" x14ac:dyDescent="0.25">
      <c r="A645" s="91" t="s">
        <v>3564</v>
      </c>
      <c r="B645" cm="1">
        <f t="array" aca="1" ref="B645" ca="1">INDIRECT(A645)</f>
        <v>0</v>
      </c>
      <c r="C645">
        <f t="shared" ca="1" si="40"/>
        <v>5</v>
      </c>
      <c r="D645" t="str" cm="1">
        <f t="array" aca="1" ref="D645" ca="1">CELL("nomfichier",INDIRECT(A645))</f>
        <v>G:\SCPE\sdc\bq\6 - Mentions valorisantes\Certification environnementale\TEXTES_REGLEMENTATION_CE\Plans_contrôle et grilles\Grille audit niveau 3\Grille d'audit v1.11\[grille-audit-hvev4-v1.11-vf.xlsx]Surfaces_Horti</v>
      </c>
      <c r="E645">
        <f t="shared" ca="1" si="41"/>
        <v>200</v>
      </c>
      <c r="F645">
        <f t="shared" ca="1" si="42"/>
        <v>214</v>
      </c>
      <c r="G645" t="str">
        <f t="shared" ca="1" si="43"/>
        <v>Surfaces_Horti</v>
      </c>
      <c r="H645" cm="1">
        <f t="array" aca="1" ref="H645" ca="1">ROW(INDIRECT(A645))</f>
        <v>49</v>
      </c>
      <c r="I645" cm="1">
        <f t="array" aca="1" ref="I645" ca="1">COLUMN(INDIRECT(A645))</f>
        <v>3</v>
      </c>
      <c r="M645" t="str" cm="1">
        <f t="array" aca="1" ref="M645" ca="1">IF(AND(J645="O",ISBLANK(INDIRECT(A645))),"Valeur obligatoire non renseignée","")</f>
        <v/>
      </c>
    </row>
    <row r="646" spans="1:13" x14ac:dyDescent="0.25">
      <c r="A646" s="91" t="s">
        <v>3591</v>
      </c>
      <c r="B646" cm="1">
        <f t="array" aca="1" ref="B646" ca="1">INDIRECT(A646)</f>
        <v>0</v>
      </c>
      <c r="C646">
        <f t="shared" ca="1" si="40"/>
        <v>5</v>
      </c>
      <c r="D646" t="str" cm="1">
        <f t="array" aca="1" ref="D646" ca="1">CELL("nomfichier",INDIRECT(A646))</f>
        <v>G:\SCPE\sdc\bq\6 - Mentions valorisantes\Certification environnementale\TEXTES_REGLEMENTATION_CE\Plans_contrôle et grilles\Grille audit niveau 3\Grille d'audit v1.11\[grille-audit-hvev4-v1.11-vf.xlsx]Surfaces_Horti</v>
      </c>
      <c r="E646">
        <f t="shared" ca="1" si="41"/>
        <v>200</v>
      </c>
      <c r="F646">
        <f t="shared" ca="1" si="42"/>
        <v>214</v>
      </c>
      <c r="G646" t="str">
        <f t="shared" ca="1" si="43"/>
        <v>Surfaces_Horti</v>
      </c>
      <c r="H646" cm="1">
        <f t="array" aca="1" ref="H646" ca="1">ROW(INDIRECT(A646))</f>
        <v>49</v>
      </c>
      <c r="I646" cm="1">
        <f t="array" aca="1" ref="I646" ca="1">COLUMN(INDIRECT(A646))</f>
        <v>4</v>
      </c>
      <c r="M646" t="str" cm="1">
        <f t="array" aca="1" ref="M646" ca="1">IF(AND(J646="O",ISBLANK(INDIRECT(A646))),"Valeur obligatoire non renseignée","")</f>
        <v/>
      </c>
    </row>
    <row r="647" spans="1:13" x14ac:dyDescent="0.25">
      <c r="A647" s="91" t="s">
        <v>3618</v>
      </c>
      <c r="B647" cm="1">
        <f t="array" aca="1" ref="B647" ca="1">INDIRECT(A647)</f>
        <v>0</v>
      </c>
      <c r="C647">
        <f t="shared" ca="1" si="40"/>
        <v>5</v>
      </c>
      <c r="D647" t="str" cm="1">
        <f t="array" aca="1" ref="D647" ca="1">CELL("nomfichier",INDIRECT(A647))</f>
        <v>G:\SCPE\sdc\bq\6 - Mentions valorisantes\Certification environnementale\TEXTES_REGLEMENTATION_CE\Plans_contrôle et grilles\Grille audit niveau 3\Grille d'audit v1.11\[grille-audit-hvev4-v1.11-vf.xlsx]Surfaces_Horti</v>
      </c>
      <c r="E647">
        <f t="shared" ca="1" si="41"/>
        <v>200</v>
      </c>
      <c r="F647">
        <f t="shared" ca="1" si="42"/>
        <v>214</v>
      </c>
      <c r="G647" t="str">
        <f t="shared" ca="1" si="43"/>
        <v>Surfaces_Horti</v>
      </c>
      <c r="H647" cm="1">
        <f t="array" aca="1" ref="H647" ca="1">ROW(INDIRECT(A647))</f>
        <v>49</v>
      </c>
      <c r="I647" cm="1">
        <f t="array" aca="1" ref="I647" ca="1">COLUMN(INDIRECT(A647))</f>
        <v>5</v>
      </c>
      <c r="M647" t="str" cm="1">
        <f t="array" aca="1" ref="M647" ca="1">IF(AND(J647="O",ISBLANK(INDIRECT(A647))),"Valeur obligatoire non renseignée","")</f>
        <v/>
      </c>
    </row>
    <row r="648" spans="1:13" x14ac:dyDescent="0.25">
      <c r="A648" s="91" t="s">
        <v>3645</v>
      </c>
      <c r="B648" cm="1">
        <f t="array" aca="1" ref="B648" ca="1">INDIRECT(A648)</f>
        <v>0</v>
      </c>
      <c r="C648">
        <f t="shared" ca="1" si="40"/>
        <v>5</v>
      </c>
      <c r="D648" t="str" cm="1">
        <f t="array" aca="1" ref="D648" ca="1">CELL("nomfichier",INDIRECT(A648))</f>
        <v>G:\SCPE\sdc\bq\6 - Mentions valorisantes\Certification environnementale\TEXTES_REGLEMENTATION_CE\Plans_contrôle et grilles\Grille audit niveau 3\Grille d'audit v1.11\[grille-audit-hvev4-v1.11-vf.xlsx]Surfaces_Horti</v>
      </c>
      <c r="E648">
        <f t="shared" ca="1" si="41"/>
        <v>200</v>
      </c>
      <c r="F648">
        <f t="shared" ca="1" si="42"/>
        <v>214</v>
      </c>
      <c r="G648" t="str">
        <f t="shared" ca="1" si="43"/>
        <v>Surfaces_Horti</v>
      </c>
      <c r="H648" cm="1">
        <f t="array" aca="1" ref="H648" ca="1">ROW(INDIRECT(A648))</f>
        <v>49</v>
      </c>
      <c r="I648" cm="1">
        <f t="array" aca="1" ref="I648" ca="1">COLUMN(INDIRECT(A648))</f>
        <v>6</v>
      </c>
      <c r="M648" t="str" cm="1">
        <f t="array" aca="1" ref="M648" ca="1">IF(AND(J648="O",ISBLANK(INDIRECT(A648))),"Valeur obligatoire non renseignée","")</f>
        <v/>
      </c>
    </row>
    <row r="649" spans="1:13" x14ac:dyDescent="0.25">
      <c r="A649" s="91" t="s">
        <v>3672</v>
      </c>
      <c r="B649" cm="1">
        <f t="array" aca="1" ref="B649" ca="1">INDIRECT(A649)</f>
        <v>0</v>
      </c>
      <c r="C649">
        <f t="shared" ca="1" si="40"/>
        <v>5</v>
      </c>
      <c r="D649" t="str" cm="1">
        <f t="array" aca="1" ref="D649" ca="1">CELL("nomfichier",INDIRECT(A649))</f>
        <v>G:\SCPE\sdc\bq\6 - Mentions valorisantes\Certification environnementale\TEXTES_REGLEMENTATION_CE\Plans_contrôle et grilles\Grille audit niveau 3\Grille d'audit v1.11\[grille-audit-hvev4-v1.11-vf.xlsx]Surfaces_Horti</v>
      </c>
      <c r="E649">
        <f t="shared" ca="1" si="41"/>
        <v>200</v>
      </c>
      <c r="F649">
        <f t="shared" ca="1" si="42"/>
        <v>214</v>
      </c>
      <c r="G649" t="str">
        <f t="shared" ca="1" si="43"/>
        <v>Surfaces_Horti</v>
      </c>
      <c r="H649" cm="1">
        <f t="array" aca="1" ref="H649" ca="1">ROW(INDIRECT(A649))</f>
        <v>49</v>
      </c>
      <c r="I649" cm="1">
        <f t="array" aca="1" ref="I649" ca="1">COLUMN(INDIRECT(A649))</f>
        <v>7</v>
      </c>
      <c r="M649" t="str" cm="1">
        <f t="array" aca="1" ref="M649" ca="1">IF(AND(J649="O",ISBLANK(INDIRECT(A649))),"Valeur obligatoire non renseignée","")</f>
        <v/>
      </c>
    </row>
    <row r="650" spans="1:13" x14ac:dyDescent="0.25">
      <c r="A650" s="91" t="s">
        <v>3699</v>
      </c>
      <c r="B650" cm="1">
        <f t="array" aca="1" ref="B650" ca="1">INDIRECT(A650)</f>
        <v>0</v>
      </c>
      <c r="C650">
        <f t="shared" ca="1" si="40"/>
        <v>5</v>
      </c>
      <c r="D650" t="str" cm="1">
        <f t="array" aca="1" ref="D650" ca="1">CELL("nomfichier",INDIRECT(A650))</f>
        <v>G:\SCPE\sdc\bq\6 - Mentions valorisantes\Certification environnementale\TEXTES_REGLEMENTATION_CE\Plans_contrôle et grilles\Grille audit niveau 3\Grille d'audit v1.11\[grille-audit-hvev4-v1.11-vf.xlsx]Surfaces_Horti</v>
      </c>
      <c r="E650">
        <f t="shared" ca="1" si="41"/>
        <v>200</v>
      </c>
      <c r="F650">
        <f t="shared" ca="1" si="42"/>
        <v>214</v>
      </c>
      <c r="G650" t="str">
        <f t="shared" ca="1" si="43"/>
        <v>Surfaces_Horti</v>
      </c>
      <c r="H650" cm="1">
        <f t="array" aca="1" ref="H650" ca="1">ROW(INDIRECT(A650))</f>
        <v>49</v>
      </c>
      <c r="I650" cm="1">
        <f t="array" aca="1" ref="I650" ca="1">COLUMN(INDIRECT(A650))</f>
        <v>8</v>
      </c>
      <c r="M650" t="str" cm="1">
        <f t="array" aca="1" ref="M650" ca="1">IF(AND(J650="O",ISBLANK(INDIRECT(A650))),"Valeur obligatoire non renseignée","")</f>
        <v/>
      </c>
    </row>
    <row r="651" spans="1:13" x14ac:dyDescent="0.25">
      <c r="A651" s="91" t="s">
        <v>3726</v>
      </c>
      <c r="B651" cm="1">
        <f t="array" aca="1" ref="B651" ca="1">INDIRECT(A651)</f>
        <v>0</v>
      </c>
      <c r="C651">
        <f t="shared" ca="1" si="40"/>
        <v>5</v>
      </c>
      <c r="D651" t="str" cm="1">
        <f t="array" aca="1" ref="D651" ca="1">CELL("nomfichier",INDIRECT(A651))</f>
        <v>G:\SCPE\sdc\bq\6 - Mentions valorisantes\Certification environnementale\TEXTES_REGLEMENTATION_CE\Plans_contrôle et grilles\Grille audit niveau 3\Grille d'audit v1.11\[grille-audit-hvev4-v1.11-vf.xlsx]Surfaces_Horti</v>
      </c>
      <c r="E651">
        <f t="shared" ca="1" si="41"/>
        <v>200</v>
      </c>
      <c r="F651">
        <f t="shared" ca="1" si="42"/>
        <v>214</v>
      </c>
      <c r="G651" t="str">
        <f t="shared" ca="1" si="43"/>
        <v>Surfaces_Horti</v>
      </c>
      <c r="H651" cm="1">
        <f t="array" aca="1" ref="H651" ca="1">ROW(INDIRECT(A651))</f>
        <v>49</v>
      </c>
      <c r="I651" cm="1">
        <f t="array" aca="1" ref="I651" ca="1">COLUMN(INDIRECT(A651))</f>
        <v>9</v>
      </c>
      <c r="M651" t="str" cm="1">
        <f t="array" aca="1" ref="M651" ca="1">IF(AND(J651="O",ISBLANK(INDIRECT(A651))),"Valeur obligatoire non renseignée","")</f>
        <v/>
      </c>
    </row>
    <row r="652" spans="1:13" x14ac:dyDescent="0.25">
      <c r="A652" s="91" t="s">
        <v>3753</v>
      </c>
      <c r="B652" cm="1">
        <f t="array" aca="1" ref="B652" ca="1">INDIRECT(A652)</f>
        <v>0</v>
      </c>
      <c r="C652">
        <f t="shared" ca="1" si="40"/>
        <v>5</v>
      </c>
      <c r="D652" t="str" cm="1">
        <f t="array" aca="1" ref="D652" ca="1">CELL("nomfichier",INDIRECT(A652))</f>
        <v>G:\SCPE\sdc\bq\6 - Mentions valorisantes\Certification environnementale\TEXTES_REGLEMENTATION_CE\Plans_contrôle et grilles\Grille audit niveau 3\Grille d'audit v1.11\[grille-audit-hvev4-v1.11-vf.xlsx]Surfaces_Horti</v>
      </c>
      <c r="E652">
        <f t="shared" ca="1" si="41"/>
        <v>200</v>
      </c>
      <c r="F652">
        <f t="shared" ca="1" si="42"/>
        <v>214</v>
      </c>
      <c r="G652" t="str">
        <f t="shared" ca="1" si="43"/>
        <v>Surfaces_Horti</v>
      </c>
      <c r="H652" cm="1">
        <f t="array" aca="1" ref="H652" ca="1">ROW(INDIRECT(A652))</f>
        <v>49</v>
      </c>
      <c r="I652" cm="1">
        <f t="array" aca="1" ref="I652" ca="1">COLUMN(INDIRECT(A652))</f>
        <v>10</v>
      </c>
      <c r="M652" t="str" cm="1">
        <f t="array" aca="1" ref="M652" ca="1">IF(AND(J652="O",ISBLANK(INDIRECT(A652))),"Valeur obligatoire non renseignée","")</f>
        <v/>
      </c>
    </row>
    <row r="653" spans="1:13" x14ac:dyDescent="0.25">
      <c r="A653" s="91" t="s">
        <v>3780</v>
      </c>
      <c r="B653" cm="1">
        <f t="array" aca="1" ref="B653" ca="1">INDIRECT(A653)</f>
        <v>0</v>
      </c>
      <c r="C653">
        <f t="shared" ca="1" si="40"/>
        <v>5</v>
      </c>
      <c r="D653" t="str" cm="1">
        <f t="array" aca="1" ref="D653" ca="1">CELL("nomfichier",INDIRECT(A653))</f>
        <v>G:\SCPE\sdc\bq\6 - Mentions valorisantes\Certification environnementale\TEXTES_REGLEMENTATION_CE\Plans_contrôle et grilles\Grille audit niveau 3\Grille d'audit v1.11\[grille-audit-hvev4-v1.11-vf.xlsx]Surfaces_Horti</v>
      </c>
      <c r="E653">
        <f t="shared" ca="1" si="41"/>
        <v>200</v>
      </c>
      <c r="F653">
        <f t="shared" ca="1" si="42"/>
        <v>214</v>
      </c>
      <c r="G653" t="str">
        <f t="shared" ca="1" si="43"/>
        <v>Surfaces_Horti</v>
      </c>
      <c r="H653" cm="1">
        <f t="array" aca="1" ref="H653" ca="1">ROW(INDIRECT(A653))</f>
        <v>49</v>
      </c>
      <c r="I653" cm="1">
        <f t="array" aca="1" ref="I653" ca="1">COLUMN(INDIRECT(A653))</f>
        <v>11</v>
      </c>
      <c r="M653" t="str" cm="1">
        <f t="array" aca="1" ref="M653" ca="1">IF(AND(J653="O",ISBLANK(INDIRECT(A653))),"Valeur obligatoire non renseignée","")</f>
        <v/>
      </c>
    </row>
    <row r="654" spans="1:13" x14ac:dyDescent="0.25">
      <c r="A654" s="91" t="s">
        <v>3807</v>
      </c>
      <c r="B654" cm="1">
        <f t="array" aca="1" ref="B654" ca="1">INDIRECT(A654)</f>
        <v>0</v>
      </c>
      <c r="C654">
        <f t="shared" ca="1" si="40"/>
        <v>5</v>
      </c>
      <c r="D654" t="str" cm="1">
        <f t="array" aca="1" ref="D654" ca="1">CELL("nomfichier",INDIRECT(A654))</f>
        <v>G:\SCPE\sdc\bq\6 - Mentions valorisantes\Certification environnementale\TEXTES_REGLEMENTATION_CE\Plans_contrôle et grilles\Grille audit niveau 3\Grille d'audit v1.11\[grille-audit-hvev4-v1.11-vf.xlsx]Surfaces_Horti</v>
      </c>
      <c r="E654">
        <f t="shared" ca="1" si="41"/>
        <v>200</v>
      </c>
      <c r="F654">
        <f t="shared" ca="1" si="42"/>
        <v>214</v>
      </c>
      <c r="G654" t="str">
        <f t="shared" ca="1" si="43"/>
        <v>Surfaces_Horti</v>
      </c>
      <c r="H654" cm="1">
        <f t="array" aca="1" ref="H654" ca="1">ROW(INDIRECT(A654))</f>
        <v>49</v>
      </c>
      <c r="I654" cm="1">
        <f t="array" aca="1" ref="I654" ca="1">COLUMN(INDIRECT(A654))</f>
        <v>12</v>
      </c>
      <c r="M654" t="str" cm="1">
        <f t="array" aca="1" ref="M654" ca="1">IF(AND(J654="O",ISBLANK(INDIRECT(A654))),"Valeur obligatoire non renseignée","")</f>
        <v/>
      </c>
    </row>
    <row r="655" spans="1:13" x14ac:dyDescent="0.25">
      <c r="A655" s="91" t="s">
        <v>3834</v>
      </c>
      <c r="B655" cm="1">
        <f t="array" aca="1" ref="B655" ca="1">INDIRECT(A655)</f>
        <v>0</v>
      </c>
      <c r="C655">
        <f t="shared" ca="1" si="40"/>
        <v>5</v>
      </c>
      <c r="D655" t="str" cm="1">
        <f t="array" aca="1" ref="D655" ca="1">CELL("nomfichier",INDIRECT(A655))</f>
        <v>G:\SCPE\sdc\bq\6 - Mentions valorisantes\Certification environnementale\TEXTES_REGLEMENTATION_CE\Plans_contrôle et grilles\Grille audit niveau 3\Grille d'audit v1.11\[grille-audit-hvev4-v1.11-vf.xlsx]Surfaces_Horti</v>
      </c>
      <c r="E655">
        <f t="shared" ca="1" si="41"/>
        <v>200</v>
      </c>
      <c r="F655">
        <f t="shared" ca="1" si="42"/>
        <v>214</v>
      </c>
      <c r="G655" t="str">
        <f t="shared" ca="1" si="43"/>
        <v>Surfaces_Horti</v>
      </c>
      <c r="H655" cm="1">
        <f t="array" aca="1" ref="H655" ca="1">ROW(INDIRECT(A655))</f>
        <v>49</v>
      </c>
      <c r="I655" cm="1">
        <f t="array" aca="1" ref="I655" ca="1">COLUMN(INDIRECT(A655))</f>
        <v>13</v>
      </c>
      <c r="M655" t="str" cm="1">
        <f t="array" aca="1" ref="M655" ca="1">IF(AND(J655="O",ISBLANK(INDIRECT(A655))),"Valeur obligatoire non renseignée","")</f>
        <v/>
      </c>
    </row>
    <row r="656" spans="1:13" x14ac:dyDescent="0.25">
      <c r="A656" s="91" t="s">
        <v>3861</v>
      </c>
      <c r="B656" cm="1">
        <f t="array" aca="1" ref="B656" ca="1">INDIRECT(A656)</f>
        <v>0</v>
      </c>
      <c r="C656">
        <f t="shared" ca="1" si="40"/>
        <v>5</v>
      </c>
      <c r="D656" t="str" cm="1">
        <f t="array" aca="1" ref="D656" ca="1">CELL("nomfichier",INDIRECT(A656))</f>
        <v>G:\SCPE\sdc\bq\6 - Mentions valorisantes\Certification environnementale\TEXTES_REGLEMENTATION_CE\Plans_contrôle et grilles\Grille audit niveau 3\Grille d'audit v1.11\[grille-audit-hvev4-v1.11-vf.xlsx]Surfaces_Horti</v>
      </c>
      <c r="E656">
        <f t="shared" ca="1" si="41"/>
        <v>200</v>
      </c>
      <c r="F656">
        <f t="shared" ca="1" si="42"/>
        <v>214</v>
      </c>
      <c r="G656" t="str">
        <f t="shared" ca="1" si="43"/>
        <v>Surfaces_Horti</v>
      </c>
      <c r="H656" cm="1">
        <f t="array" aca="1" ref="H656" ca="1">ROW(INDIRECT(A656))</f>
        <v>49</v>
      </c>
      <c r="I656" cm="1">
        <f t="array" aca="1" ref="I656" ca="1">COLUMN(INDIRECT(A656))</f>
        <v>14</v>
      </c>
      <c r="M656" t="str" cm="1">
        <f t="array" aca="1" ref="M656" ca="1">IF(AND(J656="O",ISBLANK(INDIRECT(A656))),"Valeur obligatoire non renseignée","")</f>
        <v/>
      </c>
    </row>
    <row r="657" spans="1:13" x14ac:dyDescent="0.25">
      <c r="A657" s="91" t="s">
        <v>3538</v>
      </c>
      <c r="B657" cm="1">
        <f t="array" aca="1" ref="B657" ca="1">INDIRECT(A657)</f>
        <v>0</v>
      </c>
      <c r="C657">
        <f t="shared" ca="1" si="40"/>
        <v>5</v>
      </c>
      <c r="D657" t="str" cm="1">
        <f t="array" aca="1" ref="D657" ca="1">CELL("nomfichier",INDIRECT(A657))</f>
        <v>G:\SCPE\sdc\bq\6 - Mentions valorisantes\Certification environnementale\TEXTES_REGLEMENTATION_CE\Plans_contrôle et grilles\Grille audit niveau 3\Grille d'audit v1.11\[grille-audit-hvev4-v1.11-vf.xlsx]Surfaces_Horti</v>
      </c>
      <c r="E657">
        <f t="shared" ca="1" si="41"/>
        <v>200</v>
      </c>
      <c r="F657">
        <f t="shared" ca="1" si="42"/>
        <v>214</v>
      </c>
      <c r="G657" t="str">
        <f t="shared" ca="1" si="43"/>
        <v>Surfaces_Horti</v>
      </c>
      <c r="H657" cm="1">
        <f t="array" aca="1" ref="H657" ca="1">ROW(INDIRECT(A657))</f>
        <v>50</v>
      </c>
      <c r="I657" cm="1">
        <f t="array" aca="1" ref="I657" ca="1">COLUMN(INDIRECT(A657))</f>
        <v>2</v>
      </c>
      <c r="M657" t="str" cm="1">
        <f t="array" aca="1" ref="M657" ca="1">IF(AND(J657="O",ISBLANK(INDIRECT(A657))),"Valeur obligatoire non renseignée","")</f>
        <v/>
      </c>
    </row>
    <row r="658" spans="1:13" x14ac:dyDescent="0.25">
      <c r="A658" s="91" t="s">
        <v>3565</v>
      </c>
      <c r="B658" cm="1">
        <f t="array" aca="1" ref="B658" ca="1">INDIRECT(A658)</f>
        <v>0</v>
      </c>
      <c r="C658">
        <f t="shared" ca="1" si="40"/>
        <v>5</v>
      </c>
      <c r="D658" t="str" cm="1">
        <f t="array" aca="1" ref="D658" ca="1">CELL("nomfichier",INDIRECT(A658))</f>
        <v>G:\SCPE\sdc\bq\6 - Mentions valorisantes\Certification environnementale\TEXTES_REGLEMENTATION_CE\Plans_contrôle et grilles\Grille audit niveau 3\Grille d'audit v1.11\[grille-audit-hvev4-v1.11-vf.xlsx]Surfaces_Horti</v>
      </c>
      <c r="E658">
        <f t="shared" ca="1" si="41"/>
        <v>200</v>
      </c>
      <c r="F658">
        <f t="shared" ca="1" si="42"/>
        <v>214</v>
      </c>
      <c r="G658" t="str">
        <f t="shared" ca="1" si="43"/>
        <v>Surfaces_Horti</v>
      </c>
      <c r="H658" cm="1">
        <f t="array" aca="1" ref="H658" ca="1">ROW(INDIRECT(A658))</f>
        <v>50</v>
      </c>
      <c r="I658" cm="1">
        <f t="array" aca="1" ref="I658" ca="1">COLUMN(INDIRECT(A658))</f>
        <v>3</v>
      </c>
      <c r="M658" t="str" cm="1">
        <f t="array" aca="1" ref="M658" ca="1">IF(AND(J658="O",ISBLANK(INDIRECT(A658))),"Valeur obligatoire non renseignée","")</f>
        <v/>
      </c>
    </row>
    <row r="659" spans="1:13" x14ac:dyDescent="0.25">
      <c r="A659" s="91" t="s">
        <v>3592</v>
      </c>
      <c r="B659" cm="1">
        <f t="array" aca="1" ref="B659" ca="1">INDIRECT(A659)</f>
        <v>0</v>
      </c>
      <c r="C659">
        <f t="shared" ca="1" si="40"/>
        <v>5</v>
      </c>
      <c r="D659" t="str" cm="1">
        <f t="array" aca="1" ref="D659" ca="1">CELL("nomfichier",INDIRECT(A659))</f>
        <v>G:\SCPE\sdc\bq\6 - Mentions valorisantes\Certification environnementale\TEXTES_REGLEMENTATION_CE\Plans_contrôle et grilles\Grille audit niveau 3\Grille d'audit v1.11\[grille-audit-hvev4-v1.11-vf.xlsx]Surfaces_Horti</v>
      </c>
      <c r="E659">
        <f t="shared" ca="1" si="41"/>
        <v>200</v>
      </c>
      <c r="F659">
        <f t="shared" ca="1" si="42"/>
        <v>214</v>
      </c>
      <c r="G659" t="str">
        <f t="shared" ca="1" si="43"/>
        <v>Surfaces_Horti</v>
      </c>
      <c r="H659" cm="1">
        <f t="array" aca="1" ref="H659" ca="1">ROW(INDIRECT(A659))</f>
        <v>50</v>
      </c>
      <c r="I659" cm="1">
        <f t="array" aca="1" ref="I659" ca="1">COLUMN(INDIRECT(A659))</f>
        <v>4</v>
      </c>
      <c r="M659" t="str" cm="1">
        <f t="array" aca="1" ref="M659" ca="1">IF(AND(J659="O",ISBLANK(INDIRECT(A659))),"Valeur obligatoire non renseignée","")</f>
        <v/>
      </c>
    </row>
    <row r="660" spans="1:13" x14ac:dyDescent="0.25">
      <c r="A660" s="91" t="s">
        <v>3619</v>
      </c>
      <c r="B660" cm="1">
        <f t="array" aca="1" ref="B660" ca="1">INDIRECT(A660)</f>
        <v>0</v>
      </c>
      <c r="C660">
        <f t="shared" ca="1" si="40"/>
        <v>5</v>
      </c>
      <c r="D660" t="str" cm="1">
        <f t="array" aca="1" ref="D660" ca="1">CELL("nomfichier",INDIRECT(A660))</f>
        <v>G:\SCPE\sdc\bq\6 - Mentions valorisantes\Certification environnementale\TEXTES_REGLEMENTATION_CE\Plans_contrôle et grilles\Grille audit niveau 3\Grille d'audit v1.11\[grille-audit-hvev4-v1.11-vf.xlsx]Surfaces_Horti</v>
      </c>
      <c r="E660">
        <f t="shared" ca="1" si="41"/>
        <v>200</v>
      </c>
      <c r="F660">
        <f t="shared" ca="1" si="42"/>
        <v>214</v>
      </c>
      <c r="G660" t="str">
        <f t="shared" ca="1" si="43"/>
        <v>Surfaces_Horti</v>
      </c>
      <c r="H660" cm="1">
        <f t="array" aca="1" ref="H660" ca="1">ROW(INDIRECT(A660))</f>
        <v>50</v>
      </c>
      <c r="I660" cm="1">
        <f t="array" aca="1" ref="I660" ca="1">COLUMN(INDIRECT(A660))</f>
        <v>5</v>
      </c>
      <c r="M660" t="str" cm="1">
        <f t="array" aca="1" ref="M660" ca="1">IF(AND(J660="O",ISBLANK(INDIRECT(A660))),"Valeur obligatoire non renseignée","")</f>
        <v/>
      </c>
    </row>
    <row r="661" spans="1:13" x14ac:dyDescent="0.25">
      <c r="A661" s="91" t="s">
        <v>3646</v>
      </c>
      <c r="B661" cm="1">
        <f t="array" aca="1" ref="B661" ca="1">INDIRECT(A661)</f>
        <v>0</v>
      </c>
      <c r="C661">
        <f t="shared" ca="1" si="40"/>
        <v>5</v>
      </c>
      <c r="D661" t="str" cm="1">
        <f t="array" aca="1" ref="D661" ca="1">CELL("nomfichier",INDIRECT(A661))</f>
        <v>G:\SCPE\sdc\bq\6 - Mentions valorisantes\Certification environnementale\TEXTES_REGLEMENTATION_CE\Plans_contrôle et grilles\Grille audit niveau 3\Grille d'audit v1.11\[grille-audit-hvev4-v1.11-vf.xlsx]Surfaces_Horti</v>
      </c>
      <c r="E661">
        <f t="shared" ca="1" si="41"/>
        <v>200</v>
      </c>
      <c r="F661">
        <f t="shared" ca="1" si="42"/>
        <v>214</v>
      </c>
      <c r="G661" t="str">
        <f t="shared" ca="1" si="43"/>
        <v>Surfaces_Horti</v>
      </c>
      <c r="H661" cm="1">
        <f t="array" aca="1" ref="H661" ca="1">ROW(INDIRECT(A661))</f>
        <v>50</v>
      </c>
      <c r="I661" cm="1">
        <f t="array" aca="1" ref="I661" ca="1">COLUMN(INDIRECT(A661))</f>
        <v>6</v>
      </c>
      <c r="M661" t="str" cm="1">
        <f t="array" aca="1" ref="M661" ca="1">IF(AND(J661="O",ISBLANK(INDIRECT(A661))),"Valeur obligatoire non renseignée","")</f>
        <v/>
      </c>
    </row>
    <row r="662" spans="1:13" x14ac:dyDescent="0.25">
      <c r="A662" s="91" t="s">
        <v>3673</v>
      </c>
      <c r="B662" cm="1">
        <f t="array" aca="1" ref="B662" ca="1">INDIRECT(A662)</f>
        <v>0</v>
      </c>
      <c r="C662">
        <f t="shared" ca="1" si="40"/>
        <v>5</v>
      </c>
      <c r="D662" t="str" cm="1">
        <f t="array" aca="1" ref="D662" ca="1">CELL("nomfichier",INDIRECT(A662))</f>
        <v>G:\SCPE\sdc\bq\6 - Mentions valorisantes\Certification environnementale\TEXTES_REGLEMENTATION_CE\Plans_contrôle et grilles\Grille audit niveau 3\Grille d'audit v1.11\[grille-audit-hvev4-v1.11-vf.xlsx]Surfaces_Horti</v>
      </c>
      <c r="E662">
        <f t="shared" ca="1" si="41"/>
        <v>200</v>
      </c>
      <c r="F662">
        <f t="shared" ca="1" si="42"/>
        <v>214</v>
      </c>
      <c r="G662" t="str">
        <f t="shared" ca="1" si="43"/>
        <v>Surfaces_Horti</v>
      </c>
      <c r="H662" cm="1">
        <f t="array" aca="1" ref="H662" ca="1">ROW(INDIRECT(A662))</f>
        <v>50</v>
      </c>
      <c r="I662" cm="1">
        <f t="array" aca="1" ref="I662" ca="1">COLUMN(INDIRECT(A662))</f>
        <v>7</v>
      </c>
      <c r="M662" t="str" cm="1">
        <f t="array" aca="1" ref="M662" ca="1">IF(AND(J662="O",ISBLANK(INDIRECT(A662))),"Valeur obligatoire non renseignée","")</f>
        <v/>
      </c>
    </row>
    <row r="663" spans="1:13" x14ac:dyDescent="0.25">
      <c r="A663" s="91" t="s">
        <v>3700</v>
      </c>
      <c r="B663" cm="1">
        <f t="array" aca="1" ref="B663" ca="1">INDIRECT(A663)</f>
        <v>0</v>
      </c>
      <c r="C663">
        <f t="shared" ca="1" si="40"/>
        <v>5</v>
      </c>
      <c r="D663" t="str" cm="1">
        <f t="array" aca="1" ref="D663" ca="1">CELL("nomfichier",INDIRECT(A663))</f>
        <v>G:\SCPE\sdc\bq\6 - Mentions valorisantes\Certification environnementale\TEXTES_REGLEMENTATION_CE\Plans_contrôle et grilles\Grille audit niveau 3\Grille d'audit v1.11\[grille-audit-hvev4-v1.11-vf.xlsx]Surfaces_Horti</v>
      </c>
      <c r="E663">
        <f t="shared" ca="1" si="41"/>
        <v>200</v>
      </c>
      <c r="F663">
        <f t="shared" ca="1" si="42"/>
        <v>214</v>
      </c>
      <c r="G663" t="str">
        <f t="shared" ca="1" si="43"/>
        <v>Surfaces_Horti</v>
      </c>
      <c r="H663" cm="1">
        <f t="array" aca="1" ref="H663" ca="1">ROW(INDIRECT(A663))</f>
        <v>50</v>
      </c>
      <c r="I663" cm="1">
        <f t="array" aca="1" ref="I663" ca="1">COLUMN(INDIRECT(A663))</f>
        <v>8</v>
      </c>
      <c r="M663" t="str" cm="1">
        <f t="array" aca="1" ref="M663" ca="1">IF(AND(J663="O",ISBLANK(INDIRECT(A663))),"Valeur obligatoire non renseignée","")</f>
        <v/>
      </c>
    </row>
    <row r="664" spans="1:13" x14ac:dyDescent="0.25">
      <c r="A664" s="91" t="s">
        <v>3727</v>
      </c>
      <c r="B664" cm="1">
        <f t="array" aca="1" ref="B664" ca="1">INDIRECT(A664)</f>
        <v>0</v>
      </c>
      <c r="C664">
        <f t="shared" ca="1" si="40"/>
        <v>5</v>
      </c>
      <c r="D664" t="str" cm="1">
        <f t="array" aca="1" ref="D664" ca="1">CELL("nomfichier",INDIRECT(A664))</f>
        <v>G:\SCPE\sdc\bq\6 - Mentions valorisantes\Certification environnementale\TEXTES_REGLEMENTATION_CE\Plans_contrôle et grilles\Grille audit niveau 3\Grille d'audit v1.11\[grille-audit-hvev4-v1.11-vf.xlsx]Surfaces_Horti</v>
      </c>
      <c r="E664">
        <f t="shared" ca="1" si="41"/>
        <v>200</v>
      </c>
      <c r="F664">
        <f t="shared" ca="1" si="42"/>
        <v>214</v>
      </c>
      <c r="G664" t="str">
        <f t="shared" ca="1" si="43"/>
        <v>Surfaces_Horti</v>
      </c>
      <c r="H664" cm="1">
        <f t="array" aca="1" ref="H664" ca="1">ROW(INDIRECT(A664))</f>
        <v>50</v>
      </c>
      <c r="I664" cm="1">
        <f t="array" aca="1" ref="I664" ca="1">COLUMN(INDIRECT(A664))</f>
        <v>9</v>
      </c>
      <c r="M664" t="str" cm="1">
        <f t="array" aca="1" ref="M664" ca="1">IF(AND(J664="O",ISBLANK(INDIRECT(A664))),"Valeur obligatoire non renseignée","")</f>
        <v/>
      </c>
    </row>
    <row r="665" spans="1:13" x14ac:dyDescent="0.25">
      <c r="A665" s="91" t="s">
        <v>3754</v>
      </c>
      <c r="B665" cm="1">
        <f t="array" aca="1" ref="B665" ca="1">INDIRECT(A665)</f>
        <v>0</v>
      </c>
      <c r="C665">
        <f t="shared" ca="1" si="40"/>
        <v>5</v>
      </c>
      <c r="D665" t="str" cm="1">
        <f t="array" aca="1" ref="D665" ca="1">CELL("nomfichier",INDIRECT(A665))</f>
        <v>G:\SCPE\sdc\bq\6 - Mentions valorisantes\Certification environnementale\TEXTES_REGLEMENTATION_CE\Plans_contrôle et grilles\Grille audit niveau 3\Grille d'audit v1.11\[grille-audit-hvev4-v1.11-vf.xlsx]Surfaces_Horti</v>
      </c>
      <c r="E665">
        <f t="shared" ca="1" si="41"/>
        <v>200</v>
      </c>
      <c r="F665">
        <f t="shared" ca="1" si="42"/>
        <v>214</v>
      </c>
      <c r="G665" t="str">
        <f t="shared" ca="1" si="43"/>
        <v>Surfaces_Horti</v>
      </c>
      <c r="H665" cm="1">
        <f t="array" aca="1" ref="H665" ca="1">ROW(INDIRECT(A665))</f>
        <v>50</v>
      </c>
      <c r="I665" cm="1">
        <f t="array" aca="1" ref="I665" ca="1">COLUMN(INDIRECT(A665))</f>
        <v>10</v>
      </c>
      <c r="M665" t="str" cm="1">
        <f t="array" aca="1" ref="M665" ca="1">IF(AND(J665="O",ISBLANK(INDIRECT(A665))),"Valeur obligatoire non renseignée","")</f>
        <v/>
      </c>
    </row>
    <row r="666" spans="1:13" x14ac:dyDescent="0.25">
      <c r="A666" s="91" t="s">
        <v>3781</v>
      </c>
      <c r="B666" cm="1">
        <f t="array" aca="1" ref="B666" ca="1">INDIRECT(A666)</f>
        <v>0</v>
      </c>
      <c r="C666">
        <f t="shared" ca="1" si="40"/>
        <v>5</v>
      </c>
      <c r="D666" t="str" cm="1">
        <f t="array" aca="1" ref="D666" ca="1">CELL("nomfichier",INDIRECT(A666))</f>
        <v>G:\SCPE\sdc\bq\6 - Mentions valorisantes\Certification environnementale\TEXTES_REGLEMENTATION_CE\Plans_contrôle et grilles\Grille audit niveau 3\Grille d'audit v1.11\[grille-audit-hvev4-v1.11-vf.xlsx]Surfaces_Horti</v>
      </c>
      <c r="E666">
        <f t="shared" ca="1" si="41"/>
        <v>200</v>
      </c>
      <c r="F666">
        <f t="shared" ca="1" si="42"/>
        <v>214</v>
      </c>
      <c r="G666" t="str">
        <f t="shared" ca="1" si="43"/>
        <v>Surfaces_Horti</v>
      </c>
      <c r="H666" cm="1">
        <f t="array" aca="1" ref="H666" ca="1">ROW(INDIRECT(A666))</f>
        <v>50</v>
      </c>
      <c r="I666" cm="1">
        <f t="array" aca="1" ref="I666" ca="1">COLUMN(INDIRECT(A666))</f>
        <v>11</v>
      </c>
      <c r="M666" t="str" cm="1">
        <f t="array" aca="1" ref="M666" ca="1">IF(AND(J666="O",ISBLANK(INDIRECT(A666))),"Valeur obligatoire non renseignée","")</f>
        <v/>
      </c>
    </row>
    <row r="667" spans="1:13" x14ac:dyDescent="0.25">
      <c r="A667" s="91" t="s">
        <v>3808</v>
      </c>
      <c r="B667" cm="1">
        <f t="array" aca="1" ref="B667" ca="1">INDIRECT(A667)</f>
        <v>0</v>
      </c>
      <c r="C667">
        <f t="shared" ca="1" si="40"/>
        <v>5</v>
      </c>
      <c r="D667" t="str" cm="1">
        <f t="array" aca="1" ref="D667" ca="1">CELL("nomfichier",INDIRECT(A667))</f>
        <v>G:\SCPE\sdc\bq\6 - Mentions valorisantes\Certification environnementale\TEXTES_REGLEMENTATION_CE\Plans_contrôle et grilles\Grille audit niveau 3\Grille d'audit v1.11\[grille-audit-hvev4-v1.11-vf.xlsx]Surfaces_Horti</v>
      </c>
      <c r="E667">
        <f t="shared" ca="1" si="41"/>
        <v>200</v>
      </c>
      <c r="F667">
        <f t="shared" ca="1" si="42"/>
        <v>214</v>
      </c>
      <c r="G667" t="str">
        <f t="shared" ca="1" si="43"/>
        <v>Surfaces_Horti</v>
      </c>
      <c r="H667" cm="1">
        <f t="array" aca="1" ref="H667" ca="1">ROW(INDIRECT(A667))</f>
        <v>50</v>
      </c>
      <c r="I667" cm="1">
        <f t="array" aca="1" ref="I667" ca="1">COLUMN(INDIRECT(A667))</f>
        <v>12</v>
      </c>
      <c r="M667" t="str" cm="1">
        <f t="array" aca="1" ref="M667" ca="1">IF(AND(J667="O",ISBLANK(INDIRECT(A667))),"Valeur obligatoire non renseignée","")</f>
        <v/>
      </c>
    </row>
    <row r="668" spans="1:13" x14ac:dyDescent="0.25">
      <c r="A668" s="91" t="s">
        <v>3835</v>
      </c>
      <c r="B668" cm="1">
        <f t="array" aca="1" ref="B668" ca="1">INDIRECT(A668)</f>
        <v>0</v>
      </c>
      <c r="C668">
        <f t="shared" ca="1" si="40"/>
        <v>5</v>
      </c>
      <c r="D668" t="str" cm="1">
        <f t="array" aca="1" ref="D668" ca="1">CELL("nomfichier",INDIRECT(A668))</f>
        <v>G:\SCPE\sdc\bq\6 - Mentions valorisantes\Certification environnementale\TEXTES_REGLEMENTATION_CE\Plans_contrôle et grilles\Grille audit niveau 3\Grille d'audit v1.11\[grille-audit-hvev4-v1.11-vf.xlsx]Surfaces_Horti</v>
      </c>
      <c r="E668">
        <f t="shared" ca="1" si="41"/>
        <v>200</v>
      </c>
      <c r="F668">
        <f t="shared" ca="1" si="42"/>
        <v>214</v>
      </c>
      <c r="G668" t="str">
        <f t="shared" ca="1" si="43"/>
        <v>Surfaces_Horti</v>
      </c>
      <c r="H668" cm="1">
        <f t="array" aca="1" ref="H668" ca="1">ROW(INDIRECT(A668))</f>
        <v>50</v>
      </c>
      <c r="I668" cm="1">
        <f t="array" aca="1" ref="I668" ca="1">COLUMN(INDIRECT(A668))</f>
        <v>13</v>
      </c>
      <c r="M668" t="str" cm="1">
        <f t="array" aca="1" ref="M668" ca="1">IF(AND(J668="O",ISBLANK(INDIRECT(A668))),"Valeur obligatoire non renseignée","")</f>
        <v/>
      </c>
    </row>
    <row r="669" spans="1:13" x14ac:dyDescent="0.25">
      <c r="A669" s="91" t="s">
        <v>3862</v>
      </c>
      <c r="B669" cm="1">
        <f t="array" aca="1" ref="B669" ca="1">INDIRECT(A669)</f>
        <v>0</v>
      </c>
      <c r="C669">
        <f t="shared" ca="1" si="40"/>
        <v>5</v>
      </c>
      <c r="D669" t="str" cm="1">
        <f t="array" aca="1" ref="D669" ca="1">CELL("nomfichier",INDIRECT(A669))</f>
        <v>G:\SCPE\sdc\bq\6 - Mentions valorisantes\Certification environnementale\TEXTES_REGLEMENTATION_CE\Plans_contrôle et grilles\Grille audit niveau 3\Grille d'audit v1.11\[grille-audit-hvev4-v1.11-vf.xlsx]Surfaces_Horti</v>
      </c>
      <c r="E669">
        <f t="shared" ca="1" si="41"/>
        <v>200</v>
      </c>
      <c r="F669">
        <f t="shared" ca="1" si="42"/>
        <v>214</v>
      </c>
      <c r="G669" t="str">
        <f t="shared" ca="1" si="43"/>
        <v>Surfaces_Horti</v>
      </c>
      <c r="H669" cm="1">
        <f t="array" aca="1" ref="H669" ca="1">ROW(INDIRECT(A669))</f>
        <v>50</v>
      </c>
      <c r="I669" cm="1">
        <f t="array" aca="1" ref="I669" ca="1">COLUMN(INDIRECT(A669))</f>
        <v>14</v>
      </c>
      <c r="M669" t="str" cm="1">
        <f t="array" aca="1" ref="M669" ca="1">IF(AND(J669="O",ISBLANK(INDIRECT(A669))),"Valeur obligatoire non renseignée","")</f>
        <v/>
      </c>
    </row>
    <row r="670" spans="1:13" x14ac:dyDescent="0.25">
      <c r="A670" s="91" t="s">
        <v>3539</v>
      </c>
      <c r="B670" cm="1">
        <f t="array" aca="1" ref="B670" ca="1">INDIRECT(A670)</f>
        <v>0</v>
      </c>
      <c r="C670">
        <f t="shared" ca="1" si="40"/>
        <v>5</v>
      </c>
      <c r="D670" t="str" cm="1">
        <f t="array" aca="1" ref="D670" ca="1">CELL("nomfichier",INDIRECT(A670))</f>
        <v>G:\SCPE\sdc\bq\6 - Mentions valorisantes\Certification environnementale\TEXTES_REGLEMENTATION_CE\Plans_contrôle et grilles\Grille audit niveau 3\Grille d'audit v1.11\[grille-audit-hvev4-v1.11-vf.xlsx]Surfaces_Horti</v>
      </c>
      <c r="E670">
        <f t="shared" ca="1" si="41"/>
        <v>200</v>
      </c>
      <c r="F670">
        <f t="shared" ca="1" si="42"/>
        <v>214</v>
      </c>
      <c r="G670" t="str">
        <f t="shared" ca="1" si="43"/>
        <v>Surfaces_Horti</v>
      </c>
      <c r="H670" cm="1">
        <f t="array" aca="1" ref="H670" ca="1">ROW(INDIRECT(A670))</f>
        <v>51</v>
      </c>
      <c r="I670" cm="1">
        <f t="array" aca="1" ref="I670" ca="1">COLUMN(INDIRECT(A670))</f>
        <v>2</v>
      </c>
      <c r="M670" t="str" cm="1">
        <f t="array" aca="1" ref="M670" ca="1">IF(AND(J670="O",ISBLANK(INDIRECT(A670))),"Valeur obligatoire non renseignée","")</f>
        <v/>
      </c>
    </row>
    <row r="671" spans="1:13" x14ac:dyDescent="0.25">
      <c r="A671" s="91" t="s">
        <v>3566</v>
      </c>
      <c r="B671" cm="1">
        <f t="array" aca="1" ref="B671" ca="1">INDIRECT(A671)</f>
        <v>0</v>
      </c>
      <c r="C671">
        <f t="shared" ca="1" si="40"/>
        <v>5</v>
      </c>
      <c r="D671" t="str" cm="1">
        <f t="array" aca="1" ref="D671" ca="1">CELL("nomfichier",INDIRECT(A671))</f>
        <v>G:\SCPE\sdc\bq\6 - Mentions valorisantes\Certification environnementale\TEXTES_REGLEMENTATION_CE\Plans_contrôle et grilles\Grille audit niveau 3\Grille d'audit v1.11\[grille-audit-hvev4-v1.11-vf.xlsx]Surfaces_Horti</v>
      </c>
      <c r="E671">
        <f t="shared" ca="1" si="41"/>
        <v>200</v>
      </c>
      <c r="F671">
        <f t="shared" ca="1" si="42"/>
        <v>214</v>
      </c>
      <c r="G671" t="str">
        <f t="shared" ca="1" si="43"/>
        <v>Surfaces_Horti</v>
      </c>
      <c r="H671" cm="1">
        <f t="array" aca="1" ref="H671" ca="1">ROW(INDIRECT(A671))</f>
        <v>51</v>
      </c>
      <c r="I671" cm="1">
        <f t="array" aca="1" ref="I671" ca="1">COLUMN(INDIRECT(A671))</f>
        <v>3</v>
      </c>
      <c r="M671" t="str" cm="1">
        <f t="array" aca="1" ref="M671" ca="1">IF(AND(J671="O",ISBLANK(INDIRECT(A671))),"Valeur obligatoire non renseignée","")</f>
        <v/>
      </c>
    </row>
    <row r="672" spans="1:13" x14ac:dyDescent="0.25">
      <c r="A672" s="91" t="s">
        <v>3593</v>
      </c>
      <c r="B672" cm="1">
        <f t="array" aca="1" ref="B672" ca="1">INDIRECT(A672)</f>
        <v>0</v>
      </c>
      <c r="C672">
        <f t="shared" ca="1" si="40"/>
        <v>5</v>
      </c>
      <c r="D672" t="str" cm="1">
        <f t="array" aca="1" ref="D672" ca="1">CELL("nomfichier",INDIRECT(A672))</f>
        <v>G:\SCPE\sdc\bq\6 - Mentions valorisantes\Certification environnementale\TEXTES_REGLEMENTATION_CE\Plans_contrôle et grilles\Grille audit niveau 3\Grille d'audit v1.11\[grille-audit-hvev4-v1.11-vf.xlsx]Surfaces_Horti</v>
      </c>
      <c r="E672">
        <f t="shared" ca="1" si="41"/>
        <v>200</v>
      </c>
      <c r="F672">
        <f t="shared" ca="1" si="42"/>
        <v>214</v>
      </c>
      <c r="G672" t="str">
        <f t="shared" ca="1" si="43"/>
        <v>Surfaces_Horti</v>
      </c>
      <c r="H672" cm="1">
        <f t="array" aca="1" ref="H672" ca="1">ROW(INDIRECT(A672))</f>
        <v>51</v>
      </c>
      <c r="I672" cm="1">
        <f t="array" aca="1" ref="I672" ca="1">COLUMN(INDIRECT(A672))</f>
        <v>4</v>
      </c>
      <c r="M672" t="str" cm="1">
        <f t="array" aca="1" ref="M672" ca="1">IF(AND(J672="O",ISBLANK(INDIRECT(A672))),"Valeur obligatoire non renseignée","")</f>
        <v/>
      </c>
    </row>
    <row r="673" spans="1:13" x14ac:dyDescent="0.25">
      <c r="A673" s="91" t="s">
        <v>3620</v>
      </c>
      <c r="B673" cm="1">
        <f t="array" aca="1" ref="B673" ca="1">INDIRECT(A673)</f>
        <v>0</v>
      </c>
      <c r="C673">
        <f t="shared" ca="1" si="40"/>
        <v>5</v>
      </c>
      <c r="D673" t="str" cm="1">
        <f t="array" aca="1" ref="D673" ca="1">CELL("nomfichier",INDIRECT(A673))</f>
        <v>G:\SCPE\sdc\bq\6 - Mentions valorisantes\Certification environnementale\TEXTES_REGLEMENTATION_CE\Plans_contrôle et grilles\Grille audit niveau 3\Grille d'audit v1.11\[grille-audit-hvev4-v1.11-vf.xlsx]Surfaces_Horti</v>
      </c>
      <c r="E673">
        <f t="shared" ca="1" si="41"/>
        <v>200</v>
      </c>
      <c r="F673">
        <f t="shared" ca="1" si="42"/>
        <v>214</v>
      </c>
      <c r="G673" t="str">
        <f t="shared" ca="1" si="43"/>
        <v>Surfaces_Horti</v>
      </c>
      <c r="H673" cm="1">
        <f t="array" aca="1" ref="H673" ca="1">ROW(INDIRECT(A673))</f>
        <v>51</v>
      </c>
      <c r="I673" cm="1">
        <f t="array" aca="1" ref="I673" ca="1">COLUMN(INDIRECT(A673))</f>
        <v>5</v>
      </c>
      <c r="M673" t="str" cm="1">
        <f t="array" aca="1" ref="M673" ca="1">IF(AND(J673="O",ISBLANK(INDIRECT(A673))),"Valeur obligatoire non renseignée","")</f>
        <v/>
      </c>
    </row>
    <row r="674" spans="1:13" x14ac:dyDescent="0.25">
      <c r="A674" s="91" t="s">
        <v>3647</v>
      </c>
      <c r="B674" cm="1">
        <f t="array" aca="1" ref="B674" ca="1">INDIRECT(A674)</f>
        <v>0</v>
      </c>
      <c r="C674">
        <f t="shared" ca="1" si="40"/>
        <v>5</v>
      </c>
      <c r="D674" t="str" cm="1">
        <f t="array" aca="1" ref="D674" ca="1">CELL("nomfichier",INDIRECT(A674))</f>
        <v>G:\SCPE\sdc\bq\6 - Mentions valorisantes\Certification environnementale\TEXTES_REGLEMENTATION_CE\Plans_contrôle et grilles\Grille audit niveau 3\Grille d'audit v1.11\[grille-audit-hvev4-v1.11-vf.xlsx]Surfaces_Horti</v>
      </c>
      <c r="E674">
        <f t="shared" ca="1" si="41"/>
        <v>200</v>
      </c>
      <c r="F674">
        <f t="shared" ca="1" si="42"/>
        <v>214</v>
      </c>
      <c r="G674" t="str">
        <f t="shared" ca="1" si="43"/>
        <v>Surfaces_Horti</v>
      </c>
      <c r="H674" cm="1">
        <f t="array" aca="1" ref="H674" ca="1">ROW(INDIRECT(A674))</f>
        <v>51</v>
      </c>
      <c r="I674" cm="1">
        <f t="array" aca="1" ref="I674" ca="1">COLUMN(INDIRECT(A674))</f>
        <v>6</v>
      </c>
      <c r="M674" t="str" cm="1">
        <f t="array" aca="1" ref="M674" ca="1">IF(AND(J674="O",ISBLANK(INDIRECT(A674))),"Valeur obligatoire non renseignée","")</f>
        <v/>
      </c>
    </row>
    <row r="675" spans="1:13" x14ac:dyDescent="0.25">
      <c r="A675" s="91" t="s">
        <v>3674</v>
      </c>
      <c r="B675" cm="1">
        <f t="array" aca="1" ref="B675" ca="1">INDIRECT(A675)</f>
        <v>0</v>
      </c>
      <c r="C675">
        <f t="shared" ca="1" si="40"/>
        <v>5</v>
      </c>
      <c r="D675" t="str" cm="1">
        <f t="array" aca="1" ref="D675" ca="1">CELL("nomfichier",INDIRECT(A675))</f>
        <v>G:\SCPE\sdc\bq\6 - Mentions valorisantes\Certification environnementale\TEXTES_REGLEMENTATION_CE\Plans_contrôle et grilles\Grille audit niveau 3\Grille d'audit v1.11\[grille-audit-hvev4-v1.11-vf.xlsx]Surfaces_Horti</v>
      </c>
      <c r="E675">
        <f t="shared" ca="1" si="41"/>
        <v>200</v>
      </c>
      <c r="F675">
        <f t="shared" ca="1" si="42"/>
        <v>214</v>
      </c>
      <c r="G675" t="str">
        <f t="shared" ca="1" si="43"/>
        <v>Surfaces_Horti</v>
      </c>
      <c r="H675" cm="1">
        <f t="array" aca="1" ref="H675" ca="1">ROW(INDIRECT(A675))</f>
        <v>51</v>
      </c>
      <c r="I675" cm="1">
        <f t="array" aca="1" ref="I675" ca="1">COLUMN(INDIRECT(A675))</f>
        <v>7</v>
      </c>
      <c r="M675" t="str" cm="1">
        <f t="array" aca="1" ref="M675" ca="1">IF(AND(J675="O",ISBLANK(INDIRECT(A675))),"Valeur obligatoire non renseignée","")</f>
        <v/>
      </c>
    </row>
    <row r="676" spans="1:13" x14ac:dyDescent="0.25">
      <c r="A676" s="91" t="s">
        <v>3701</v>
      </c>
      <c r="B676" cm="1">
        <f t="array" aca="1" ref="B676" ca="1">INDIRECT(A676)</f>
        <v>0</v>
      </c>
      <c r="C676">
        <f t="shared" ca="1" si="40"/>
        <v>5</v>
      </c>
      <c r="D676" t="str" cm="1">
        <f t="array" aca="1" ref="D676" ca="1">CELL("nomfichier",INDIRECT(A676))</f>
        <v>G:\SCPE\sdc\bq\6 - Mentions valorisantes\Certification environnementale\TEXTES_REGLEMENTATION_CE\Plans_contrôle et grilles\Grille audit niveau 3\Grille d'audit v1.11\[grille-audit-hvev4-v1.11-vf.xlsx]Surfaces_Horti</v>
      </c>
      <c r="E676">
        <f t="shared" ca="1" si="41"/>
        <v>200</v>
      </c>
      <c r="F676">
        <f t="shared" ca="1" si="42"/>
        <v>214</v>
      </c>
      <c r="G676" t="str">
        <f t="shared" ca="1" si="43"/>
        <v>Surfaces_Horti</v>
      </c>
      <c r="H676" cm="1">
        <f t="array" aca="1" ref="H676" ca="1">ROW(INDIRECT(A676))</f>
        <v>51</v>
      </c>
      <c r="I676" cm="1">
        <f t="array" aca="1" ref="I676" ca="1">COLUMN(INDIRECT(A676))</f>
        <v>8</v>
      </c>
      <c r="M676" t="str" cm="1">
        <f t="array" aca="1" ref="M676" ca="1">IF(AND(J676="O",ISBLANK(INDIRECT(A676))),"Valeur obligatoire non renseignée","")</f>
        <v/>
      </c>
    </row>
    <row r="677" spans="1:13" x14ac:dyDescent="0.25">
      <c r="A677" s="91" t="s">
        <v>3728</v>
      </c>
      <c r="B677" cm="1">
        <f t="array" aca="1" ref="B677" ca="1">INDIRECT(A677)</f>
        <v>0</v>
      </c>
      <c r="C677">
        <f t="shared" ca="1" si="40"/>
        <v>5</v>
      </c>
      <c r="D677" t="str" cm="1">
        <f t="array" aca="1" ref="D677" ca="1">CELL("nomfichier",INDIRECT(A677))</f>
        <v>G:\SCPE\sdc\bq\6 - Mentions valorisantes\Certification environnementale\TEXTES_REGLEMENTATION_CE\Plans_contrôle et grilles\Grille audit niveau 3\Grille d'audit v1.11\[grille-audit-hvev4-v1.11-vf.xlsx]Surfaces_Horti</v>
      </c>
      <c r="E677">
        <f t="shared" ca="1" si="41"/>
        <v>200</v>
      </c>
      <c r="F677">
        <f t="shared" ca="1" si="42"/>
        <v>214</v>
      </c>
      <c r="G677" t="str">
        <f t="shared" ca="1" si="43"/>
        <v>Surfaces_Horti</v>
      </c>
      <c r="H677" cm="1">
        <f t="array" aca="1" ref="H677" ca="1">ROW(INDIRECT(A677))</f>
        <v>51</v>
      </c>
      <c r="I677" cm="1">
        <f t="array" aca="1" ref="I677" ca="1">COLUMN(INDIRECT(A677))</f>
        <v>9</v>
      </c>
      <c r="M677" t="str" cm="1">
        <f t="array" aca="1" ref="M677" ca="1">IF(AND(J677="O",ISBLANK(INDIRECT(A677))),"Valeur obligatoire non renseignée","")</f>
        <v/>
      </c>
    </row>
    <row r="678" spans="1:13" x14ac:dyDescent="0.25">
      <c r="A678" s="91" t="s">
        <v>3755</v>
      </c>
      <c r="B678" cm="1">
        <f t="array" aca="1" ref="B678" ca="1">INDIRECT(A678)</f>
        <v>0</v>
      </c>
      <c r="C678">
        <f t="shared" ca="1" si="40"/>
        <v>5</v>
      </c>
      <c r="D678" t="str" cm="1">
        <f t="array" aca="1" ref="D678" ca="1">CELL("nomfichier",INDIRECT(A678))</f>
        <v>G:\SCPE\sdc\bq\6 - Mentions valorisantes\Certification environnementale\TEXTES_REGLEMENTATION_CE\Plans_contrôle et grilles\Grille audit niveau 3\Grille d'audit v1.11\[grille-audit-hvev4-v1.11-vf.xlsx]Surfaces_Horti</v>
      </c>
      <c r="E678">
        <f t="shared" ca="1" si="41"/>
        <v>200</v>
      </c>
      <c r="F678">
        <f t="shared" ca="1" si="42"/>
        <v>214</v>
      </c>
      <c r="G678" t="str">
        <f t="shared" ca="1" si="43"/>
        <v>Surfaces_Horti</v>
      </c>
      <c r="H678" cm="1">
        <f t="array" aca="1" ref="H678" ca="1">ROW(INDIRECT(A678))</f>
        <v>51</v>
      </c>
      <c r="I678" cm="1">
        <f t="array" aca="1" ref="I678" ca="1">COLUMN(INDIRECT(A678))</f>
        <v>10</v>
      </c>
      <c r="M678" t="str" cm="1">
        <f t="array" aca="1" ref="M678" ca="1">IF(AND(J678="O",ISBLANK(INDIRECT(A678))),"Valeur obligatoire non renseignée","")</f>
        <v/>
      </c>
    </row>
    <row r="679" spans="1:13" x14ac:dyDescent="0.25">
      <c r="A679" s="91" t="s">
        <v>3782</v>
      </c>
      <c r="B679" cm="1">
        <f t="array" aca="1" ref="B679" ca="1">INDIRECT(A679)</f>
        <v>0</v>
      </c>
      <c r="C679">
        <f t="shared" ca="1" si="40"/>
        <v>5</v>
      </c>
      <c r="D679" t="str" cm="1">
        <f t="array" aca="1" ref="D679" ca="1">CELL("nomfichier",INDIRECT(A679))</f>
        <v>G:\SCPE\sdc\bq\6 - Mentions valorisantes\Certification environnementale\TEXTES_REGLEMENTATION_CE\Plans_contrôle et grilles\Grille audit niveau 3\Grille d'audit v1.11\[grille-audit-hvev4-v1.11-vf.xlsx]Surfaces_Horti</v>
      </c>
      <c r="E679">
        <f t="shared" ca="1" si="41"/>
        <v>200</v>
      </c>
      <c r="F679">
        <f t="shared" ca="1" si="42"/>
        <v>214</v>
      </c>
      <c r="G679" t="str">
        <f t="shared" ca="1" si="43"/>
        <v>Surfaces_Horti</v>
      </c>
      <c r="H679" cm="1">
        <f t="array" aca="1" ref="H679" ca="1">ROW(INDIRECT(A679))</f>
        <v>51</v>
      </c>
      <c r="I679" cm="1">
        <f t="array" aca="1" ref="I679" ca="1">COLUMN(INDIRECT(A679))</f>
        <v>11</v>
      </c>
      <c r="M679" t="str" cm="1">
        <f t="array" aca="1" ref="M679" ca="1">IF(AND(J679="O",ISBLANK(INDIRECT(A679))),"Valeur obligatoire non renseignée","")</f>
        <v/>
      </c>
    </row>
    <row r="680" spans="1:13" x14ac:dyDescent="0.25">
      <c r="A680" s="91" t="s">
        <v>3809</v>
      </c>
      <c r="B680" cm="1">
        <f t="array" aca="1" ref="B680" ca="1">INDIRECT(A680)</f>
        <v>0</v>
      </c>
      <c r="C680">
        <f t="shared" ca="1" si="40"/>
        <v>5</v>
      </c>
      <c r="D680" t="str" cm="1">
        <f t="array" aca="1" ref="D680" ca="1">CELL("nomfichier",INDIRECT(A680))</f>
        <v>G:\SCPE\sdc\bq\6 - Mentions valorisantes\Certification environnementale\TEXTES_REGLEMENTATION_CE\Plans_contrôle et grilles\Grille audit niveau 3\Grille d'audit v1.11\[grille-audit-hvev4-v1.11-vf.xlsx]Surfaces_Horti</v>
      </c>
      <c r="E680">
        <f t="shared" ca="1" si="41"/>
        <v>200</v>
      </c>
      <c r="F680">
        <f t="shared" ca="1" si="42"/>
        <v>214</v>
      </c>
      <c r="G680" t="str">
        <f t="shared" ca="1" si="43"/>
        <v>Surfaces_Horti</v>
      </c>
      <c r="H680" cm="1">
        <f t="array" aca="1" ref="H680" ca="1">ROW(INDIRECT(A680))</f>
        <v>51</v>
      </c>
      <c r="I680" cm="1">
        <f t="array" aca="1" ref="I680" ca="1">COLUMN(INDIRECT(A680))</f>
        <v>12</v>
      </c>
      <c r="M680" t="str" cm="1">
        <f t="array" aca="1" ref="M680" ca="1">IF(AND(J680="O",ISBLANK(INDIRECT(A680))),"Valeur obligatoire non renseignée","")</f>
        <v/>
      </c>
    </row>
    <row r="681" spans="1:13" x14ac:dyDescent="0.25">
      <c r="A681" s="91" t="s">
        <v>3836</v>
      </c>
      <c r="B681" cm="1">
        <f t="array" aca="1" ref="B681" ca="1">INDIRECT(A681)</f>
        <v>0</v>
      </c>
      <c r="C681">
        <f t="shared" ca="1" si="40"/>
        <v>5</v>
      </c>
      <c r="D681" t="str" cm="1">
        <f t="array" aca="1" ref="D681" ca="1">CELL("nomfichier",INDIRECT(A681))</f>
        <v>G:\SCPE\sdc\bq\6 - Mentions valorisantes\Certification environnementale\TEXTES_REGLEMENTATION_CE\Plans_contrôle et grilles\Grille audit niveau 3\Grille d'audit v1.11\[grille-audit-hvev4-v1.11-vf.xlsx]Surfaces_Horti</v>
      </c>
      <c r="E681">
        <f t="shared" ca="1" si="41"/>
        <v>200</v>
      </c>
      <c r="F681">
        <f t="shared" ca="1" si="42"/>
        <v>214</v>
      </c>
      <c r="G681" t="str">
        <f t="shared" ca="1" si="43"/>
        <v>Surfaces_Horti</v>
      </c>
      <c r="H681" cm="1">
        <f t="array" aca="1" ref="H681" ca="1">ROW(INDIRECT(A681))</f>
        <v>51</v>
      </c>
      <c r="I681" cm="1">
        <f t="array" aca="1" ref="I681" ca="1">COLUMN(INDIRECT(A681))</f>
        <v>13</v>
      </c>
      <c r="M681" t="str" cm="1">
        <f t="array" aca="1" ref="M681" ca="1">IF(AND(J681="O",ISBLANK(INDIRECT(A681))),"Valeur obligatoire non renseignée","")</f>
        <v/>
      </c>
    </row>
    <row r="682" spans="1:13" x14ac:dyDescent="0.25">
      <c r="A682" s="91" t="s">
        <v>3863</v>
      </c>
      <c r="B682" cm="1">
        <f t="array" aca="1" ref="B682" ca="1">INDIRECT(A682)</f>
        <v>0</v>
      </c>
      <c r="C682">
        <f t="shared" ca="1" si="40"/>
        <v>5</v>
      </c>
      <c r="D682" t="str" cm="1">
        <f t="array" aca="1" ref="D682" ca="1">CELL("nomfichier",INDIRECT(A682))</f>
        <v>G:\SCPE\sdc\bq\6 - Mentions valorisantes\Certification environnementale\TEXTES_REGLEMENTATION_CE\Plans_contrôle et grilles\Grille audit niveau 3\Grille d'audit v1.11\[grille-audit-hvev4-v1.11-vf.xlsx]Surfaces_Horti</v>
      </c>
      <c r="E682">
        <f t="shared" ca="1" si="41"/>
        <v>200</v>
      </c>
      <c r="F682">
        <f t="shared" ca="1" si="42"/>
        <v>214</v>
      </c>
      <c r="G682" t="str">
        <f t="shared" ca="1" si="43"/>
        <v>Surfaces_Horti</v>
      </c>
      <c r="H682" cm="1">
        <f t="array" aca="1" ref="H682" ca="1">ROW(INDIRECT(A682))</f>
        <v>51</v>
      </c>
      <c r="I682" cm="1">
        <f t="array" aca="1" ref="I682" ca="1">COLUMN(INDIRECT(A682))</f>
        <v>14</v>
      </c>
      <c r="M682" t="str" cm="1">
        <f t="array" aca="1" ref="M682" ca="1">IF(AND(J682="O",ISBLANK(INDIRECT(A682))),"Valeur obligatoire non renseignée","")</f>
        <v/>
      </c>
    </row>
    <row r="683" spans="1:13" x14ac:dyDescent="0.25">
      <c r="A683" s="91" t="s">
        <v>3540</v>
      </c>
      <c r="B683" cm="1">
        <f t="array" aca="1" ref="B683" ca="1">INDIRECT(A683)</f>
        <v>0</v>
      </c>
      <c r="C683">
        <f t="shared" ca="1" si="40"/>
        <v>5</v>
      </c>
      <c r="D683" t="str" cm="1">
        <f t="array" aca="1" ref="D683" ca="1">CELL("nomfichier",INDIRECT(A683))</f>
        <v>G:\SCPE\sdc\bq\6 - Mentions valorisantes\Certification environnementale\TEXTES_REGLEMENTATION_CE\Plans_contrôle et grilles\Grille audit niveau 3\Grille d'audit v1.11\[grille-audit-hvev4-v1.11-vf.xlsx]Surfaces_Horti</v>
      </c>
      <c r="E683">
        <f t="shared" ca="1" si="41"/>
        <v>200</v>
      </c>
      <c r="F683">
        <f t="shared" ca="1" si="42"/>
        <v>214</v>
      </c>
      <c r="G683" t="str">
        <f t="shared" ca="1" si="43"/>
        <v>Surfaces_Horti</v>
      </c>
      <c r="H683" cm="1">
        <f t="array" aca="1" ref="H683" ca="1">ROW(INDIRECT(A683))</f>
        <v>52</v>
      </c>
      <c r="I683" cm="1">
        <f t="array" aca="1" ref="I683" ca="1">COLUMN(INDIRECT(A683))</f>
        <v>2</v>
      </c>
      <c r="M683" t="str" cm="1">
        <f t="array" aca="1" ref="M683" ca="1">IF(AND(J683="O",ISBLANK(INDIRECT(A683))),"Valeur obligatoire non renseignée","")</f>
        <v/>
      </c>
    </row>
    <row r="684" spans="1:13" x14ac:dyDescent="0.25">
      <c r="A684" s="91" t="s">
        <v>3567</v>
      </c>
      <c r="B684" cm="1">
        <f t="array" aca="1" ref="B684" ca="1">INDIRECT(A684)</f>
        <v>0</v>
      </c>
      <c r="C684">
        <f t="shared" ca="1" si="40"/>
        <v>5</v>
      </c>
      <c r="D684" t="str" cm="1">
        <f t="array" aca="1" ref="D684" ca="1">CELL("nomfichier",INDIRECT(A684))</f>
        <v>G:\SCPE\sdc\bq\6 - Mentions valorisantes\Certification environnementale\TEXTES_REGLEMENTATION_CE\Plans_contrôle et grilles\Grille audit niveau 3\Grille d'audit v1.11\[grille-audit-hvev4-v1.11-vf.xlsx]Surfaces_Horti</v>
      </c>
      <c r="E684">
        <f t="shared" ca="1" si="41"/>
        <v>200</v>
      </c>
      <c r="F684">
        <f t="shared" ca="1" si="42"/>
        <v>214</v>
      </c>
      <c r="G684" t="str">
        <f t="shared" ca="1" si="43"/>
        <v>Surfaces_Horti</v>
      </c>
      <c r="H684" cm="1">
        <f t="array" aca="1" ref="H684" ca="1">ROW(INDIRECT(A684))</f>
        <v>52</v>
      </c>
      <c r="I684" cm="1">
        <f t="array" aca="1" ref="I684" ca="1">COLUMN(INDIRECT(A684))</f>
        <v>3</v>
      </c>
      <c r="M684" t="str" cm="1">
        <f t="array" aca="1" ref="M684" ca="1">IF(AND(J684="O",ISBLANK(INDIRECT(A684))),"Valeur obligatoire non renseignée","")</f>
        <v/>
      </c>
    </row>
    <row r="685" spans="1:13" x14ac:dyDescent="0.25">
      <c r="A685" s="91" t="s">
        <v>3594</v>
      </c>
      <c r="B685" cm="1">
        <f t="array" aca="1" ref="B685" ca="1">INDIRECT(A685)</f>
        <v>0</v>
      </c>
      <c r="C685">
        <f t="shared" ca="1" si="40"/>
        <v>5</v>
      </c>
      <c r="D685" t="str" cm="1">
        <f t="array" aca="1" ref="D685" ca="1">CELL("nomfichier",INDIRECT(A685))</f>
        <v>G:\SCPE\sdc\bq\6 - Mentions valorisantes\Certification environnementale\TEXTES_REGLEMENTATION_CE\Plans_contrôle et grilles\Grille audit niveau 3\Grille d'audit v1.11\[grille-audit-hvev4-v1.11-vf.xlsx]Surfaces_Horti</v>
      </c>
      <c r="E685">
        <f t="shared" ca="1" si="41"/>
        <v>200</v>
      </c>
      <c r="F685">
        <f t="shared" ca="1" si="42"/>
        <v>214</v>
      </c>
      <c r="G685" t="str">
        <f t="shared" ca="1" si="43"/>
        <v>Surfaces_Horti</v>
      </c>
      <c r="H685" cm="1">
        <f t="array" aca="1" ref="H685" ca="1">ROW(INDIRECT(A685))</f>
        <v>52</v>
      </c>
      <c r="I685" cm="1">
        <f t="array" aca="1" ref="I685" ca="1">COLUMN(INDIRECT(A685))</f>
        <v>4</v>
      </c>
      <c r="M685" t="str" cm="1">
        <f t="array" aca="1" ref="M685" ca="1">IF(AND(J685="O",ISBLANK(INDIRECT(A685))),"Valeur obligatoire non renseignée","")</f>
        <v/>
      </c>
    </row>
    <row r="686" spans="1:13" x14ac:dyDescent="0.25">
      <c r="A686" s="91" t="s">
        <v>3621</v>
      </c>
      <c r="B686" cm="1">
        <f t="array" aca="1" ref="B686" ca="1">INDIRECT(A686)</f>
        <v>0</v>
      </c>
      <c r="C686">
        <f t="shared" ca="1" si="40"/>
        <v>5</v>
      </c>
      <c r="D686" t="str" cm="1">
        <f t="array" aca="1" ref="D686" ca="1">CELL("nomfichier",INDIRECT(A686))</f>
        <v>G:\SCPE\sdc\bq\6 - Mentions valorisantes\Certification environnementale\TEXTES_REGLEMENTATION_CE\Plans_contrôle et grilles\Grille audit niveau 3\Grille d'audit v1.11\[grille-audit-hvev4-v1.11-vf.xlsx]Surfaces_Horti</v>
      </c>
      <c r="E686">
        <f t="shared" ca="1" si="41"/>
        <v>200</v>
      </c>
      <c r="F686">
        <f t="shared" ca="1" si="42"/>
        <v>214</v>
      </c>
      <c r="G686" t="str">
        <f t="shared" ca="1" si="43"/>
        <v>Surfaces_Horti</v>
      </c>
      <c r="H686" cm="1">
        <f t="array" aca="1" ref="H686" ca="1">ROW(INDIRECT(A686))</f>
        <v>52</v>
      </c>
      <c r="I686" cm="1">
        <f t="array" aca="1" ref="I686" ca="1">COLUMN(INDIRECT(A686))</f>
        <v>5</v>
      </c>
      <c r="M686" t="str" cm="1">
        <f t="array" aca="1" ref="M686" ca="1">IF(AND(J686="O",ISBLANK(INDIRECT(A686))),"Valeur obligatoire non renseignée","")</f>
        <v/>
      </c>
    </row>
    <row r="687" spans="1:13" x14ac:dyDescent="0.25">
      <c r="A687" s="91" t="s">
        <v>3648</v>
      </c>
      <c r="B687" cm="1">
        <f t="array" aca="1" ref="B687" ca="1">INDIRECT(A687)</f>
        <v>0</v>
      </c>
      <c r="C687">
        <f t="shared" ca="1" si="40"/>
        <v>5</v>
      </c>
      <c r="D687" t="str" cm="1">
        <f t="array" aca="1" ref="D687" ca="1">CELL("nomfichier",INDIRECT(A687))</f>
        <v>G:\SCPE\sdc\bq\6 - Mentions valorisantes\Certification environnementale\TEXTES_REGLEMENTATION_CE\Plans_contrôle et grilles\Grille audit niveau 3\Grille d'audit v1.11\[grille-audit-hvev4-v1.11-vf.xlsx]Surfaces_Horti</v>
      </c>
      <c r="E687">
        <f t="shared" ca="1" si="41"/>
        <v>200</v>
      </c>
      <c r="F687">
        <f t="shared" ca="1" si="42"/>
        <v>214</v>
      </c>
      <c r="G687" t="str">
        <f t="shared" ca="1" si="43"/>
        <v>Surfaces_Horti</v>
      </c>
      <c r="H687" cm="1">
        <f t="array" aca="1" ref="H687" ca="1">ROW(INDIRECT(A687))</f>
        <v>52</v>
      </c>
      <c r="I687" cm="1">
        <f t="array" aca="1" ref="I687" ca="1">COLUMN(INDIRECT(A687))</f>
        <v>6</v>
      </c>
      <c r="M687" t="str" cm="1">
        <f t="array" aca="1" ref="M687" ca="1">IF(AND(J687="O",ISBLANK(INDIRECT(A687))),"Valeur obligatoire non renseignée","")</f>
        <v/>
      </c>
    </row>
    <row r="688" spans="1:13" x14ac:dyDescent="0.25">
      <c r="A688" s="91" t="s">
        <v>3675</v>
      </c>
      <c r="B688" cm="1">
        <f t="array" aca="1" ref="B688" ca="1">INDIRECT(A688)</f>
        <v>0</v>
      </c>
      <c r="C688">
        <f t="shared" ca="1" si="40"/>
        <v>5</v>
      </c>
      <c r="D688" t="str" cm="1">
        <f t="array" aca="1" ref="D688" ca="1">CELL("nomfichier",INDIRECT(A688))</f>
        <v>G:\SCPE\sdc\bq\6 - Mentions valorisantes\Certification environnementale\TEXTES_REGLEMENTATION_CE\Plans_contrôle et grilles\Grille audit niveau 3\Grille d'audit v1.11\[grille-audit-hvev4-v1.11-vf.xlsx]Surfaces_Horti</v>
      </c>
      <c r="E688">
        <f t="shared" ca="1" si="41"/>
        <v>200</v>
      </c>
      <c r="F688">
        <f t="shared" ca="1" si="42"/>
        <v>214</v>
      </c>
      <c r="G688" t="str">
        <f t="shared" ca="1" si="43"/>
        <v>Surfaces_Horti</v>
      </c>
      <c r="H688" cm="1">
        <f t="array" aca="1" ref="H688" ca="1">ROW(INDIRECT(A688))</f>
        <v>52</v>
      </c>
      <c r="I688" cm="1">
        <f t="array" aca="1" ref="I688" ca="1">COLUMN(INDIRECT(A688))</f>
        <v>7</v>
      </c>
      <c r="M688" t="str" cm="1">
        <f t="array" aca="1" ref="M688" ca="1">IF(AND(J688="O",ISBLANK(INDIRECT(A688))),"Valeur obligatoire non renseignée","")</f>
        <v/>
      </c>
    </row>
    <row r="689" spans="1:13" x14ac:dyDescent="0.25">
      <c r="A689" s="91" t="s">
        <v>3702</v>
      </c>
      <c r="B689" cm="1">
        <f t="array" aca="1" ref="B689" ca="1">INDIRECT(A689)</f>
        <v>0</v>
      </c>
      <c r="C689">
        <f t="shared" ca="1" si="40"/>
        <v>5</v>
      </c>
      <c r="D689" t="str" cm="1">
        <f t="array" aca="1" ref="D689" ca="1">CELL("nomfichier",INDIRECT(A689))</f>
        <v>G:\SCPE\sdc\bq\6 - Mentions valorisantes\Certification environnementale\TEXTES_REGLEMENTATION_CE\Plans_contrôle et grilles\Grille audit niveau 3\Grille d'audit v1.11\[grille-audit-hvev4-v1.11-vf.xlsx]Surfaces_Horti</v>
      </c>
      <c r="E689">
        <f t="shared" ca="1" si="41"/>
        <v>200</v>
      </c>
      <c r="F689">
        <f t="shared" ca="1" si="42"/>
        <v>214</v>
      </c>
      <c r="G689" t="str">
        <f t="shared" ca="1" si="43"/>
        <v>Surfaces_Horti</v>
      </c>
      <c r="H689" cm="1">
        <f t="array" aca="1" ref="H689" ca="1">ROW(INDIRECT(A689))</f>
        <v>52</v>
      </c>
      <c r="I689" cm="1">
        <f t="array" aca="1" ref="I689" ca="1">COLUMN(INDIRECT(A689))</f>
        <v>8</v>
      </c>
      <c r="M689" t="str" cm="1">
        <f t="array" aca="1" ref="M689" ca="1">IF(AND(J689="O",ISBLANK(INDIRECT(A689))),"Valeur obligatoire non renseignée","")</f>
        <v/>
      </c>
    </row>
    <row r="690" spans="1:13" x14ac:dyDescent="0.25">
      <c r="A690" s="91" t="s">
        <v>3729</v>
      </c>
      <c r="B690" cm="1">
        <f t="array" aca="1" ref="B690" ca="1">INDIRECT(A690)</f>
        <v>0</v>
      </c>
      <c r="C690">
        <f t="shared" ca="1" si="40"/>
        <v>5</v>
      </c>
      <c r="D690" t="str" cm="1">
        <f t="array" aca="1" ref="D690" ca="1">CELL("nomfichier",INDIRECT(A690))</f>
        <v>G:\SCPE\sdc\bq\6 - Mentions valorisantes\Certification environnementale\TEXTES_REGLEMENTATION_CE\Plans_contrôle et grilles\Grille audit niveau 3\Grille d'audit v1.11\[grille-audit-hvev4-v1.11-vf.xlsx]Surfaces_Horti</v>
      </c>
      <c r="E690">
        <f t="shared" ca="1" si="41"/>
        <v>200</v>
      </c>
      <c r="F690">
        <f t="shared" ca="1" si="42"/>
        <v>214</v>
      </c>
      <c r="G690" t="str">
        <f t="shared" ca="1" si="43"/>
        <v>Surfaces_Horti</v>
      </c>
      <c r="H690" cm="1">
        <f t="array" aca="1" ref="H690" ca="1">ROW(INDIRECT(A690))</f>
        <v>52</v>
      </c>
      <c r="I690" cm="1">
        <f t="array" aca="1" ref="I690" ca="1">COLUMN(INDIRECT(A690))</f>
        <v>9</v>
      </c>
      <c r="M690" t="str" cm="1">
        <f t="array" aca="1" ref="M690" ca="1">IF(AND(J690="O",ISBLANK(INDIRECT(A690))),"Valeur obligatoire non renseignée","")</f>
        <v/>
      </c>
    </row>
    <row r="691" spans="1:13" x14ac:dyDescent="0.25">
      <c r="A691" s="91" t="s">
        <v>3756</v>
      </c>
      <c r="B691" cm="1">
        <f t="array" aca="1" ref="B691" ca="1">INDIRECT(A691)</f>
        <v>0</v>
      </c>
      <c r="C691">
        <f t="shared" ca="1" si="40"/>
        <v>5</v>
      </c>
      <c r="D691" t="str" cm="1">
        <f t="array" aca="1" ref="D691" ca="1">CELL("nomfichier",INDIRECT(A691))</f>
        <v>G:\SCPE\sdc\bq\6 - Mentions valorisantes\Certification environnementale\TEXTES_REGLEMENTATION_CE\Plans_contrôle et grilles\Grille audit niveau 3\Grille d'audit v1.11\[grille-audit-hvev4-v1.11-vf.xlsx]Surfaces_Horti</v>
      </c>
      <c r="E691">
        <f t="shared" ca="1" si="41"/>
        <v>200</v>
      </c>
      <c r="F691">
        <f t="shared" ca="1" si="42"/>
        <v>214</v>
      </c>
      <c r="G691" t="str">
        <f t="shared" ca="1" si="43"/>
        <v>Surfaces_Horti</v>
      </c>
      <c r="H691" cm="1">
        <f t="array" aca="1" ref="H691" ca="1">ROW(INDIRECT(A691))</f>
        <v>52</v>
      </c>
      <c r="I691" cm="1">
        <f t="array" aca="1" ref="I691" ca="1">COLUMN(INDIRECT(A691))</f>
        <v>10</v>
      </c>
      <c r="M691" t="str" cm="1">
        <f t="array" aca="1" ref="M691" ca="1">IF(AND(J691="O",ISBLANK(INDIRECT(A691))),"Valeur obligatoire non renseignée","")</f>
        <v/>
      </c>
    </row>
    <row r="692" spans="1:13" x14ac:dyDescent="0.25">
      <c r="A692" s="91" t="s">
        <v>3783</v>
      </c>
      <c r="B692" cm="1">
        <f t="array" aca="1" ref="B692" ca="1">INDIRECT(A692)</f>
        <v>0</v>
      </c>
      <c r="C692">
        <f t="shared" ca="1" si="40"/>
        <v>5</v>
      </c>
      <c r="D692" t="str" cm="1">
        <f t="array" aca="1" ref="D692" ca="1">CELL("nomfichier",INDIRECT(A692))</f>
        <v>G:\SCPE\sdc\bq\6 - Mentions valorisantes\Certification environnementale\TEXTES_REGLEMENTATION_CE\Plans_contrôle et grilles\Grille audit niveau 3\Grille d'audit v1.11\[grille-audit-hvev4-v1.11-vf.xlsx]Surfaces_Horti</v>
      </c>
      <c r="E692">
        <f t="shared" ca="1" si="41"/>
        <v>200</v>
      </c>
      <c r="F692">
        <f t="shared" ca="1" si="42"/>
        <v>214</v>
      </c>
      <c r="G692" t="str">
        <f t="shared" ca="1" si="43"/>
        <v>Surfaces_Horti</v>
      </c>
      <c r="H692" cm="1">
        <f t="array" aca="1" ref="H692" ca="1">ROW(INDIRECT(A692))</f>
        <v>52</v>
      </c>
      <c r="I692" cm="1">
        <f t="array" aca="1" ref="I692" ca="1">COLUMN(INDIRECT(A692))</f>
        <v>11</v>
      </c>
      <c r="M692" t="str" cm="1">
        <f t="array" aca="1" ref="M692" ca="1">IF(AND(J692="O",ISBLANK(INDIRECT(A692))),"Valeur obligatoire non renseignée","")</f>
        <v/>
      </c>
    </row>
    <row r="693" spans="1:13" x14ac:dyDescent="0.25">
      <c r="A693" s="91" t="s">
        <v>3810</v>
      </c>
      <c r="B693" cm="1">
        <f t="array" aca="1" ref="B693" ca="1">INDIRECT(A693)</f>
        <v>0</v>
      </c>
      <c r="C693">
        <f t="shared" ca="1" si="40"/>
        <v>5</v>
      </c>
      <c r="D693" t="str" cm="1">
        <f t="array" aca="1" ref="D693" ca="1">CELL("nomfichier",INDIRECT(A693))</f>
        <v>G:\SCPE\sdc\bq\6 - Mentions valorisantes\Certification environnementale\TEXTES_REGLEMENTATION_CE\Plans_contrôle et grilles\Grille audit niveau 3\Grille d'audit v1.11\[grille-audit-hvev4-v1.11-vf.xlsx]Surfaces_Horti</v>
      </c>
      <c r="E693">
        <f t="shared" ca="1" si="41"/>
        <v>200</v>
      </c>
      <c r="F693">
        <f t="shared" ca="1" si="42"/>
        <v>214</v>
      </c>
      <c r="G693" t="str">
        <f t="shared" ca="1" si="43"/>
        <v>Surfaces_Horti</v>
      </c>
      <c r="H693" cm="1">
        <f t="array" aca="1" ref="H693" ca="1">ROW(INDIRECT(A693))</f>
        <v>52</v>
      </c>
      <c r="I693" cm="1">
        <f t="array" aca="1" ref="I693" ca="1">COLUMN(INDIRECT(A693))</f>
        <v>12</v>
      </c>
      <c r="M693" t="str" cm="1">
        <f t="array" aca="1" ref="M693" ca="1">IF(AND(J693="O",ISBLANK(INDIRECT(A693))),"Valeur obligatoire non renseignée","")</f>
        <v/>
      </c>
    </row>
    <row r="694" spans="1:13" x14ac:dyDescent="0.25">
      <c r="A694" s="91" t="s">
        <v>3837</v>
      </c>
      <c r="B694" cm="1">
        <f t="array" aca="1" ref="B694" ca="1">INDIRECT(A694)</f>
        <v>0</v>
      </c>
      <c r="C694">
        <f t="shared" ca="1" si="40"/>
        <v>5</v>
      </c>
      <c r="D694" t="str" cm="1">
        <f t="array" aca="1" ref="D694" ca="1">CELL("nomfichier",INDIRECT(A694))</f>
        <v>G:\SCPE\sdc\bq\6 - Mentions valorisantes\Certification environnementale\TEXTES_REGLEMENTATION_CE\Plans_contrôle et grilles\Grille audit niveau 3\Grille d'audit v1.11\[grille-audit-hvev4-v1.11-vf.xlsx]Surfaces_Horti</v>
      </c>
      <c r="E694">
        <f t="shared" ca="1" si="41"/>
        <v>200</v>
      </c>
      <c r="F694">
        <f t="shared" ca="1" si="42"/>
        <v>214</v>
      </c>
      <c r="G694" t="str">
        <f t="shared" ca="1" si="43"/>
        <v>Surfaces_Horti</v>
      </c>
      <c r="H694" cm="1">
        <f t="array" aca="1" ref="H694" ca="1">ROW(INDIRECT(A694))</f>
        <v>52</v>
      </c>
      <c r="I694" cm="1">
        <f t="array" aca="1" ref="I694" ca="1">COLUMN(INDIRECT(A694))</f>
        <v>13</v>
      </c>
      <c r="M694" t="str" cm="1">
        <f t="array" aca="1" ref="M694" ca="1">IF(AND(J694="O",ISBLANK(INDIRECT(A694))),"Valeur obligatoire non renseignée","")</f>
        <v/>
      </c>
    </row>
    <row r="695" spans="1:13" x14ac:dyDescent="0.25">
      <c r="A695" s="91" t="s">
        <v>3864</v>
      </c>
      <c r="B695" cm="1">
        <f t="array" aca="1" ref="B695" ca="1">INDIRECT(A695)</f>
        <v>0</v>
      </c>
      <c r="C695">
        <f t="shared" ca="1" si="40"/>
        <v>5</v>
      </c>
      <c r="D695" t="str" cm="1">
        <f t="array" aca="1" ref="D695" ca="1">CELL("nomfichier",INDIRECT(A695))</f>
        <v>G:\SCPE\sdc\bq\6 - Mentions valorisantes\Certification environnementale\TEXTES_REGLEMENTATION_CE\Plans_contrôle et grilles\Grille audit niveau 3\Grille d'audit v1.11\[grille-audit-hvev4-v1.11-vf.xlsx]Surfaces_Horti</v>
      </c>
      <c r="E695">
        <f t="shared" ca="1" si="41"/>
        <v>200</v>
      </c>
      <c r="F695">
        <f t="shared" ca="1" si="42"/>
        <v>214</v>
      </c>
      <c r="G695" t="str">
        <f t="shared" ca="1" si="43"/>
        <v>Surfaces_Horti</v>
      </c>
      <c r="H695" cm="1">
        <f t="array" aca="1" ref="H695" ca="1">ROW(INDIRECT(A695))</f>
        <v>52</v>
      </c>
      <c r="I695" cm="1">
        <f t="array" aca="1" ref="I695" ca="1">COLUMN(INDIRECT(A695))</f>
        <v>14</v>
      </c>
      <c r="M695" t="str" cm="1">
        <f t="array" aca="1" ref="M695" ca="1">IF(AND(J695="O",ISBLANK(INDIRECT(A695))),"Valeur obligatoire non renseignée","")</f>
        <v/>
      </c>
    </row>
    <row r="696" spans="1:13" x14ac:dyDescent="0.25">
      <c r="A696" s="91" t="s">
        <v>3541</v>
      </c>
      <c r="B696" cm="1">
        <f t="array" aca="1" ref="B696" ca="1">INDIRECT(A696)</f>
        <v>0</v>
      </c>
      <c r="C696">
        <f t="shared" ca="1" si="40"/>
        <v>5</v>
      </c>
      <c r="D696" t="str" cm="1">
        <f t="array" aca="1" ref="D696" ca="1">CELL("nomfichier",INDIRECT(A696))</f>
        <v>G:\SCPE\sdc\bq\6 - Mentions valorisantes\Certification environnementale\TEXTES_REGLEMENTATION_CE\Plans_contrôle et grilles\Grille audit niveau 3\Grille d'audit v1.11\[grille-audit-hvev4-v1.11-vf.xlsx]Surfaces_Horti</v>
      </c>
      <c r="E696">
        <f t="shared" ca="1" si="41"/>
        <v>200</v>
      </c>
      <c r="F696">
        <f t="shared" ca="1" si="42"/>
        <v>214</v>
      </c>
      <c r="G696" t="str">
        <f t="shared" ca="1" si="43"/>
        <v>Surfaces_Horti</v>
      </c>
      <c r="H696" cm="1">
        <f t="array" aca="1" ref="H696" ca="1">ROW(INDIRECT(A696))</f>
        <v>53</v>
      </c>
      <c r="I696" cm="1">
        <f t="array" aca="1" ref="I696" ca="1">COLUMN(INDIRECT(A696))</f>
        <v>2</v>
      </c>
      <c r="M696" t="str" cm="1">
        <f t="array" aca="1" ref="M696" ca="1">IF(AND(J696="O",ISBLANK(INDIRECT(A696))),"Valeur obligatoire non renseignée","")</f>
        <v/>
      </c>
    </row>
    <row r="697" spans="1:13" x14ac:dyDescent="0.25">
      <c r="A697" s="91" t="s">
        <v>3568</v>
      </c>
      <c r="B697" cm="1">
        <f t="array" aca="1" ref="B697" ca="1">INDIRECT(A697)</f>
        <v>0</v>
      </c>
      <c r="C697">
        <f t="shared" ca="1" si="40"/>
        <v>5</v>
      </c>
      <c r="D697" t="str" cm="1">
        <f t="array" aca="1" ref="D697" ca="1">CELL("nomfichier",INDIRECT(A697))</f>
        <v>G:\SCPE\sdc\bq\6 - Mentions valorisantes\Certification environnementale\TEXTES_REGLEMENTATION_CE\Plans_contrôle et grilles\Grille audit niveau 3\Grille d'audit v1.11\[grille-audit-hvev4-v1.11-vf.xlsx]Surfaces_Horti</v>
      </c>
      <c r="E697">
        <f t="shared" ca="1" si="41"/>
        <v>200</v>
      </c>
      <c r="F697">
        <f t="shared" ca="1" si="42"/>
        <v>214</v>
      </c>
      <c r="G697" t="str">
        <f t="shared" ca="1" si="43"/>
        <v>Surfaces_Horti</v>
      </c>
      <c r="H697" cm="1">
        <f t="array" aca="1" ref="H697" ca="1">ROW(INDIRECT(A697))</f>
        <v>53</v>
      </c>
      <c r="I697" cm="1">
        <f t="array" aca="1" ref="I697" ca="1">COLUMN(INDIRECT(A697))</f>
        <v>3</v>
      </c>
      <c r="M697" t="str" cm="1">
        <f t="array" aca="1" ref="M697" ca="1">IF(AND(J697="O",ISBLANK(INDIRECT(A697))),"Valeur obligatoire non renseignée","")</f>
        <v/>
      </c>
    </row>
    <row r="698" spans="1:13" x14ac:dyDescent="0.25">
      <c r="A698" s="91" t="s">
        <v>3595</v>
      </c>
      <c r="B698" cm="1">
        <f t="array" aca="1" ref="B698" ca="1">INDIRECT(A698)</f>
        <v>0</v>
      </c>
      <c r="C698">
        <f t="shared" ca="1" si="40"/>
        <v>5</v>
      </c>
      <c r="D698" t="str" cm="1">
        <f t="array" aca="1" ref="D698" ca="1">CELL("nomfichier",INDIRECT(A698))</f>
        <v>G:\SCPE\sdc\bq\6 - Mentions valorisantes\Certification environnementale\TEXTES_REGLEMENTATION_CE\Plans_contrôle et grilles\Grille audit niveau 3\Grille d'audit v1.11\[grille-audit-hvev4-v1.11-vf.xlsx]Surfaces_Horti</v>
      </c>
      <c r="E698">
        <f t="shared" ca="1" si="41"/>
        <v>200</v>
      </c>
      <c r="F698">
        <f t="shared" ca="1" si="42"/>
        <v>214</v>
      </c>
      <c r="G698" t="str">
        <f t="shared" ca="1" si="43"/>
        <v>Surfaces_Horti</v>
      </c>
      <c r="H698" cm="1">
        <f t="array" aca="1" ref="H698" ca="1">ROW(INDIRECT(A698))</f>
        <v>53</v>
      </c>
      <c r="I698" cm="1">
        <f t="array" aca="1" ref="I698" ca="1">COLUMN(INDIRECT(A698))</f>
        <v>4</v>
      </c>
      <c r="M698" t="str" cm="1">
        <f t="array" aca="1" ref="M698" ca="1">IF(AND(J698="O",ISBLANK(INDIRECT(A698))),"Valeur obligatoire non renseignée","")</f>
        <v/>
      </c>
    </row>
    <row r="699" spans="1:13" x14ac:dyDescent="0.25">
      <c r="A699" s="91" t="s">
        <v>3622</v>
      </c>
      <c r="B699" cm="1">
        <f t="array" aca="1" ref="B699" ca="1">INDIRECT(A699)</f>
        <v>0</v>
      </c>
      <c r="C699">
        <f t="shared" ca="1" si="40"/>
        <v>5</v>
      </c>
      <c r="D699" t="str" cm="1">
        <f t="array" aca="1" ref="D699" ca="1">CELL("nomfichier",INDIRECT(A699))</f>
        <v>G:\SCPE\sdc\bq\6 - Mentions valorisantes\Certification environnementale\TEXTES_REGLEMENTATION_CE\Plans_contrôle et grilles\Grille audit niveau 3\Grille d'audit v1.11\[grille-audit-hvev4-v1.11-vf.xlsx]Surfaces_Horti</v>
      </c>
      <c r="E699">
        <f t="shared" ca="1" si="41"/>
        <v>200</v>
      </c>
      <c r="F699">
        <f t="shared" ca="1" si="42"/>
        <v>214</v>
      </c>
      <c r="G699" t="str">
        <f t="shared" ca="1" si="43"/>
        <v>Surfaces_Horti</v>
      </c>
      <c r="H699" cm="1">
        <f t="array" aca="1" ref="H699" ca="1">ROW(INDIRECT(A699))</f>
        <v>53</v>
      </c>
      <c r="I699" cm="1">
        <f t="array" aca="1" ref="I699" ca="1">COLUMN(INDIRECT(A699))</f>
        <v>5</v>
      </c>
      <c r="M699" t="str" cm="1">
        <f t="array" aca="1" ref="M699" ca="1">IF(AND(J699="O",ISBLANK(INDIRECT(A699))),"Valeur obligatoire non renseignée","")</f>
        <v/>
      </c>
    </row>
    <row r="700" spans="1:13" x14ac:dyDescent="0.25">
      <c r="A700" s="91" t="s">
        <v>3649</v>
      </c>
      <c r="B700" cm="1">
        <f t="array" aca="1" ref="B700" ca="1">INDIRECT(A700)</f>
        <v>0</v>
      </c>
      <c r="C700">
        <f t="shared" ca="1" si="40"/>
        <v>5</v>
      </c>
      <c r="D700" t="str" cm="1">
        <f t="array" aca="1" ref="D700" ca="1">CELL("nomfichier",INDIRECT(A700))</f>
        <v>G:\SCPE\sdc\bq\6 - Mentions valorisantes\Certification environnementale\TEXTES_REGLEMENTATION_CE\Plans_contrôle et grilles\Grille audit niveau 3\Grille d'audit v1.11\[grille-audit-hvev4-v1.11-vf.xlsx]Surfaces_Horti</v>
      </c>
      <c r="E700">
        <f t="shared" ca="1" si="41"/>
        <v>200</v>
      </c>
      <c r="F700">
        <f t="shared" ca="1" si="42"/>
        <v>214</v>
      </c>
      <c r="G700" t="str">
        <f t="shared" ca="1" si="43"/>
        <v>Surfaces_Horti</v>
      </c>
      <c r="H700" cm="1">
        <f t="array" aca="1" ref="H700" ca="1">ROW(INDIRECT(A700))</f>
        <v>53</v>
      </c>
      <c r="I700" cm="1">
        <f t="array" aca="1" ref="I700" ca="1">COLUMN(INDIRECT(A700))</f>
        <v>6</v>
      </c>
      <c r="M700" t="str" cm="1">
        <f t="array" aca="1" ref="M700" ca="1">IF(AND(J700="O",ISBLANK(INDIRECT(A700))),"Valeur obligatoire non renseignée","")</f>
        <v/>
      </c>
    </row>
    <row r="701" spans="1:13" x14ac:dyDescent="0.25">
      <c r="A701" s="91" t="s">
        <v>3676</v>
      </c>
      <c r="B701" cm="1">
        <f t="array" aca="1" ref="B701" ca="1">INDIRECT(A701)</f>
        <v>0</v>
      </c>
      <c r="C701">
        <f t="shared" ca="1" si="40"/>
        <v>5</v>
      </c>
      <c r="D701" t="str" cm="1">
        <f t="array" aca="1" ref="D701" ca="1">CELL("nomfichier",INDIRECT(A701))</f>
        <v>G:\SCPE\sdc\bq\6 - Mentions valorisantes\Certification environnementale\TEXTES_REGLEMENTATION_CE\Plans_contrôle et grilles\Grille audit niveau 3\Grille d'audit v1.11\[grille-audit-hvev4-v1.11-vf.xlsx]Surfaces_Horti</v>
      </c>
      <c r="E701">
        <f t="shared" ca="1" si="41"/>
        <v>200</v>
      </c>
      <c r="F701">
        <f t="shared" ca="1" si="42"/>
        <v>214</v>
      </c>
      <c r="G701" t="str">
        <f t="shared" ca="1" si="43"/>
        <v>Surfaces_Horti</v>
      </c>
      <c r="H701" cm="1">
        <f t="array" aca="1" ref="H701" ca="1">ROW(INDIRECT(A701))</f>
        <v>53</v>
      </c>
      <c r="I701" cm="1">
        <f t="array" aca="1" ref="I701" ca="1">COLUMN(INDIRECT(A701))</f>
        <v>7</v>
      </c>
      <c r="M701" t="str" cm="1">
        <f t="array" aca="1" ref="M701" ca="1">IF(AND(J701="O",ISBLANK(INDIRECT(A701))),"Valeur obligatoire non renseignée","")</f>
        <v/>
      </c>
    </row>
    <row r="702" spans="1:13" x14ac:dyDescent="0.25">
      <c r="A702" s="91" t="s">
        <v>3703</v>
      </c>
      <c r="B702" cm="1">
        <f t="array" aca="1" ref="B702" ca="1">INDIRECT(A702)</f>
        <v>0</v>
      </c>
      <c r="C702">
        <f t="shared" ca="1" si="40"/>
        <v>5</v>
      </c>
      <c r="D702" t="str" cm="1">
        <f t="array" aca="1" ref="D702" ca="1">CELL("nomfichier",INDIRECT(A702))</f>
        <v>G:\SCPE\sdc\bq\6 - Mentions valorisantes\Certification environnementale\TEXTES_REGLEMENTATION_CE\Plans_contrôle et grilles\Grille audit niveau 3\Grille d'audit v1.11\[grille-audit-hvev4-v1.11-vf.xlsx]Surfaces_Horti</v>
      </c>
      <c r="E702">
        <f t="shared" ca="1" si="41"/>
        <v>200</v>
      </c>
      <c r="F702">
        <f t="shared" ca="1" si="42"/>
        <v>214</v>
      </c>
      <c r="G702" t="str">
        <f t="shared" ca="1" si="43"/>
        <v>Surfaces_Horti</v>
      </c>
      <c r="H702" cm="1">
        <f t="array" aca="1" ref="H702" ca="1">ROW(INDIRECT(A702))</f>
        <v>53</v>
      </c>
      <c r="I702" cm="1">
        <f t="array" aca="1" ref="I702" ca="1">COLUMN(INDIRECT(A702))</f>
        <v>8</v>
      </c>
      <c r="M702" t="str" cm="1">
        <f t="array" aca="1" ref="M702" ca="1">IF(AND(J702="O",ISBLANK(INDIRECT(A702))),"Valeur obligatoire non renseignée","")</f>
        <v/>
      </c>
    </row>
    <row r="703" spans="1:13" x14ac:dyDescent="0.25">
      <c r="A703" s="91" t="s">
        <v>3730</v>
      </c>
      <c r="B703" cm="1">
        <f t="array" aca="1" ref="B703" ca="1">INDIRECT(A703)</f>
        <v>0</v>
      </c>
      <c r="C703">
        <f t="shared" ca="1" si="40"/>
        <v>5</v>
      </c>
      <c r="D703" t="str" cm="1">
        <f t="array" aca="1" ref="D703" ca="1">CELL("nomfichier",INDIRECT(A703))</f>
        <v>G:\SCPE\sdc\bq\6 - Mentions valorisantes\Certification environnementale\TEXTES_REGLEMENTATION_CE\Plans_contrôle et grilles\Grille audit niveau 3\Grille d'audit v1.11\[grille-audit-hvev4-v1.11-vf.xlsx]Surfaces_Horti</v>
      </c>
      <c r="E703">
        <f t="shared" ca="1" si="41"/>
        <v>200</v>
      </c>
      <c r="F703">
        <f t="shared" ca="1" si="42"/>
        <v>214</v>
      </c>
      <c r="G703" t="str">
        <f t="shared" ca="1" si="43"/>
        <v>Surfaces_Horti</v>
      </c>
      <c r="H703" cm="1">
        <f t="array" aca="1" ref="H703" ca="1">ROW(INDIRECT(A703))</f>
        <v>53</v>
      </c>
      <c r="I703" cm="1">
        <f t="array" aca="1" ref="I703" ca="1">COLUMN(INDIRECT(A703))</f>
        <v>9</v>
      </c>
      <c r="M703" t="str" cm="1">
        <f t="array" aca="1" ref="M703" ca="1">IF(AND(J703="O",ISBLANK(INDIRECT(A703))),"Valeur obligatoire non renseignée","")</f>
        <v/>
      </c>
    </row>
    <row r="704" spans="1:13" x14ac:dyDescent="0.25">
      <c r="A704" s="91" t="s">
        <v>3757</v>
      </c>
      <c r="B704" cm="1">
        <f t="array" aca="1" ref="B704" ca="1">INDIRECT(A704)</f>
        <v>0</v>
      </c>
      <c r="C704">
        <f t="shared" ca="1" si="40"/>
        <v>5</v>
      </c>
      <c r="D704" t="str" cm="1">
        <f t="array" aca="1" ref="D704" ca="1">CELL("nomfichier",INDIRECT(A704))</f>
        <v>G:\SCPE\sdc\bq\6 - Mentions valorisantes\Certification environnementale\TEXTES_REGLEMENTATION_CE\Plans_contrôle et grilles\Grille audit niveau 3\Grille d'audit v1.11\[grille-audit-hvev4-v1.11-vf.xlsx]Surfaces_Horti</v>
      </c>
      <c r="E704">
        <f t="shared" ca="1" si="41"/>
        <v>200</v>
      </c>
      <c r="F704">
        <f t="shared" ca="1" si="42"/>
        <v>214</v>
      </c>
      <c r="G704" t="str">
        <f t="shared" ca="1" si="43"/>
        <v>Surfaces_Horti</v>
      </c>
      <c r="H704" cm="1">
        <f t="array" aca="1" ref="H704" ca="1">ROW(INDIRECT(A704))</f>
        <v>53</v>
      </c>
      <c r="I704" cm="1">
        <f t="array" aca="1" ref="I704" ca="1">COLUMN(INDIRECT(A704))</f>
        <v>10</v>
      </c>
      <c r="M704" t="str" cm="1">
        <f t="array" aca="1" ref="M704" ca="1">IF(AND(J704="O",ISBLANK(INDIRECT(A704))),"Valeur obligatoire non renseignée","")</f>
        <v/>
      </c>
    </row>
    <row r="705" spans="1:13" x14ac:dyDescent="0.25">
      <c r="A705" s="91" t="s">
        <v>3784</v>
      </c>
      <c r="B705" cm="1">
        <f t="array" aca="1" ref="B705" ca="1">INDIRECT(A705)</f>
        <v>0</v>
      </c>
      <c r="C705">
        <f t="shared" ca="1" si="40"/>
        <v>5</v>
      </c>
      <c r="D705" t="str" cm="1">
        <f t="array" aca="1" ref="D705" ca="1">CELL("nomfichier",INDIRECT(A705))</f>
        <v>G:\SCPE\sdc\bq\6 - Mentions valorisantes\Certification environnementale\TEXTES_REGLEMENTATION_CE\Plans_contrôle et grilles\Grille audit niveau 3\Grille d'audit v1.11\[grille-audit-hvev4-v1.11-vf.xlsx]Surfaces_Horti</v>
      </c>
      <c r="E705">
        <f t="shared" ca="1" si="41"/>
        <v>200</v>
      </c>
      <c r="F705">
        <f t="shared" ca="1" si="42"/>
        <v>214</v>
      </c>
      <c r="G705" t="str">
        <f t="shared" ca="1" si="43"/>
        <v>Surfaces_Horti</v>
      </c>
      <c r="H705" cm="1">
        <f t="array" aca="1" ref="H705" ca="1">ROW(INDIRECT(A705))</f>
        <v>53</v>
      </c>
      <c r="I705" cm="1">
        <f t="array" aca="1" ref="I705" ca="1">COLUMN(INDIRECT(A705))</f>
        <v>11</v>
      </c>
      <c r="M705" t="str" cm="1">
        <f t="array" aca="1" ref="M705" ca="1">IF(AND(J705="O",ISBLANK(INDIRECT(A705))),"Valeur obligatoire non renseignée","")</f>
        <v/>
      </c>
    </row>
    <row r="706" spans="1:13" x14ac:dyDescent="0.25">
      <c r="A706" s="91" t="s">
        <v>3811</v>
      </c>
      <c r="B706" cm="1">
        <f t="array" aca="1" ref="B706" ca="1">INDIRECT(A706)</f>
        <v>0</v>
      </c>
      <c r="C706">
        <f t="shared" ref="C706:C769" ca="1" si="44">_xlfn.SHEET(INDIRECT(A706))</f>
        <v>5</v>
      </c>
      <c r="D706" t="str" cm="1">
        <f t="array" aca="1" ref="D706" ca="1">CELL("nomfichier",INDIRECT(A706))</f>
        <v>G:\SCPE\sdc\bq\6 - Mentions valorisantes\Certification environnementale\TEXTES_REGLEMENTATION_CE\Plans_contrôle et grilles\Grille audit niveau 3\Grille d'audit v1.11\[grille-audit-hvev4-v1.11-vf.xlsx]Surfaces_Horti</v>
      </c>
      <c r="E706">
        <f t="shared" ref="E706:E769" ca="1" si="45">FIND("]",D706)</f>
        <v>200</v>
      </c>
      <c r="F706">
        <f t="shared" ref="F706:F769" ca="1" si="46">LEN(D706)</f>
        <v>214</v>
      </c>
      <c r="G706" t="str">
        <f t="shared" ref="G706:G769" ca="1" si="47">RIGHT(D706,F706-E706)</f>
        <v>Surfaces_Horti</v>
      </c>
      <c r="H706" cm="1">
        <f t="array" aca="1" ref="H706" ca="1">ROW(INDIRECT(A706))</f>
        <v>53</v>
      </c>
      <c r="I706" cm="1">
        <f t="array" aca="1" ref="I706" ca="1">COLUMN(INDIRECT(A706))</f>
        <v>12</v>
      </c>
      <c r="M706" t="str" cm="1">
        <f t="array" aca="1" ref="M706" ca="1">IF(AND(J706="O",ISBLANK(INDIRECT(A706))),"Valeur obligatoire non renseignée","")</f>
        <v/>
      </c>
    </row>
    <row r="707" spans="1:13" x14ac:dyDescent="0.25">
      <c r="A707" s="91" t="s">
        <v>3838</v>
      </c>
      <c r="B707" cm="1">
        <f t="array" aca="1" ref="B707" ca="1">INDIRECT(A707)</f>
        <v>0</v>
      </c>
      <c r="C707">
        <f t="shared" ca="1" si="44"/>
        <v>5</v>
      </c>
      <c r="D707" t="str" cm="1">
        <f t="array" aca="1" ref="D707" ca="1">CELL("nomfichier",INDIRECT(A707))</f>
        <v>G:\SCPE\sdc\bq\6 - Mentions valorisantes\Certification environnementale\TEXTES_REGLEMENTATION_CE\Plans_contrôle et grilles\Grille audit niveau 3\Grille d'audit v1.11\[grille-audit-hvev4-v1.11-vf.xlsx]Surfaces_Horti</v>
      </c>
      <c r="E707">
        <f t="shared" ca="1" si="45"/>
        <v>200</v>
      </c>
      <c r="F707">
        <f t="shared" ca="1" si="46"/>
        <v>214</v>
      </c>
      <c r="G707" t="str">
        <f t="shared" ca="1" si="47"/>
        <v>Surfaces_Horti</v>
      </c>
      <c r="H707" cm="1">
        <f t="array" aca="1" ref="H707" ca="1">ROW(INDIRECT(A707))</f>
        <v>53</v>
      </c>
      <c r="I707" cm="1">
        <f t="array" aca="1" ref="I707" ca="1">COLUMN(INDIRECT(A707))</f>
        <v>13</v>
      </c>
      <c r="M707" t="str" cm="1">
        <f t="array" aca="1" ref="M707" ca="1">IF(AND(J707="O",ISBLANK(INDIRECT(A707))),"Valeur obligatoire non renseignée","")</f>
        <v/>
      </c>
    </row>
    <row r="708" spans="1:13" x14ac:dyDescent="0.25">
      <c r="A708" s="91" t="s">
        <v>3865</v>
      </c>
      <c r="B708" cm="1">
        <f t="array" aca="1" ref="B708" ca="1">INDIRECT(A708)</f>
        <v>0</v>
      </c>
      <c r="C708">
        <f t="shared" ca="1" si="44"/>
        <v>5</v>
      </c>
      <c r="D708" t="str" cm="1">
        <f t="array" aca="1" ref="D708" ca="1">CELL("nomfichier",INDIRECT(A708))</f>
        <v>G:\SCPE\sdc\bq\6 - Mentions valorisantes\Certification environnementale\TEXTES_REGLEMENTATION_CE\Plans_contrôle et grilles\Grille audit niveau 3\Grille d'audit v1.11\[grille-audit-hvev4-v1.11-vf.xlsx]Surfaces_Horti</v>
      </c>
      <c r="E708">
        <f t="shared" ca="1" si="45"/>
        <v>200</v>
      </c>
      <c r="F708">
        <f t="shared" ca="1" si="46"/>
        <v>214</v>
      </c>
      <c r="G708" t="str">
        <f t="shared" ca="1" si="47"/>
        <v>Surfaces_Horti</v>
      </c>
      <c r="H708" cm="1">
        <f t="array" aca="1" ref="H708" ca="1">ROW(INDIRECT(A708))</f>
        <v>53</v>
      </c>
      <c r="I708" cm="1">
        <f t="array" aca="1" ref="I708" ca="1">COLUMN(INDIRECT(A708))</f>
        <v>14</v>
      </c>
      <c r="M708" t="str" cm="1">
        <f t="array" aca="1" ref="M708" ca="1">IF(AND(J708="O",ISBLANK(INDIRECT(A708))),"Valeur obligatoire non renseignée","")</f>
        <v/>
      </c>
    </row>
    <row r="709" spans="1:13" x14ac:dyDescent="0.25">
      <c r="A709" s="91" t="s">
        <v>3542</v>
      </c>
      <c r="B709" cm="1">
        <f t="array" aca="1" ref="B709" ca="1">INDIRECT(A709)</f>
        <v>0</v>
      </c>
      <c r="C709">
        <f t="shared" ca="1" si="44"/>
        <v>5</v>
      </c>
      <c r="D709" t="str" cm="1">
        <f t="array" aca="1" ref="D709" ca="1">CELL("nomfichier",INDIRECT(A709))</f>
        <v>G:\SCPE\sdc\bq\6 - Mentions valorisantes\Certification environnementale\TEXTES_REGLEMENTATION_CE\Plans_contrôle et grilles\Grille audit niveau 3\Grille d'audit v1.11\[grille-audit-hvev4-v1.11-vf.xlsx]Surfaces_Horti</v>
      </c>
      <c r="E709">
        <f t="shared" ca="1" si="45"/>
        <v>200</v>
      </c>
      <c r="F709">
        <f t="shared" ca="1" si="46"/>
        <v>214</v>
      </c>
      <c r="G709" t="str">
        <f t="shared" ca="1" si="47"/>
        <v>Surfaces_Horti</v>
      </c>
      <c r="H709" cm="1">
        <f t="array" aca="1" ref="H709" ca="1">ROW(INDIRECT(A709))</f>
        <v>54</v>
      </c>
      <c r="I709" cm="1">
        <f t="array" aca="1" ref="I709" ca="1">COLUMN(INDIRECT(A709))</f>
        <v>2</v>
      </c>
      <c r="M709" t="str" cm="1">
        <f t="array" aca="1" ref="M709" ca="1">IF(AND(J709="O",ISBLANK(INDIRECT(A709))),"Valeur obligatoire non renseignée","")</f>
        <v/>
      </c>
    </row>
    <row r="710" spans="1:13" x14ac:dyDescent="0.25">
      <c r="A710" s="91" t="s">
        <v>3569</v>
      </c>
      <c r="B710" cm="1">
        <f t="array" aca="1" ref="B710" ca="1">INDIRECT(A710)</f>
        <v>0</v>
      </c>
      <c r="C710">
        <f t="shared" ca="1" si="44"/>
        <v>5</v>
      </c>
      <c r="D710" t="str" cm="1">
        <f t="array" aca="1" ref="D710" ca="1">CELL("nomfichier",INDIRECT(A710))</f>
        <v>G:\SCPE\sdc\bq\6 - Mentions valorisantes\Certification environnementale\TEXTES_REGLEMENTATION_CE\Plans_contrôle et grilles\Grille audit niveau 3\Grille d'audit v1.11\[grille-audit-hvev4-v1.11-vf.xlsx]Surfaces_Horti</v>
      </c>
      <c r="E710">
        <f t="shared" ca="1" si="45"/>
        <v>200</v>
      </c>
      <c r="F710">
        <f t="shared" ca="1" si="46"/>
        <v>214</v>
      </c>
      <c r="G710" t="str">
        <f t="shared" ca="1" si="47"/>
        <v>Surfaces_Horti</v>
      </c>
      <c r="H710" cm="1">
        <f t="array" aca="1" ref="H710" ca="1">ROW(INDIRECT(A710))</f>
        <v>54</v>
      </c>
      <c r="I710" cm="1">
        <f t="array" aca="1" ref="I710" ca="1">COLUMN(INDIRECT(A710))</f>
        <v>3</v>
      </c>
      <c r="M710" t="str" cm="1">
        <f t="array" aca="1" ref="M710" ca="1">IF(AND(J710="O",ISBLANK(INDIRECT(A710))),"Valeur obligatoire non renseignée","")</f>
        <v/>
      </c>
    </row>
    <row r="711" spans="1:13" x14ac:dyDescent="0.25">
      <c r="A711" s="91" t="s">
        <v>3596</v>
      </c>
      <c r="B711" cm="1">
        <f t="array" aca="1" ref="B711" ca="1">INDIRECT(A711)</f>
        <v>0</v>
      </c>
      <c r="C711">
        <f t="shared" ca="1" si="44"/>
        <v>5</v>
      </c>
      <c r="D711" t="str" cm="1">
        <f t="array" aca="1" ref="D711" ca="1">CELL("nomfichier",INDIRECT(A711))</f>
        <v>G:\SCPE\sdc\bq\6 - Mentions valorisantes\Certification environnementale\TEXTES_REGLEMENTATION_CE\Plans_contrôle et grilles\Grille audit niveau 3\Grille d'audit v1.11\[grille-audit-hvev4-v1.11-vf.xlsx]Surfaces_Horti</v>
      </c>
      <c r="E711">
        <f t="shared" ca="1" si="45"/>
        <v>200</v>
      </c>
      <c r="F711">
        <f t="shared" ca="1" si="46"/>
        <v>214</v>
      </c>
      <c r="G711" t="str">
        <f t="shared" ca="1" si="47"/>
        <v>Surfaces_Horti</v>
      </c>
      <c r="H711" cm="1">
        <f t="array" aca="1" ref="H711" ca="1">ROW(INDIRECT(A711))</f>
        <v>54</v>
      </c>
      <c r="I711" cm="1">
        <f t="array" aca="1" ref="I711" ca="1">COLUMN(INDIRECT(A711))</f>
        <v>4</v>
      </c>
      <c r="M711" t="str" cm="1">
        <f t="array" aca="1" ref="M711" ca="1">IF(AND(J711="O",ISBLANK(INDIRECT(A711))),"Valeur obligatoire non renseignée","")</f>
        <v/>
      </c>
    </row>
    <row r="712" spans="1:13" x14ac:dyDescent="0.25">
      <c r="A712" s="91" t="s">
        <v>3623</v>
      </c>
      <c r="B712" cm="1">
        <f t="array" aca="1" ref="B712" ca="1">INDIRECT(A712)</f>
        <v>0</v>
      </c>
      <c r="C712">
        <f t="shared" ca="1" si="44"/>
        <v>5</v>
      </c>
      <c r="D712" t="str" cm="1">
        <f t="array" aca="1" ref="D712" ca="1">CELL("nomfichier",INDIRECT(A712))</f>
        <v>G:\SCPE\sdc\bq\6 - Mentions valorisantes\Certification environnementale\TEXTES_REGLEMENTATION_CE\Plans_contrôle et grilles\Grille audit niveau 3\Grille d'audit v1.11\[grille-audit-hvev4-v1.11-vf.xlsx]Surfaces_Horti</v>
      </c>
      <c r="E712">
        <f t="shared" ca="1" si="45"/>
        <v>200</v>
      </c>
      <c r="F712">
        <f t="shared" ca="1" si="46"/>
        <v>214</v>
      </c>
      <c r="G712" t="str">
        <f t="shared" ca="1" si="47"/>
        <v>Surfaces_Horti</v>
      </c>
      <c r="H712" cm="1">
        <f t="array" aca="1" ref="H712" ca="1">ROW(INDIRECT(A712))</f>
        <v>54</v>
      </c>
      <c r="I712" cm="1">
        <f t="array" aca="1" ref="I712" ca="1">COLUMN(INDIRECT(A712))</f>
        <v>5</v>
      </c>
      <c r="M712" t="str" cm="1">
        <f t="array" aca="1" ref="M712" ca="1">IF(AND(J712="O",ISBLANK(INDIRECT(A712))),"Valeur obligatoire non renseignée","")</f>
        <v/>
      </c>
    </row>
    <row r="713" spans="1:13" x14ac:dyDescent="0.25">
      <c r="A713" s="91" t="s">
        <v>3650</v>
      </c>
      <c r="B713" cm="1">
        <f t="array" aca="1" ref="B713" ca="1">INDIRECT(A713)</f>
        <v>0</v>
      </c>
      <c r="C713">
        <f t="shared" ca="1" si="44"/>
        <v>5</v>
      </c>
      <c r="D713" t="str" cm="1">
        <f t="array" aca="1" ref="D713" ca="1">CELL("nomfichier",INDIRECT(A713))</f>
        <v>G:\SCPE\sdc\bq\6 - Mentions valorisantes\Certification environnementale\TEXTES_REGLEMENTATION_CE\Plans_contrôle et grilles\Grille audit niveau 3\Grille d'audit v1.11\[grille-audit-hvev4-v1.11-vf.xlsx]Surfaces_Horti</v>
      </c>
      <c r="E713">
        <f t="shared" ca="1" si="45"/>
        <v>200</v>
      </c>
      <c r="F713">
        <f t="shared" ca="1" si="46"/>
        <v>214</v>
      </c>
      <c r="G713" t="str">
        <f t="shared" ca="1" si="47"/>
        <v>Surfaces_Horti</v>
      </c>
      <c r="H713" cm="1">
        <f t="array" aca="1" ref="H713" ca="1">ROW(INDIRECT(A713))</f>
        <v>54</v>
      </c>
      <c r="I713" cm="1">
        <f t="array" aca="1" ref="I713" ca="1">COLUMN(INDIRECT(A713))</f>
        <v>6</v>
      </c>
      <c r="M713" t="str" cm="1">
        <f t="array" aca="1" ref="M713" ca="1">IF(AND(J713="O",ISBLANK(INDIRECT(A713))),"Valeur obligatoire non renseignée","")</f>
        <v/>
      </c>
    </row>
    <row r="714" spans="1:13" x14ac:dyDescent="0.25">
      <c r="A714" s="91" t="s">
        <v>3677</v>
      </c>
      <c r="B714" cm="1">
        <f t="array" aca="1" ref="B714" ca="1">INDIRECT(A714)</f>
        <v>0</v>
      </c>
      <c r="C714">
        <f t="shared" ca="1" si="44"/>
        <v>5</v>
      </c>
      <c r="D714" t="str" cm="1">
        <f t="array" aca="1" ref="D714" ca="1">CELL("nomfichier",INDIRECT(A714))</f>
        <v>G:\SCPE\sdc\bq\6 - Mentions valorisantes\Certification environnementale\TEXTES_REGLEMENTATION_CE\Plans_contrôle et grilles\Grille audit niveau 3\Grille d'audit v1.11\[grille-audit-hvev4-v1.11-vf.xlsx]Surfaces_Horti</v>
      </c>
      <c r="E714">
        <f t="shared" ca="1" si="45"/>
        <v>200</v>
      </c>
      <c r="F714">
        <f t="shared" ca="1" si="46"/>
        <v>214</v>
      </c>
      <c r="G714" t="str">
        <f t="shared" ca="1" si="47"/>
        <v>Surfaces_Horti</v>
      </c>
      <c r="H714" cm="1">
        <f t="array" aca="1" ref="H714" ca="1">ROW(INDIRECT(A714))</f>
        <v>54</v>
      </c>
      <c r="I714" cm="1">
        <f t="array" aca="1" ref="I714" ca="1">COLUMN(INDIRECT(A714))</f>
        <v>7</v>
      </c>
      <c r="M714" t="str" cm="1">
        <f t="array" aca="1" ref="M714" ca="1">IF(AND(J714="O",ISBLANK(INDIRECT(A714))),"Valeur obligatoire non renseignée","")</f>
        <v/>
      </c>
    </row>
    <row r="715" spans="1:13" x14ac:dyDescent="0.25">
      <c r="A715" s="91" t="s">
        <v>3704</v>
      </c>
      <c r="B715" cm="1">
        <f t="array" aca="1" ref="B715" ca="1">INDIRECT(A715)</f>
        <v>0</v>
      </c>
      <c r="C715">
        <f t="shared" ca="1" si="44"/>
        <v>5</v>
      </c>
      <c r="D715" t="str" cm="1">
        <f t="array" aca="1" ref="D715" ca="1">CELL("nomfichier",INDIRECT(A715))</f>
        <v>G:\SCPE\sdc\bq\6 - Mentions valorisantes\Certification environnementale\TEXTES_REGLEMENTATION_CE\Plans_contrôle et grilles\Grille audit niveau 3\Grille d'audit v1.11\[grille-audit-hvev4-v1.11-vf.xlsx]Surfaces_Horti</v>
      </c>
      <c r="E715">
        <f t="shared" ca="1" si="45"/>
        <v>200</v>
      </c>
      <c r="F715">
        <f t="shared" ca="1" si="46"/>
        <v>214</v>
      </c>
      <c r="G715" t="str">
        <f t="shared" ca="1" si="47"/>
        <v>Surfaces_Horti</v>
      </c>
      <c r="H715" cm="1">
        <f t="array" aca="1" ref="H715" ca="1">ROW(INDIRECT(A715))</f>
        <v>54</v>
      </c>
      <c r="I715" cm="1">
        <f t="array" aca="1" ref="I715" ca="1">COLUMN(INDIRECT(A715))</f>
        <v>8</v>
      </c>
      <c r="M715" t="str" cm="1">
        <f t="array" aca="1" ref="M715" ca="1">IF(AND(J715="O",ISBLANK(INDIRECT(A715))),"Valeur obligatoire non renseignée","")</f>
        <v/>
      </c>
    </row>
    <row r="716" spans="1:13" x14ac:dyDescent="0.25">
      <c r="A716" s="91" t="s">
        <v>3731</v>
      </c>
      <c r="B716" cm="1">
        <f t="array" aca="1" ref="B716" ca="1">INDIRECT(A716)</f>
        <v>0</v>
      </c>
      <c r="C716">
        <f t="shared" ca="1" si="44"/>
        <v>5</v>
      </c>
      <c r="D716" t="str" cm="1">
        <f t="array" aca="1" ref="D716" ca="1">CELL("nomfichier",INDIRECT(A716))</f>
        <v>G:\SCPE\sdc\bq\6 - Mentions valorisantes\Certification environnementale\TEXTES_REGLEMENTATION_CE\Plans_contrôle et grilles\Grille audit niveau 3\Grille d'audit v1.11\[grille-audit-hvev4-v1.11-vf.xlsx]Surfaces_Horti</v>
      </c>
      <c r="E716">
        <f t="shared" ca="1" si="45"/>
        <v>200</v>
      </c>
      <c r="F716">
        <f t="shared" ca="1" si="46"/>
        <v>214</v>
      </c>
      <c r="G716" t="str">
        <f t="shared" ca="1" si="47"/>
        <v>Surfaces_Horti</v>
      </c>
      <c r="H716" cm="1">
        <f t="array" aca="1" ref="H716" ca="1">ROW(INDIRECT(A716))</f>
        <v>54</v>
      </c>
      <c r="I716" cm="1">
        <f t="array" aca="1" ref="I716" ca="1">COLUMN(INDIRECT(A716))</f>
        <v>9</v>
      </c>
      <c r="M716" t="str" cm="1">
        <f t="array" aca="1" ref="M716" ca="1">IF(AND(J716="O",ISBLANK(INDIRECT(A716))),"Valeur obligatoire non renseignée","")</f>
        <v/>
      </c>
    </row>
    <row r="717" spans="1:13" x14ac:dyDescent="0.25">
      <c r="A717" s="91" t="s">
        <v>3758</v>
      </c>
      <c r="B717" cm="1">
        <f t="array" aca="1" ref="B717" ca="1">INDIRECT(A717)</f>
        <v>0</v>
      </c>
      <c r="C717">
        <f t="shared" ca="1" si="44"/>
        <v>5</v>
      </c>
      <c r="D717" t="str" cm="1">
        <f t="array" aca="1" ref="D717" ca="1">CELL("nomfichier",INDIRECT(A717))</f>
        <v>G:\SCPE\sdc\bq\6 - Mentions valorisantes\Certification environnementale\TEXTES_REGLEMENTATION_CE\Plans_contrôle et grilles\Grille audit niveau 3\Grille d'audit v1.11\[grille-audit-hvev4-v1.11-vf.xlsx]Surfaces_Horti</v>
      </c>
      <c r="E717">
        <f t="shared" ca="1" si="45"/>
        <v>200</v>
      </c>
      <c r="F717">
        <f t="shared" ca="1" si="46"/>
        <v>214</v>
      </c>
      <c r="G717" t="str">
        <f t="shared" ca="1" si="47"/>
        <v>Surfaces_Horti</v>
      </c>
      <c r="H717" cm="1">
        <f t="array" aca="1" ref="H717" ca="1">ROW(INDIRECT(A717))</f>
        <v>54</v>
      </c>
      <c r="I717" cm="1">
        <f t="array" aca="1" ref="I717" ca="1">COLUMN(INDIRECT(A717))</f>
        <v>10</v>
      </c>
      <c r="M717" t="str" cm="1">
        <f t="array" aca="1" ref="M717" ca="1">IF(AND(J717="O",ISBLANK(INDIRECT(A717))),"Valeur obligatoire non renseignée","")</f>
        <v/>
      </c>
    </row>
    <row r="718" spans="1:13" x14ac:dyDescent="0.25">
      <c r="A718" s="91" t="s">
        <v>3785</v>
      </c>
      <c r="B718" cm="1">
        <f t="array" aca="1" ref="B718" ca="1">INDIRECT(A718)</f>
        <v>0</v>
      </c>
      <c r="C718">
        <f t="shared" ca="1" si="44"/>
        <v>5</v>
      </c>
      <c r="D718" t="str" cm="1">
        <f t="array" aca="1" ref="D718" ca="1">CELL("nomfichier",INDIRECT(A718))</f>
        <v>G:\SCPE\sdc\bq\6 - Mentions valorisantes\Certification environnementale\TEXTES_REGLEMENTATION_CE\Plans_contrôle et grilles\Grille audit niveau 3\Grille d'audit v1.11\[grille-audit-hvev4-v1.11-vf.xlsx]Surfaces_Horti</v>
      </c>
      <c r="E718">
        <f t="shared" ca="1" si="45"/>
        <v>200</v>
      </c>
      <c r="F718">
        <f t="shared" ca="1" si="46"/>
        <v>214</v>
      </c>
      <c r="G718" t="str">
        <f t="shared" ca="1" si="47"/>
        <v>Surfaces_Horti</v>
      </c>
      <c r="H718" cm="1">
        <f t="array" aca="1" ref="H718" ca="1">ROW(INDIRECT(A718))</f>
        <v>54</v>
      </c>
      <c r="I718" cm="1">
        <f t="array" aca="1" ref="I718" ca="1">COLUMN(INDIRECT(A718))</f>
        <v>11</v>
      </c>
      <c r="M718" t="str" cm="1">
        <f t="array" aca="1" ref="M718" ca="1">IF(AND(J718="O",ISBLANK(INDIRECT(A718))),"Valeur obligatoire non renseignée","")</f>
        <v/>
      </c>
    </row>
    <row r="719" spans="1:13" x14ac:dyDescent="0.25">
      <c r="A719" s="91" t="s">
        <v>3812</v>
      </c>
      <c r="B719" cm="1">
        <f t="array" aca="1" ref="B719" ca="1">INDIRECT(A719)</f>
        <v>0</v>
      </c>
      <c r="C719">
        <f t="shared" ca="1" si="44"/>
        <v>5</v>
      </c>
      <c r="D719" t="str" cm="1">
        <f t="array" aca="1" ref="D719" ca="1">CELL("nomfichier",INDIRECT(A719))</f>
        <v>G:\SCPE\sdc\bq\6 - Mentions valorisantes\Certification environnementale\TEXTES_REGLEMENTATION_CE\Plans_contrôle et grilles\Grille audit niveau 3\Grille d'audit v1.11\[grille-audit-hvev4-v1.11-vf.xlsx]Surfaces_Horti</v>
      </c>
      <c r="E719">
        <f t="shared" ca="1" si="45"/>
        <v>200</v>
      </c>
      <c r="F719">
        <f t="shared" ca="1" si="46"/>
        <v>214</v>
      </c>
      <c r="G719" t="str">
        <f t="shared" ca="1" si="47"/>
        <v>Surfaces_Horti</v>
      </c>
      <c r="H719" cm="1">
        <f t="array" aca="1" ref="H719" ca="1">ROW(INDIRECT(A719))</f>
        <v>54</v>
      </c>
      <c r="I719" cm="1">
        <f t="array" aca="1" ref="I719" ca="1">COLUMN(INDIRECT(A719))</f>
        <v>12</v>
      </c>
      <c r="M719" t="str" cm="1">
        <f t="array" aca="1" ref="M719" ca="1">IF(AND(J719="O",ISBLANK(INDIRECT(A719))),"Valeur obligatoire non renseignée","")</f>
        <v/>
      </c>
    </row>
    <row r="720" spans="1:13" x14ac:dyDescent="0.25">
      <c r="A720" s="91" t="s">
        <v>3839</v>
      </c>
      <c r="B720" cm="1">
        <f t="array" aca="1" ref="B720" ca="1">INDIRECT(A720)</f>
        <v>0</v>
      </c>
      <c r="C720">
        <f t="shared" ca="1" si="44"/>
        <v>5</v>
      </c>
      <c r="D720" t="str" cm="1">
        <f t="array" aca="1" ref="D720" ca="1">CELL("nomfichier",INDIRECT(A720))</f>
        <v>G:\SCPE\sdc\bq\6 - Mentions valorisantes\Certification environnementale\TEXTES_REGLEMENTATION_CE\Plans_contrôle et grilles\Grille audit niveau 3\Grille d'audit v1.11\[grille-audit-hvev4-v1.11-vf.xlsx]Surfaces_Horti</v>
      </c>
      <c r="E720">
        <f t="shared" ca="1" si="45"/>
        <v>200</v>
      </c>
      <c r="F720">
        <f t="shared" ca="1" si="46"/>
        <v>214</v>
      </c>
      <c r="G720" t="str">
        <f t="shared" ca="1" si="47"/>
        <v>Surfaces_Horti</v>
      </c>
      <c r="H720" cm="1">
        <f t="array" aca="1" ref="H720" ca="1">ROW(INDIRECT(A720))</f>
        <v>54</v>
      </c>
      <c r="I720" cm="1">
        <f t="array" aca="1" ref="I720" ca="1">COLUMN(INDIRECT(A720))</f>
        <v>13</v>
      </c>
      <c r="M720" t="str" cm="1">
        <f t="array" aca="1" ref="M720" ca="1">IF(AND(J720="O",ISBLANK(INDIRECT(A720))),"Valeur obligatoire non renseignée","")</f>
        <v/>
      </c>
    </row>
    <row r="721" spans="1:13" x14ac:dyDescent="0.25">
      <c r="A721" s="91" t="s">
        <v>3866</v>
      </c>
      <c r="B721" cm="1">
        <f t="array" aca="1" ref="B721" ca="1">INDIRECT(A721)</f>
        <v>0</v>
      </c>
      <c r="C721">
        <f t="shared" ca="1" si="44"/>
        <v>5</v>
      </c>
      <c r="D721" t="str" cm="1">
        <f t="array" aca="1" ref="D721" ca="1">CELL("nomfichier",INDIRECT(A721))</f>
        <v>G:\SCPE\sdc\bq\6 - Mentions valorisantes\Certification environnementale\TEXTES_REGLEMENTATION_CE\Plans_contrôle et grilles\Grille audit niveau 3\Grille d'audit v1.11\[grille-audit-hvev4-v1.11-vf.xlsx]Surfaces_Horti</v>
      </c>
      <c r="E721">
        <f t="shared" ca="1" si="45"/>
        <v>200</v>
      </c>
      <c r="F721">
        <f t="shared" ca="1" si="46"/>
        <v>214</v>
      </c>
      <c r="G721" t="str">
        <f t="shared" ca="1" si="47"/>
        <v>Surfaces_Horti</v>
      </c>
      <c r="H721" cm="1">
        <f t="array" aca="1" ref="H721" ca="1">ROW(INDIRECT(A721))</f>
        <v>54</v>
      </c>
      <c r="I721" cm="1">
        <f t="array" aca="1" ref="I721" ca="1">COLUMN(INDIRECT(A721))</f>
        <v>14</v>
      </c>
      <c r="M721" t="str" cm="1">
        <f t="array" aca="1" ref="M721" ca="1">IF(AND(J721="O",ISBLANK(INDIRECT(A721))),"Valeur obligatoire non renseignée","")</f>
        <v/>
      </c>
    </row>
    <row r="722" spans="1:13" x14ac:dyDescent="0.25">
      <c r="A722" s="91" t="s">
        <v>3543</v>
      </c>
      <c r="B722" cm="1">
        <f t="array" aca="1" ref="B722" ca="1">INDIRECT(A722)</f>
        <v>0</v>
      </c>
      <c r="C722">
        <f t="shared" ca="1" si="44"/>
        <v>5</v>
      </c>
      <c r="D722" t="str" cm="1">
        <f t="array" aca="1" ref="D722" ca="1">CELL("nomfichier",INDIRECT(A722))</f>
        <v>G:\SCPE\sdc\bq\6 - Mentions valorisantes\Certification environnementale\TEXTES_REGLEMENTATION_CE\Plans_contrôle et grilles\Grille audit niveau 3\Grille d'audit v1.11\[grille-audit-hvev4-v1.11-vf.xlsx]Surfaces_Horti</v>
      </c>
      <c r="E722">
        <f t="shared" ca="1" si="45"/>
        <v>200</v>
      </c>
      <c r="F722">
        <f t="shared" ca="1" si="46"/>
        <v>214</v>
      </c>
      <c r="G722" t="str">
        <f t="shared" ca="1" si="47"/>
        <v>Surfaces_Horti</v>
      </c>
      <c r="H722" cm="1">
        <f t="array" aca="1" ref="H722" ca="1">ROW(INDIRECT(A722))</f>
        <v>55</v>
      </c>
      <c r="I722" cm="1">
        <f t="array" aca="1" ref="I722" ca="1">COLUMN(INDIRECT(A722))</f>
        <v>2</v>
      </c>
      <c r="M722" t="str" cm="1">
        <f t="array" aca="1" ref="M722" ca="1">IF(AND(J722="O",ISBLANK(INDIRECT(A722))),"Valeur obligatoire non renseignée","")</f>
        <v/>
      </c>
    </row>
    <row r="723" spans="1:13" x14ac:dyDescent="0.25">
      <c r="A723" s="91" t="s">
        <v>3570</v>
      </c>
      <c r="B723" cm="1">
        <f t="array" aca="1" ref="B723" ca="1">INDIRECT(A723)</f>
        <v>0</v>
      </c>
      <c r="C723">
        <f t="shared" ca="1" si="44"/>
        <v>5</v>
      </c>
      <c r="D723" t="str" cm="1">
        <f t="array" aca="1" ref="D723" ca="1">CELL("nomfichier",INDIRECT(A723))</f>
        <v>G:\SCPE\sdc\bq\6 - Mentions valorisantes\Certification environnementale\TEXTES_REGLEMENTATION_CE\Plans_contrôle et grilles\Grille audit niveau 3\Grille d'audit v1.11\[grille-audit-hvev4-v1.11-vf.xlsx]Surfaces_Horti</v>
      </c>
      <c r="E723">
        <f t="shared" ca="1" si="45"/>
        <v>200</v>
      </c>
      <c r="F723">
        <f t="shared" ca="1" si="46"/>
        <v>214</v>
      </c>
      <c r="G723" t="str">
        <f t="shared" ca="1" si="47"/>
        <v>Surfaces_Horti</v>
      </c>
      <c r="H723" cm="1">
        <f t="array" aca="1" ref="H723" ca="1">ROW(INDIRECT(A723))</f>
        <v>55</v>
      </c>
      <c r="I723" cm="1">
        <f t="array" aca="1" ref="I723" ca="1">COLUMN(INDIRECT(A723))</f>
        <v>3</v>
      </c>
      <c r="M723" t="str" cm="1">
        <f t="array" aca="1" ref="M723" ca="1">IF(AND(J723="O",ISBLANK(INDIRECT(A723))),"Valeur obligatoire non renseignée","")</f>
        <v/>
      </c>
    </row>
    <row r="724" spans="1:13" x14ac:dyDescent="0.25">
      <c r="A724" s="91" t="s">
        <v>3597</v>
      </c>
      <c r="B724" cm="1">
        <f t="array" aca="1" ref="B724" ca="1">INDIRECT(A724)</f>
        <v>0</v>
      </c>
      <c r="C724">
        <f t="shared" ca="1" si="44"/>
        <v>5</v>
      </c>
      <c r="D724" t="str" cm="1">
        <f t="array" aca="1" ref="D724" ca="1">CELL("nomfichier",INDIRECT(A724))</f>
        <v>G:\SCPE\sdc\bq\6 - Mentions valorisantes\Certification environnementale\TEXTES_REGLEMENTATION_CE\Plans_contrôle et grilles\Grille audit niveau 3\Grille d'audit v1.11\[grille-audit-hvev4-v1.11-vf.xlsx]Surfaces_Horti</v>
      </c>
      <c r="E724">
        <f t="shared" ca="1" si="45"/>
        <v>200</v>
      </c>
      <c r="F724">
        <f t="shared" ca="1" si="46"/>
        <v>214</v>
      </c>
      <c r="G724" t="str">
        <f t="shared" ca="1" si="47"/>
        <v>Surfaces_Horti</v>
      </c>
      <c r="H724" cm="1">
        <f t="array" aca="1" ref="H724" ca="1">ROW(INDIRECT(A724))</f>
        <v>55</v>
      </c>
      <c r="I724" cm="1">
        <f t="array" aca="1" ref="I724" ca="1">COLUMN(INDIRECT(A724))</f>
        <v>4</v>
      </c>
      <c r="M724" t="str" cm="1">
        <f t="array" aca="1" ref="M724" ca="1">IF(AND(J724="O",ISBLANK(INDIRECT(A724))),"Valeur obligatoire non renseignée","")</f>
        <v/>
      </c>
    </row>
    <row r="725" spans="1:13" x14ac:dyDescent="0.25">
      <c r="A725" s="91" t="s">
        <v>3624</v>
      </c>
      <c r="B725" cm="1">
        <f t="array" aca="1" ref="B725" ca="1">INDIRECT(A725)</f>
        <v>0</v>
      </c>
      <c r="C725">
        <f t="shared" ca="1" si="44"/>
        <v>5</v>
      </c>
      <c r="D725" t="str" cm="1">
        <f t="array" aca="1" ref="D725" ca="1">CELL("nomfichier",INDIRECT(A725))</f>
        <v>G:\SCPE\sdc\bq\6 - Mentions valorisantes\Certification environnementale\TEXTES_REGLEMENTATION_CE\Plans_contrôle et grilles\Grille audit niveau 3\Grille d'audit v1.11\[grille-audit-hvev4-v1.11-vf.xlsx]Surfaces_Horti</v>
      </c>
      <c r="E725">
        <f t="shared" ca="1" si="45"/>
        <v>200</v>
      </c>
      <c r="F725">
        <f t="shared" ca="1" si="46"/>
        <v>214</v>
      </c>
      <c r="G725" t="str">
        <f t="shared" ca="1" si="47"/>
        <v>Surfaces_Horti</v>
      </c>
      <c r="H725" cm="1">
        <f t="array" aca="1" ref="H725" ca="1">ROW(INDIRECT(A725))</f>
        <v>55</v>
      </c>
      <c r="I725" cm="1">
        <f t="array" aca="1" ref="I725" ca="1">COLUMN(INDIRECT(A725))</f>
        <v>5</v>
      </c>
      <c r="M725" t="str" cm="1">
        <f t="array" aca="1" ref="M725" ca="1">IF(AND(J725="O",ISBLANK(INDIRECT(A725))),"Valeur obligatoire non renseignée","")</f>
        <v/>
      </c>
    </row>
    <row r="726" spans="1:13" x14ac:dyDescent="0.25">
      <c r="A726" s="91" t="s">
        <v>3651</v>
      </c>
      <c r="B726" cm="1">
        <f t="array" aca="1" ref="B726" ca="1">INDIRECT(A726)</f>
        <v>0</v>
      </c>
      <c r="C726">
        <f t="shared" ca="1" si="44"/>
        <v>5</v>
      </c>
      <c r="D726" t="str" cm="1">
        <f t="array" aca="1" ref="D726" ca="1">CELL("nomfichier",INDIRECT(A726))</f>
        <v>G:\SCPE\sdc\bq\6 - Mentions valorisantes\Certification environnementale\TEXTES_REGLEMENTATION_CE\Plans_contrôle et grilles\Grille audit niveau 3\Grille d'audit v1.11\[grille-audit-hvev4-v1.11-vf.xlsx]Surfaces_Horti</v>
      </c>
      <c r="E726">
        <f t="shared" ca="1" si="45"/>
        <v>200</v>
      </c>
      <c r="F726">
        <f t="shared" ca="1" si="46"/>
        <v>214</v>
      </c>
      <c r="G726" t="str">
        <f t="shared" ca="1" si="47"/>
        <v>Surfaces_Horti</v>
      </c>
      <c r="H726" cm="1">
        <f t="array" aca="1" ref="H726" ca="1">ROW(INDIRECT(A726))</f>
        <v>55</v>
      </c>
      <c r="I726" cm="1">
        <f t="array" aca="1" ref="I726" ca="1">COLUMN(INDIRECT(A726))</f>
        <v>6</v>
      </c>
      <c r="M726" t="str" cm="1">
        <f t="array" aca="1" ref="M726" ca="1">IF(AND(J726="O",ISBLANK(INDIRECT(A726))),"Valeur obligatoire non renseignée","")</f>
        <v/>
      </c>
    </row>
    <row r="727" spans="1:13" x14ac:dyDescent="0.25">
      <c r="A727" s="91" t="s">
        <v>3678</v>
      </c>
      <c r="B727" cm="1">
        <f t="array" aca="1" ref="B727" ca="1">INDIRECT(A727)</f>
        <v>0</v>
      </c>
      <c r="C727">
        <f t="shared" ca="1" si="44"/>
        <v>5</v>
      </c>
      <c r="D727" t="str" cm="1">
        <f t="array" aca="1" ref="D727" ca="1">CELL("nomfichier",INDIRECT(A727))</f>
        <v>G:\SCPE\sdc\bq\6 - Mentions valorisantes\Certification environnementale\TEXTES_REGLEMENTATION_CE\Plans_contrôle et grilles\Grille audit niveau 3\Grille d'audit v1.11\[grille-audit-hvev4-v1.11-vf.xlsx]Surfaces_Horti</v>
      </c>
      <c r="E727">
        <f t="shared" ca="1" si="45"/>
        <v>200</v>
      </c>
      <c r="F727">
        <f t="shared" ca="1" si="46"/>
        <v>214</v>
      </c>
      <c r="G727" t="str">
        <f t="shared" ca="1" si="47"/>
        <v>Surfaces_Horti</v>
      </c>
      <c r="H727" cm="1">
        <f t="array" aca="1" ref="H727" ca="1">ROW(INDIRECT(A727))</f>
        <v>55</v>
      </c>
      <c r="I727" cm="1">
        <f t="array" aca="1" ref="I727" ca="1">COLUMN(INDIRECT(A727))</f>
        <v>7</v>
      </c>
      <c r="M727" t="str" cm="1">
        <f t="array" aca="1" ref="M727" ca="1">IF(AND(J727="O",ISBLANK(INDIRECT(A727))),"Valeur obligatoire non renseignée","")</f>
        <v/>
      </c>
    </row>
    <row r="728" spans="1:13" x14ac:dyDescent="0.25">
      <c r="A728" s="91" t="s">
        <v>3705</v>
      </c>
      <c r="B728" cm="1">
        <f t="array" aca="1" ref="B728" ca="1">INDIRECT(A728)</f>
        <v>0</v>
      </c>
      <c r="C728">
        <f t="shared" ca="1" si="44"/>
        <v>5</v>
      </c>
      <c r="D728" t="str" cm="1">
        <f t="array" aca="1" ref="D728" ca="1">CELL("nomfichier",INDIRECT(A728))</f>
        <v>G:\SCPE\sdc\bq\6 - Mentions valorisantes\Certification environnementale\TEXTES_REGLEMENTATION_CE\Plans_contrôle et grilles\Grille audit niveau 3\Grille d'audit v1.11\[grille-audit-hvev4-v1.11-vf.xlsx]Surfaces_Horti</v>
      </c>
      <c r="E728">
        <f t="shared" ca="1" si="45"/>
        <v>200</v>
      </c>
      <c r="F728">
        <f t="shared" ca="1" si="46"/>
        <v>214</v>
      </c>
      <c r="G728" t="str">
        <f t="shared" ca="1" si="47"/>
        <v>Surfaces_Horti</v>
      </c>
      <c r="H728" cm="1">
        <f t="array" aca="1" ref="H728" ca="1">ROW(INDIRECT(A728))</f>
        <v>55</v>
      </c>
      <c r="I728" cm="1">
        <f t="array" aca="1" ref="I728" ca="1">COLUMN(INDIRECT(A728))</f>
        <v>8</v>
      </c>
      <c r="M728" t="str" cm="1">
        <f t="array" aca="1" ref="M728" ca="1">IF(AND(J728="O",ISBLANK(INDIRECT(A728))),"Valeur obligatoire non renseignée","")</f>
        <v/>
      </c>
    </row>
    <row r="729" spans="1:13" x14ac:dyDescent="0.25">
      <c r="A729" s="91" t="s">
        <v>3732</v>
      </c>
      <c r="B729" cm="1">
        <f t="array" aca="1" ref="B729" ca="1">INDIRECT(A729)</f>
        <v>0</v>
      </c>
      <c r="C729">
        <f t="shared" ca="1" si="44"/>
        <v>5</v>
      </c>
      <c r="D729" t="str" cm="1">
        <f t="array" aca="1" ref="D729" ca="1">CELL("nomfichier",INDIRECT(A729))</f>
        <v>G:\SCPE\sdc\bq\6 - Mentions valorisantes\Certification environnementale\TEXTES_REGLEMENTATION_CE\Plans_contrôle et grilles\Grille audit niveau 3\Grille d'audit v1.11\[grille-audit-hvev4-v1.11-vf.xlsx]Surfaces_Horti</v>
      </c>
      <c r="E729">
        <f t="shared" ca="1" si="45"/>
        <v>200</v>
      </c>
      <c r="F729">
        <f t="shared" ca="1" si="46"/>
        <v>214</v>
      </c>
      <c r="G729" t="str">
        <f t="shared" ca="1" si="47"/>
        <v>Surfaces_Horti</v>
      </c>
      <c r="H729" cm="1">
        <f t="array" aca="1" ref="H729" ca="1">ROW(INDIRECT(A729))</f>
        <v>55</v>
      </c>
      <c r="I729" cm="1">
        <f t="array" aca="1" ref="I729" ca="1">COLUMN(INDIRECT(A729))</f>
        <v>9</v>
      </c>
      <c r="M729" t="str" cm="1">
        <f t="array" aca="1" ref="M729" ca="1">IF(AND(J729="O",ISBLANK(INDIRECT(A729))),"Valeur obligatoire non renseignée","")</f>
        <v/>
      </c>
    </row>
    <row r="730" spans="1:13" x14ac:dyDescent="0.25">
      <c r="A730" s="91" t="s">
        <v>3759</v>
      </c>
      <c r="B730" cm="1">
        <f t="array" aca="1" ref="B730" ca="1">INDIRECT(A730)</f>
        <v>0</v>
      </c>
      <c r="C730">
        <f t="shared" ca="1" si="44"/>
        <v>5</v>
      </c>
      <c r="D730" t="str" cm="1">
        <f t="array" aca="1" ref="D730" ca="1">CELL("nomfichier",INDIRECT(A730))</f>
        <v>G:\SCPE\sdc\bq\6 - Mentions valorisantes\Certification environnementale\TEXTES_REGLEMENTATION_CE\Plans_contrôle et grilles\Grille audit niveau 3\Grille d'audit v1.11\[grille-audit-hvev4-v1.11-vf.xlsx]Surfaces_Horti</v>
      </c>
      <c r="E730">
        <f t="shared" ca="1" si="45"/>
        <v>200</v>
      </c>
      <c r="F730">
        <f t="shared" ca="1" si="46"/>
        <v>214</v>
      </c>
      <c r="G730" t="str">
        <f t="shared" ca="1" si="47"/>
        <v>Surfaces_Horti</v>
      </c>
      <c r="H730" cm="1">
        <f t="array" aca="1" ref="H730" ca="1">ROW(INDIRECT(A730))</f>
        <v>55</v>
      </c>
      <c r="I730" cm="1">
        <f t="array" aca="1" ref="I730" ca="1">COLUMN(INDIRECT(A730))</f>
        <v>10</v>
      </c>
      <c r="M730" t="str" cm="1">
        <f t="array" aca="1" ref="M730" ca="1">IF(AND(J730="O",ISBLANK(INDIRECT(A730))),"Valeur obligatoire non renseignée","")</f>
        <v/>
      </c>
    </row>
    <row r="731" spans="1:13" x14ac:dyDescent="0.25">
      <c r="A731" s="91" t="s">
        <v>3786</v>
      </c>
      <c r="B731" cm="1">
        <f t="array" aca="1" ref="B731" ca="1">INDIRECT(A731)</f>
        <v>0</v>
      </c>
      <c r="C731">
        <f t="shared" ca="1" si="44"/>
        <v>5</v>
      </c>
      <c r="D731" t="str" cm="1">
        <f t="array" aca="1" ref="D731" ca="1">CELL("nomfichier",INDIRECT(A731))</f>
        <v>G:\SCPE\sdc\bq\6 - Mentions valorisantes\Certification environnementale\TEXTES_REGLEMENTATION_CE\Plans_contrôle et grilles\Grille audit niveau 3\Grille d'audit v1.11\[grille-audit-hvev4-v1.11-vf.xlsx]Surfaces_Horti</v>
      </c>
      <c r="E731">
        <f t="shared" ca="1" si="45"/>
        <v>200</v>
      </c>
      <c r="F731">
        <f t="shared" ca="1" si="46"/>
        <v>214</v>
      </c>
      <c r="G731" t="str">
        <f t="shared" ca="1" si="47"/>
        <v>Surfaces_Horti</v>
      </c>
      <c r="H731" cm="1">
        <f t="array" aca="1" ref="H731" ca="1">ROW(INDIRECT(A731))</f>
        <v>55</v>
      </c>
      <c r="I731" cm="1">
        <f t="array" aca="1" ref="I731" ca="1">COLUMN(INDIRECT(A731))</f>
        <v>11</v>
      </c>
      <c r="M731" t="str" cm="1">
        <f t="array" aca="1" ref="M731" ca="1">IF(AND(J731="O",ISBLANK(INDIRECT(A731))),"Valeur obligatoire non renseignée","")</f>
        <v/>
      </c>
    </row>
    <row r="732" spans="1:13" x14ac:dyDescent="0.25">
      <c r="A732" s="91" t="s">
        <v>3813</v>
      </c>
      <c r="B732" cm="1">
        <f t="array" aca="1" ref="B732" ca="1">INDIRECT(A732)</f>
        <v>0</v>
      </c>
      <c r="C732">
        <f t="shared" ca="1" si="44"/>
        <v>5</v>
      </c>
      <c r="D732" t="str" cm="1">
        <f t="array" aca="1" ref="D732" ca="1">CELL("nomfichier",INDIRECT(A732))</f>
        <v>G:\SCPE\sdc\bq\6 - Mentions valorisantes\Certification environnementale\TEXTES_REGLEMENTATION_CE\Plans_contrôle et grilles\Grille audit niveau 3\Grille d'audit v1.11\[grille-audit-hvev4-v1.11-vf.xlsx]Surfaces_Horti</v>
      </c>
      <c r="E732">
        <f t="shared" ca="1" si="45"/>
        <v>200</v>
      </c>
      <c r="F732">
        <f t="shared" ca="1" si="46"/>
        <v>214</v>
      </c>
      <c r="G732" t="str">
        <f t="shared" ca="1" si="47"/>
        <v>Surfaces_Horti</v>
      </c>
      <c r="H732" cm="1">
        <f t="array" aca="1" ref="H732" ca="1">ROW(INDIRECT(A732))</f>
        <v>55</v>
      </c>
      <c r="I732" cm="1">
        <f t="array" aca="1" ref="I732" ca="1">COLUMN(INDIRECT(A732))</f>
        <v>12</v>
      </c>
      <c r="M732" t="str" cm="1">
        <f t="array" aca="1" ref="M732" ca="1">IF(AND(J732="O",ISBLANK(INDIRECT(A732))),"Valeur obligatoire non renseignée","")</f>
        <v/>
      </c>
    </row>
    <row r="733" spans="1:13" x14ac:dyDescent="0.25">
      <c r="A733" s="91" t="s">
        <v>3840</v>
      </c>
      <c r="B733" cm="1">
        <f t="array" aca="1" ref="B733" ca="1">INDIRECT(A733)</f>
        <v>0</v>
      </c>
      <c r="C733">
        <f t="shared" ca="1" si="44"/>
        <v>5</v>
      </c>
      <c r="D733" t="str" cm="1">
        <f t="array" aca="1" ref="D733" ca="1">CELL("nomfichier",INDIRECT(A733))</f>
        <v>G:\SCPE\sdc\bq\6 - Mentions valorisantes\Certification environnementale\TEXTES_REGLEMENTATION_CE\Plans_contrôle et grilles\Grille audit niveau 3\Grille d'audit v1.11\[grille-audit-hvev4-v1.11-vf.xlsx]Surfaces_Horti</v>
      </c>
      <c r="E733">
        <f t="shared" ca="1" si="45"/>
        <v>200</v>
      </c>
      <c r="F733">
        <f t="shared" ca="1" si="46"/>
        <v>214</v>
      </c>
      <c r="G733" t="str">
        <f t="shared" ca="1" si="47"/>
        <v>Surfaces_Horti</v>
      </c>
      <c r="H733" cm="1">
        <f t="array" aca="1" ref="H733" ca="1">ROW(INDIRECT(A733))</f>
        <v>55</v>
      </c>
      <c r="I733" cm="1">
        <f t="array" aca="1" ref="I733" ca="1">COLUMN(INDIRECT(A733))</f>
        <v>13</v>
      </c>
      <c r="M733" t="str" cm="1">
        <f t="array" aca="1" ref="M733" ca="1">IF(AND(J733="O",ISBLANK(INDIRECT(A733))),"Valeur obligatoire non renseignée","")</f>
        <v/>
      </c>
    </row>
    <row r="734" spans="1:13" x14ac:dyDescent="0.25">
      <c r="A734" s="91" t="s">
        <v>3867</v>
      </c>
      <c r="B734" cm="1">
        <f t="array" aca="1" ref="B734" ca="1">INDIRECT(A734)</f>
        <v>0</v>
      </c>
      <c r="C734">
        <f t="shared" ca="1" si="44"/>
        <v>5</v>
      </c>
      <c r="D734" t="str" cm="1">
        <f t="array" aca="1" ref="D734" ca="1">CELL("nomfichier",INDIRECT(A734))</f>
        <v>G:\SCPE\sdc\bq\6 - Mentions valorisantes\Certification environnementale\TEXTES_REGLEMENTATION_CE\Plans_contrôle et grilles\Grille audit niveau 3\Grille d'audit v1.11\[grille-audit-hvev4-v1.11-vf.xlsx]Surfaces_Horti</v>
      </c>
      <c r="E734">
        <f t="shared" ca="1" si="45"/>
        <v>200</v>
      </c>
      <c r="F734">
        <f t="shared" ca="1" si="46"/>
        <v>214</v>
      </c>
      <c r="G734" t="str">
        <f t="shared" ca="1" si="47"/>
        <v>Surfaces_Horti</v>
      </c>
      <c r="H734" cm="1">
        <f t="array" aca="1" ref="H734" ca="1">ROW(INDIRECT(A734))</f>
        <v>55</v>
      </c>
      <c r="I734" cm="1">
        <f t="array" aca="1" ref="I734" ca="1">COLUMN(INDIRECT(A734))</f>
        <v>14</v>
      </c>
      <c r="M734" t="str" cm="1">
        <f t="array" aca="1" ref="M734" ca="1">IF(AND(J734="O",ISBLANK(INDIRECT(A734))),"Valeur obligatoire non renseignée","")</f>
        <v/>
      </c>
    </row>
    <row r="735" spans="1:13" x14ac:dyDescent="0.25">
      <c r="A735" s="91" t="s">
        <v>3544</v>
      </c>
      <c r="B735" cm="1">
        <f t="array" aca="1" ref="B735" ca="1">INDIRECT(A735)</f>
        <v>0</v>
      </c>
      <c r="C735">
        <f t="shared" ca="1" si="44"/>
        <v>5</v>
      </c>
      <c r="D735" t="str" cm="1">
        <f t="array" aca="1" ref="D735" ca="1">CELL("nomfichier",INDIRECT(A735))</f>
        <v>G:\SCPE\sdc\bq\6 - Mentions valorisantes\Certification environnementale\TEXTES_REGLEMENTATION_CE\Plans_contrôle et grilles\Grille audit niveau 3\Grille d'audit v1.11\[grille-audit-hvev4-v1.11-vf.xlsx]Surfaces_Horti</v>
      </c>
      <c r="E735">
        <f t="shared" ca="1" si="45"/>
        <v>200</v>
      </c>
      <c r="F735">
        <f t="shared" ca="1" si="46"/>
        <v>214</v>
      </c>
      <c r="G735" t="str">
        <f t="shared" ca="1" si="47"/>
        <v>Surfaces_Horti</v>
      </c>
      <c r="H735" cm="1">
        <f t="array" aca="1" ref="H735" ca="1">ROW(INDIRECT(A735))</f>
        <v>56</v>
      </c>
      <c r="I735" cm="1">
        <f t="array" aca="1" ref="I735" ca="1">COLUMN(INDIRECT(A735))</f>
        <v>2</v>
      </c>
      <c r="M735" t="str" cm="1">
        <f t="array" aca="1" ref="M735" ca="1">IF(AND(J735="O",ISBLANK(INDIRECT(A735))),"Valeur obligatoire non renseignée","")</f>
        <v/>
      </c>
    </row>
    <row r="736" spans="1:13" x14ac:dyDescent="0.25">
      <c r="A736" s="91" t="s">
        <v>3571</v>
      </c>
      <c r="B736" cm="1">
        <f t="array" aca="1" ref="B736" ca="1">INDIRECT(A736)</f>
        <v>0</v>
      </c>
      <c r="C736">
        <f t="shared" ca="1" si="44"/>
        <v>5</v>
      </c>
      <c r="D736" t="str" cm="1">
        <f t="array" aca="1" ref="D736" ca="1">CELL("nomfichier",INDIRECT(A736))</f>
        <v>G:\SCPE\sdc\bq\6 - Mentions valorisantes\Certification environnementale\TEXTES_REGLEMENTATION_CE\Plans_contrôle et grilles\Grille audit niveau 3\Grille d'audit v1.11\[grille-audit-hvev4-v1.11-vf.xlsx]Surfaces_Horti</v>
      </c>
      <c r="E736">
        <f t="shared" ca="1" si="45"/>
        <v>200</v>
      </c>
      <c r="F736">
        <f t="shared" ca="1" si="46"/>
        <v>214</v>
      </c>
      <c r="G736" t="str">
        <f t="shared" ca="1" si="47"/>
        <v>Surfaces_Horti</v>
      </c>
      <c r="H736" cm="1">
        <f t="array" aca="1" ref="H736" ca="1">ROW(INDIRECT(A736))</f>
        <v>56</v>
      </c>
      <c r="I736" cm="1">
        <f t="array" aca="1" ref="I736" ca="1">COLUMN(INDIRECT(A736))</f>
        <v>3</v>
      </c>
      <c r="M736" t="str" cm="1">
        <f t="array" aca="1" ref="M736" ca="1">IF(AND(J736="O",ISBLANK(INDIRECT(A736))),"Valeur obligatoire non renseignée","")</f>
        <v/>
      </c>
    </row>
    <row r="737" spans="1:13" x14ac:dyDescent="0.25">
      <c r="A737" s="91" t="s">
        <v>3598</v>
      </c>
      <c r="B737" cm="1">
        <f t="array" aca="1" ref="B737" ca="1">INDIRECT(A737)</f>
        <v>0</v>
      </c>
      <c r="C737">
        <f t="shared" ca="1" si="44"/>
        <v>5</v>
      </c>
      <c r="D737" t="str" cm="1">
        <f t="array" aca="1" ref="D737" ca="1">CELL("nomfichier",INDIRECT(A737))</f>
        <v>G:\SCPE\sdc\bq\6 - Mentions valorisantes\Certification environnementale\TEXTES_REGLEMENTATION_CE\Plans_contrôle et grilles\Grille audit niveau 3\Grille d'audit v1.11\[grille-audit-hvev4-v1.11-vf.xlsx]Surfaces_Horti</v>
      </c>
      <c r="E737">
        <f t="shared" ca="1" si="45"/>
        <v>200</v>
      </c>
      <c r="F737">
        <f t="shared" ca="1" si="46"/>
        <v>214</v>
      </c>
      <c r="G737" t="str">
        <f t="shared" ca="1" si="47"/>
        <v>Surfaces_Horti</v>
      </c>
      <c r="H737" cm="1">
        <f t="array" aca="1" ref="H737" ca="1">ROW(INDIRECT(A737))</f>
        <v>56</v>
      </c>
      <c r="I737" cm="1">
        <f t="array" aca="1" ref="I737" ca="1">COLUMN(INDIRECT(A737))</f>
        <v>4</v>
      </c>
      <c r="M737" t="str" cm="1">
        <f t="array" aca="1" ref="M737" ca="1">IF(AND(J737="O",ISBLANK(INDIRECT(A737))),"Valeur obligatoire non renseignée","")</f>
        <v/>
      </c>
    </row>
    <row r="738" spans="1:13" x14ac:dyDescent="0.25">
      <c r="A738" s="91" t="s">
        <v>3625</v>
      </c>
      <c r="B738" cm="1">
        <f t="array" aca="1" ref="B738" ca="1">INDIRECT(A738)</f>
        <v>0</v>
      </c>
      <c r="C738">
        <f t="shared" ca="1" si="44"/>
        <v>5</v>
      </c>
      <c r="D738" t="str" cm="1">
        <f t="array" aca="1" ref="D738" ca="1">CELL("nomfichier",INDIRECT(A738))</f>
        <v>G:\SCPE\sdc\bq\6 - Mentions valorisantes\Certification environnementale\TEXTES_REGLEMENTATION_CE\Plans_contrôle et grilles\Grille audit niveau 3\Grille d'audit v1.11\[grille-audit-hvev4-v1.11-vf.xlsx]Surfaces_Horti</v>
      </c>
      <c r="E738">
        <f t="shared" ca="1" si="45"/>
        <v>200</v>
      </c>
      <c r="F738">
        <f t="shared" ca="1" si="46"/>
        <v>214</v>
      </c>
      <c r="G738" t="str">
        <f t="shared" ca="1" si="47"/>
        <v>Surfaces_Horti</v>
      </c>
      <c r="H738" cm="1">
        <f t="array" aca="1" ref="H738" ca="1">ROW(INDIRECT(A738))</f>
        <v>56</v>
      </c>
      <c r="I738" cm="1">
        <f t="array" aca="1" ref="I738" ca="1">COLUMN(INDIRECT(A738))</f>
        <v>5</v>
      </c>
      <c r="M738" t="str" cm="1">
        <f t="array" aca="1" ref="M738" ca="1">IF(AND(J738="O",ISBLANK(INDIRECT(A738))),"Valeur obligatoire non renseignée","")</f>
        <v/>
      </c>
    </row>
    <row r="739" spans="1:13" x14ac:dyDescent="0.25">
      <c r="A739" s="91" t="s">
        <v>3652</v>
      </c>
      <c r="B739" cm="1">
        <f t="array" aca="1" ref="B739" ca="1">INDIRECT(A739)</f>
        <v>0</v>
      </c>
      <c r="C739">
        <f t="shared" ca="1" si="44"/>
        <v>5</v>
      </c>
      <c r="D739" t="str" cm="1">
        <f t="array" aca="1" ref="D739" ca="1">CELL("nomfichier",INDIRECT(A739))</f>
        <v>G:\SCPE\sdc\bq\6 - Mentions valorisantes\Certification environnementale\TEXTES_REGLEMENTATION_CE\Plans_contrôle et grilles\Grille audit niveau 3\Grille d'audit v1.11\[grille-audit-hvev4-v1.11-vf.xlsx]Surfaces_Horti</v>
      </c>
      <c r="E739">
        <f t="shared" ca="1" si="45"/>
        <v>200</v>
      </c>
      <c r="F739">
        <f t="shared" ca="1" si="46"/>
        <v>214</v>
      </c>
      <c r="G739" t="str">
        <f t="shared" ca="1" si="47"/>
        <v>Surfaces_Horti</v>
      </c>
      <c r="H739" cm="1">
        <f t="array" aca="1" ref="H739" ca="1">ROW(INDIRECT(A739))</f>
        <v>56</v>
      </c>
      <c r="I739" cm="1">
        <f t="array" aca="1" ref="I739" ca="1">COLUMN(INDIRECT(A739))</f>
        <v>6</v>
      </c>
      <c r="M739" t="str" cm="1">
        <f t="array" aca="1" ref="M739" ca="1">IF(AND(J739="O",ISBLANK(INDIRECT(A739))),"Valeur obligatoire non renseignée","")</f>
        <v/>
      </c>
    </row>
    <row r="740" spans="1:13" x14ac:dyDescent="0.25">
      <c r="A740" s="91" t="s">
        <v>3679</v>
      </c>
      <c r="B740" cm="1">
        <f t="array" aca="1" ref="B740" ca="1">INDIRECT(A740)</f>
        <v>0</v>
      </c>
      <c r="C740">
        <f t="shared" ca="1" si="44"/>
        <v>5</v>
      </c>
      <c r="D740" t="str" cm="1">
        <f t="array" aca="1" ref="D740" ca="1">CELL("nomfichier",INDIRECT(A740))</f>
        <v>G:\SCPE\sdc\bq\6 - Mentions valorisantes\Certification environnementale\TEXTES_REGLEMENTATION_CE\Plans_contrôle et grilles\Grille audit niveau 3\Grille d'audit v1.11\[grille-audit-hvev4-v1.11-vf.xlsx]Surfaces_Horti</v>
      </c>
      <c r="E740">
        <f t="shared" ca="1" si="45"/>
        <v>200</v>
      </c>
      <c r="F740">
        <f t="shared" ca="1" si="46"/>
        <v>214</v>
      </c>
      <c r="G740" t="str">
        <f t="shared" ca="1" si="47"/>
        <v>Surfaces_Horti</v>
      </c>
      <c r="H740" cm="1">
        <f t="array" aca="1" ref="H740" ca="1">ROW(INDIRECT(A740))</f>
        <v>56</v>
      </c>
      <c r="I740" cm="1">
        <f t="array" aca="1" ref="I740" ca="1">COLUMN(INDIRECT(A740))</f>
        <v>7</v>
      </c>
      <c r="M740" t="str" cm="1">
        <f t="array" aca="1" ref="M740" ca="1">IF(AND(J740="O",ISBLANK(INDIRECT(A740))),"Valeur obligatoire non renseignée","")</f>
        <v/>
      </c>
    </row>
    <row r="741" spans="1:13" x14ac:dyDescent="0.25">
      <c r="A741" s="91" t="s">
        <v>3706</v>
      </c>
      <c r="B741" cm="1">
        <f t="array" aca="1" ref="B741" ca="1">INDIRECT(A741)</f>
        <v>0</v>
      </c>
      <c r="C741">
        <f t="shared" ca="1" si="44"/>
        <v>5</v>
      </c>
      <c r="D741" t="str" cm="1">
        <f t="array" aca="1" ref="D741" ca="1">CELL("nomfichier",INDIRECT(A741))</f>
        <v>G:\SCPE\sdc\bq\6 - Mentions valorisantes\Certification environnementale\TEXTES_REGLEMENTATION_CE\Plans_contrôle et grilles\Grille audit niveau 3\Grille d'audit v1.11\[grille-audit-hvev4-v1.11-vf.xlsx]Surfaces_Horti</v>
      </c>
      <c r="E741">
        <f t="shared" ca="1" si="45"/>
        <v>200</v>
      </c>
      <c r="F741">
        <f t="shared" ca="1" si="46"/>
        <v>214</v>
      </c>
      <c r="G741" t="str">
        <f t="shared" ca="1" si="47"/>
        <v>Surfaces_Horti</v>
      </c>
      <c r="H741" cm="1">
        <f t="array" aca="1" ref="H741" ca="1">ROW(INDIRECT(A741))</f>
        <v>56</v>
      </c>
      <c r="I741" cm="1">
        <f t="array" aca="1" ref="I741" ca="1">COLUMN(INDIRECT(A741))</f>
        <v>8</v>
      </c>
      <c r="M741" t="str" cm="1">
        <f t="array" aca="1" ref="M741" ca="1">IF(AND(J741="O",ISBLANK(INDIRECT(A741))),"Valeur obligatoire non renseignée","")</f>
        <v/>
      </c>
    </row>
    <row r="742" spans="1:13" x14ac:dyDescent="0.25">
      <c r="A742" s="91" t="s">
        <v>3733</v>
      </c>
      <c r="B742" cm="1">
        <f t="array" aca="1" ref="B742" ca="1">INDIRECT(A742)</f>
        <v>0</v>
      </c>
      <c r="C742">
        <f t="shared" ca="1" si="44"/>
        <v>5</v>
      </c>
      <c r="D742" t="str" cm="1">
        <f t="array" aca="1" ref="D742" ca="1">CELL("nomfichier",INDIRECT(A742))</f>
        <v>G:\SCPE\sdc\bq\6 - Mentions valorisantes\Certification environnementale\TEXTES_REGLEMENTATION_CE\Plans_contrôle et grilles\Grille audit niveau 3\Grille d'audit v1.11\[grille-audit-hvev4-v1.11-vf.xlsx]Surfaces_Horti</v>
      </c>
      <c r="E742">
        <f t="shared" ca="1" si="45"/>
        <v>200</v>
      </c>
      <c r="F742">
        <f t="shared" ca="1" si="46"/>
        <v>214</v>
      </c>
      <c r="G742" t="str">
        <f t="shared" ca="1" si="47"/>
        <v>Surfaces_Horti</v>
      </c>
      <c r="H742" cm="1">
        <f t="array" aca="1" ref="H742" ca="1">ROW(INDIRECT(A742))</f>
        <v>56</v>
      </c>
      <c r="I742" cm="1">
        <f t="array" aca="1" ref="I742" ca="1">COLUMN(INDIRECT(A742))</f>
        <v>9</v>
      </c>
      <c r="M742" t="str" cm="1">
        <f t="array" aca="1" ref="M742" ca="1">IF(AND(J742="O",ISBLANK(INDIRECT(A742))),"Valeur obligatoire non renseignée","")</f>
        <v/>
      </c>
    </row>
    <row r="743" spans="1:13" x14ac:dyDescent="0.25">
      <c r="A743" s="91" t="s">
        <v>3760</v>
      </c>
      <c r="B743" cm="1">
        <f t="array" aca="1" ref="B743" ca="1">INDIRECT(A743)</f>
        <v>0</v>
      </c>
      <c r="C743">
        <f t="shared" ca="1" si="44"/>
        <v>5</v>
      </c>
      <c r="D743" t="str" cm="1">
        <f t="array" aca="1" ref="D743" ca="1">CELL("nomfichier",INDIRECT(A743))</f>
        <v>G:\SCPE\sdc\bq\6 - Mentions valorisantes\Certification environnementale\TEXTES_REGLEMENTATION_CE\Plans_contrôle et grilles\Grille audit niveau 3\Grille d'audit v1.11\[grille-audit-hvev4-v1.11-vf.xlsx]Surfaces_Horti</v>
      </c>
      <c r="E743">
        <f t="shared" ca="1" si="45"/>
        <v>200</v>
      </c>
      <c r="F743">
        <f t="shared" ca="1" si="46"/>
        <v>214</v>
      </c>
      <c r="G743" t="str">
        <f t="shared" ca="1" si="47"/>
        <v>Surfaces_Horti</v>
      </c>
      <c r="H743" cm="1">
        <f t="array" aca="1" ref="H743" ca="1">ROW(INDIRECT(A743))</f>
        <v>56</v>
      </c>
      <c r="I743" cm="1">
        <f t="array" aca="1" ref="I743" ca="1">COLUMN(INDIRECT(A743))</f>
        <v>10</v>
      </c>
      <c r="M743" t="str" cm="1">
        <f t="array" aca="1" ref="M743" ca="1">IF(AND(J743="O",ISBLANK(INDIRECT(A743))),"Valeur obligatoire non renseignée","")</f>
        <v/>
      </c>
    </row>
    <row r="744" spans="1:13" x14ac:dyDescent="0.25">
      <c r="A744" s="91" t="s">
        <v>3787</v>
      </c>
      <c r="B744" cm="1">
        <f t="array" aca="1" ref="B744" ca="1">INDIRECT(A744)</f>
        <v>0</v>
      </c>
      <c r="C744">
        <f t="shared" ca="1" si="44"/>
        <v>5</v>
      </c>
      <c r="D744" t="str" cm="1">
        <f t="array" aca="1" ref="D744" ca="1">CELL("nomfichier",INDIRECT(A744))</f>
        <v>G:\SCPE\sdc\bq\6 - Mentions valorisantes\Certification environnementale\TEXTES_REGLEMENTATION_CE\Plans_contrôle et grilles\Grille audit niveau 3\Grille d'audit v1.11\[grille-audit-hvev4-v1.11-vf.xlsx]Surfaces_Horti</v>
      </c>
      <c r="E744">
        <f t="shared" ca="1" si="45"/>
        <v>200</v>
      </c>
      <c r="F744">
        <f t="shared" ca="1" si="46"/>
        <v>214</v>
      </c>
      <c r="G744" t="str">
        <f t="shared" ca="1" si="47"/>
        <v>Surfaces_Horti</v>
      </c>
      <c r="H744" cm="1">
        <f t="array" aca="1" ref="H744" ca="1">ROW(INDIRECT(A744))</f>
        <v>56</v>
      </c>
      <c r="I744" cm="1">
        <f t="array" aca="1" ref="I744" ca="1">COLUMN(INDIRECT(A744))</f>
        <v>11</v>
      </c>
      <c r="M744" t="str" cm="1">
        <f t="array" aca="1" ref="M744" ca="1">IF(AND(J744="O",ISBLANK(INDIRECT(A744))),"Valeur obligatoire non renseignée","")</f>
        <v/>
      </c>
    </row>
    <row r="745" spans="1:13" x14ac:dyDescent="0.25">
      <c r="A745" s="91" t="s">
        <v>3814</v>
      </c>
      <c r="B745" cm="1">
        <f t="array" aca="1" ref="B745" ca="1">INDIRECT(A745)</f>
        <v>0</v>
      </c>
      <c r="C745">
        <f t="shared" ca="1" si="44"/>
        <v>5</v>
      </c>
      <c r="D745" t="str" cm="1">
        <f t="array" aca="1" ref="D745" ca="1">CELL("nomfichier",INDIRECT(A745))</f>
        <v>G:\SCPE\sdc\bq\6 - Mentions valorisantes\Certification environnementale\TEXTES_REGLEMENTATION_CE\Plans_contrôle et grilles\Grille audit niveau 3\Grille d'audit v1.11\[grille-audit-hvev4-v1.11-vf.xlsx]Surfaces_Horti</v>
      </c>
      <c r="E745">
        <f t="shared" ca="1" si="45"/>
        <v>200</v>
      </c>
      <c r="F745">
        <f t="shared" ca="1" si="46"/>
        <v>214</v>
      </c>
      <c r="G745" t="str">
        <f t="shared" ca="1" si="47"/>
        <v>Surfaces_Horti</v>
      </c>
      <c r="H745" cm="1">
        <f t="array" aca="1" ref="H745" ca="1">ROW(INDIRECT(A745))</f>
        <v>56</v>
      </c>
      <c r="I745" cm="1">
        <f t="array" aca="1" ref="I745" ca="1">COLUMN(INDIRECT(A745))</f>
        <v>12</v>
      </c>
      <c r="M745" t="str" cm="1">
        <f t="array" aca="1" ref="M745" ca="1">IF(AND(J745="O",ISBLANK(INDIRECT(A745))),"Valeur obligatoire non renseignée","")</f>
        <v/>
      </c>
    </row>
    <row r="746" spans="1:13" x14ac:dyDescent="0.25">
      <c r="A746" s="91" t="s">
        <v>3841</v>
      </c>
      <c r="B746" cm="1">
        <f t="array" aca="1" ref="B746" ca="1">INDIRECT(A746)</f>
        <v>0</v>
      </c>
      <c r="C746">
        <f t="shared" ca="1" si="44"/>
        <v>5</v>
      </c>
      <c r="D746" t="str" cm="1">
        <f t="array" aca="1" ref="D746" ca="1">CELL("nomfichier",INDIRECT(A746))</f>
        <v>G:\SCPE\sdc\bq\6 - Mentions valorisantes\Certification environnementale\TEXTES_REGLEMENTATION_CE\Plans_contrôle et grilles\Grille audit niveau 3\Grille d'audit v1.11\[grille-audit-hvev4-v1.11-vf.xlsx]Surfaces_Horti</v>
      </c>
      <c r="E746">
        <f t="shared" ca="1" si="45"/>
        <v>200</v>
      </c>
      <c r="F746">
        <f t="shared" ca="1" si="46"/>
        <v>214</v>
      </c>
      <c r="G746" t="str">
        <f t="shared" ca="1" si="47"/>
        <v>Surfaces_Horti</v>
      </c>
      <c r="H746" cm="1">
        <f t="array" aca="1" ref="H746" ca="1">ROW(INDIRECT(A746))</f>
        <v>56</v>
      </c>
      <c r="I746" cm="1">
        <f t="array" aca="1" ref="I746" ca="1">COLUMN(INDIRECT(A746))</f>
        <v>13</v>
      </c>
      <c r="M746" t="str" cm="1">
        <f t="array" aca="1" ref="M746" ca="1">IF(AND(J746="O",ISBLANK(INDIRECT(A746))),"Valeur obligatoire non renseignée","")</f>
        <v/>
      </c>
    </row>
    <row r="747" spans="1:13" x14ac:dyDescent="0.25">
      <c r="A747" s="91" t="s">
        <v>3868</v>
      </c>
      <c r="B747" cm="1">
        <f t="array" aca="1" ref="B747" ca="1">INDIRECT(A747)</f>
        <v>0</v>
      </c>
      <c r="C747">
        <f t="shared" ca="1" si="44"/>
        <v>5</v>
      </c>
      <c r="D747" t="str" cm="1">
        <f t="array" aca="1" ref="D747" ca="1">CELL("nomfichier",INDIRECT(A747))</f>
        <v>G:\SCPE\sdc\bq\6 - Mentions valorisantes\Certification environnementale\TEXTES_REGLEMENTATION_CE\Plans_contrôle et grilles\Grille audit niveau 3\Grille d'audit v1.11\[grille-audit-hvev4-v1.11-vf.xlsx]Surfaces_Horti</v>
      </c>
      <c r="E747">
        <f t="shared" ca="1" si="45"/>
        <v>200</v>
      </c>
      <c r="F747">
        <f t="shared" ca="1" si="46"/>
        <v>214</v>
      </c>
      <c r="G747" t="str">
        <f t="shared" ca="1" si="47"/>
        <v>Surfaces_Horti</v>
      </c>
      <c r="H747" cm="1">
        <f t="array" aca="1" ref="H747" ca="1">ROW(INDIRECT(A747))</f>
        <v>56</v>
      </c>
      <c r="I747" cm="1">
        <f t="array" aca="1" ref="I747" ca="1">COLUMN(INDIRECT(A747))</f>
        <v>14</v>
      </c>
      <c r="M747" t="str" cm="1">
        <f t="array" aca="1" ref="M747" ca="1">IF(AND(J747="O",ISBLANK(INDIRECT(A747))),"Valeur obligatoire non renseignée","")</f>
        <v/>
      </c>
    </row>
    <row r="748" spans="1:13" x14ac:dyDescent="0.25">
      <c r="A748" s="91" t="s">
        <v>3545</v>
      </c>
      <c r="B748" cm="1">
        <f t="array" aca="1" ref="B748" ca="1">INDIRECT(A748)</f>
        <v>0</v>
      </c>
      <c r="C748">
        <f t="shared" ca="1" si="44"/>
        <v>5</v>
      </c>
      <c r="D748" t="str" cm="1">
        <f t="array" aca="1" ref="D748" ca="1">CELL("nomfichier",INDIRECT(A748))</f>
        <v>G:\SCPE\sdc\bq\6 - Mentions valorisantes\Certification environnementale\TEXTES_REGLEMENTATION_CE\Plans_contrôle et grilles\Grille audit niveau 3\Grille d'audit v1.11\[grille-audit-hvev4-v1.11-vf.xlsx]Surfaces_Horti</v>
      </c>
      <c r="E748">
        <f t="shared" ca="1" si="45"/>
        <v>200</v>
      </c>
      <c r="F748">
        <f t="shared" ca="1" si="46"/>
        <v>214</v>
      </c>
      <c r="G748" t="str">
        <f t="shared" ca="1" si="47"/>
        <v>Surfaces_Horti</v>
      </c>
      <c r="H748" cm="1">
        <f t="array" aca="1" ref="H748" ca="1">ROW(INDIRECT(A748))</f>
        <v>58</v>
      </c>
      <c r="I748" cm="1">
        <f t="array" aca="1" ref="I748" ca="1">COLUMN(INDIRECT(A748))</f>
        <v>2</v>
      </c>
      <c r="M748" t="str" cm="1">
        <f t="array" aca="1" ref="M748" ca="1">IF(AND(J748="O",ISBLANK(INDIRECT(A748))),"Valeur obligatoire non renseignée","")</f>
        <v/>
      </c>
    </row>
    <row r="749" spans="1:13" x14ac:dyDescent="0.25">
      <c r="A749" s="91" t="s">
        <v>3572</v>
      </c>
      <c r="B749" cm="1">
        <f t="array" aca="1" ref="B749" ca="1">INDIRECT(A749)</f>
        <v>0</v>
      </c>
      <c r="C749">
        <f t="shared" ca="1" si="44"/>
        <v>5</v>
      </c>
      <c r="D749" t="str" cm="1">
        <f t="array" aca="1" ref="D749" ca="1">CELL("nomfichier",INDIRECT(A749))</f>
        <v>G:\SCPE\sdc\bq\6 - Mentions valorisantes\Certification environnementale\TEXTES_REGLEMENTATION_CE\Plans_contrôle et grilles\Grille audit niveau 3\Grille d'audit v1.11\[grille-audit-hvev4-v1.11-vf.xlsx]Surfaces_Horti</v>
      </c>
      <c r="E749">
        <f t="shared" ca="1" si="45"/>
        <v>200</v>
      </c>
      <c r="F749">
        <f t="shared" ca="1" si="46"/>
        <v>214</v>
      </c>
      <c r="G749" t="str">
        <f t="shared" ca="1" si="47"/>
        <v>Surfaces_Horti</v>
      </c>
      <c r="H749" cm="1">
        <f t="array" aca="1" ref="H749" ca="1">ROW(INDIRECT(A749))</f>
        <v>58</v>
      </c>
      <c r="I749" cm="1">
        <f t="array" aca="1" ref="I749" ca="1">COLUMN(INDIRECT(A749))</f>
        <v>3</v>
      </c>
      <c r="M749" t="str" cm="1">
        <f t="array" aca="1" ref="M749" ca="1">IF(AND(J749="O",ISBLANK(INDIRECT(A749))),"Valeur obligatoire non renseignée","")</f>
        <v/>
      </c>
    </row>
    <row r="750" spans="1:13" x14ac:dyDescent="0.25">
      <c r="A750" s="91" t="s">
        <v>3599</v>
      </c>
      <c r="B750" cm="1">
        <f t="array" aca="1" ref="B750" ca="1">INDIRECT(A750)</f>
        <v>0</v>
      </c>
      <c r="C750">
        <f t="shared" ca="1" si="44"/>
        <v>5</v>
      </c>
      <c r="D750" t="str" cm="1">
        <f t="array" aca="1" ref="D750" ca="1">CELL("nomfichier",INDIRECT(A750))</f>
        <v>G:\SCPE\sdc\bq\6 - Mentions valorisantes\Certification environnementale\TEXTES_REGLEMENTATION_CE\Plans_contrôle et grilles\Grille audit niveau 3\Grille d'audit v1.11\[grille-audit-hvev4-v1.11-vf.xlsx]Surfaces_Horti</v>
      </c>
      <c r="E750">
        <f t="shared" ca="1" si="45"/>
        <v>200</v>
      </c>
      <c r="F750">
        <f t="shared" ca="1" si="46"/>
        <v>214</v>
      </c>
      <c r="G750" t="str">
        <f t="shared" ca="1" si="47"/>
        <v>Surfaces_Horti</v>
      </c>
      <c r="H750" cm="1">
        <f t="array" aca="1" ref="H750" ca="1">ROW(INDIRECT(A750))</f>
        <v>58</v>
      </c>
      <c r="I750" cm="1">
        <f t="array" aca="1" ref="I750" ca="1">COLUMN(INDIRECT(A750))</f>
        <v>4</v>
      </c>
      <c r="M750" t="str" cm="1">
        <f t="array" aca="1" ref="M750" ca="1">IF(AND(J750="O",ISBLANK(INDIRECT(A750))),"Valeur obligatoire non renseignée","")</f>
        <v/>
      </c>
    </row>
    <row r="751" spans="1:13" x14ac:dyDescent="0.25">
      <c r="A751" s="91" t="s">
        <v>3626</v>
      </c>
      <c r="B751" cm="1">
        <f t="array" aca="1" ref="B751" ca="1">INDIRECT(A751)</f>
        <v>0</v>
      </c>
      <c r="C751">
        <f t="shared" ca="1" si="44"/>
        <v>5</v>
      </c>
      <c r="D751" t="str" cm="1">
        <f t="array" aca="1" ref="D751" ca="1">CELL("nomfichier",INDIRECT(A751))</f>
        <v>G:\SCPE\sdc\bq\6 - Mentions valorisantes\Certification environnementale\TEXTES_REGLEMENTATION_CE\Plans_contrôle et grilles\Grille audit niveau 3\Grille d'audit v1.11\[grille-audit-hvev4-v1.11-vf.xlsx]Surfaces_Horti</v>
      </c>
      <c r="E751">
        <f t="shared" ca="1" si="45"/>
        <v>200</v>
      </c>
      <c r="F751">
        <f t="shared" ca="1" si="46"/>
        <v>214</v>
      </c>
      <c r="G751" t="str">
        <f t="shared" ca="1" si="47"/>
        <v>Surfaces_Horti</v>
      </c>
      <c r="H751" cm="1">
        <f t="array" aca="1" ref="H751" ca="1">ROW(INDIRECT(A751))</f>
        <v>58</v>
      </c>
      <c r="I751" cm="1">
        <f t="array" aca="1" ref="I751" ca="1">COLUMN(INDIRECT(A751))</f>
        <v>5</v>
      </c>
      <c r="M751" t="str" cm="1">
        <f t="array" aca="1" ref="M751" ca="1">IF(AND(J751="O",ISBLANK(INDIRECT(A751))),"Valeur obligatoire non renseignée","")</f>
        <v/>
      </c>
    </row>
    <row r="752" spans="1:13" x14ac:dyDescent="0.25">
      <c r="A752" s="91" t="s">
        <v>3653</v>
      </c>
      <c r="B752" cm="1">
        <f t="array" aca="1" ref="B752" ca="1">INDIRECT(A752)</f>
        <v>0</v>
      </c>
      <c r="C752">
        <f t="shared" ca="1" si="44"/>
        <v>5</v>
      </c>
      <c r="D752" t="str" cm="1">
        <f t="array" aca="1" ref="D752" ca="1">CELL("nomfichier",INDIRECT(A752))</f>
        <v>G:\SCPE\sdc\bq\6 - Mentions valorisantes\Certification environnementale\TEXTES_REGLEMENTATION_CE\Plans_contrôle et grilles\Grille audit niveau 3\Grille d'audit v1.11\[grille-audit-hvev4-v1.11-vf.xlsx]Surfaces_Horti</v>
      </c>
      <c r="E752">
        <f t="shared" ca="1" si="45"/>
        <v>200</v>
      </c>
      <c r="F752">
        <f t="shared" ca="1" si="46"/>
        <v>214</v>
      </c>
      <c r="G752" t="str">
        <f t="shared" ca="1" si="47"/>
        <v>Surfaces_Horti</v>
      </c>
      <c r="H752" cm="1">
        <f t="array" aca="1" ref="H752" ca="1">ROW(INDIRECT(A752))</f>
        <v>58</v>
      </c>
      <c r="I752" cm="1">
        <f t="array" aca="1" ref="I752" ca="1">COLUMN(INDIRECT(A752))</f>
        <v>6</v>
      </c>
      <c r="M752" t="str" cm="1">
        <f t="array" aca="1" ref="M752" ca="1">IF(AND(J752="O",ISBLANK(INDIRECT(A752))),"Valeur obligatoire non renseignée","")</f>
        <v/>
      </c>
    </row>
    <row r="753" spans="1:13" x14ac:dyDescent="0.25">
      <c r="A753" s="91" t="s">
        <v>3680</v>
      </c>
      <c r="B753" cm="1">
        <f t="array" aca="1" ref="B753" ca="1">INDIRECT(A753)</f>
        <v>0</v>
      </c>
      <c r="C753">
        <f t="shared" ca="1" si="44"/>
        <v>5</v>
      </c>
      <c r="D753" t="str" cm="1">
        <f t="array" aca="1" ref="D753" ca="1">CELL("nomfichier",INDIRECT(A753))</f>
        <v>G:\SCPE\sdc\bq\6 - Mentions valorisantes\Certification environnementale\TEXTES_REGLEMENTATION_CE\Plans_contrôle et grilles\Grille audit niveau 3\Grille d'audit v1.11\[grille-audit-hvev4-v1.11-vf.xlsx]Surfaces_Horti</v>
      </c>
      <c r="E753">
        <f t="shared" ca="1" si="45"/>
        <v>200</v>
      </c>
      <c r="F753">
        <f t="shared" ca="1" si="46"/>
        <v>214</v>
      </c>
      <c r="G753" t="str">
        <f t="shared" ca="1" si="47"/>
        <v>Surfaces_Horti</v>
      </c>
      <c r="H753" cm="1">
        <f t="array" aca="1" ref="H753" ca="1">ROW(INDIRECT(A753))</f>
        <v>58</v>
      </c>
      <c r="I753" cm="1">
        <f t="array" aca="1" ref="I753" ca="1">COLUMN(INDIRECT(A753))</f>
        <v>7</v>
      </c>
      <c r="M753" t="str" cm="1">
        <f t="array" aca="1" ref="M753" ca="1">IF(AND(J753="O",ISBLANK(INDIRECT(A753))),"Valeur obligatoire non renseignée","")</f>
        <v/>
      </c>
    </row>
    <row r="754" spans="1:13" x14ac:dyDescent="0.25">
      <c r="A754" s="91" t="s">
        <v>3707</v>
      </c>
      <c r="B754" cm="1">
        <f t="array" aca="1" ref="B754" ca="1">INDIRECT(A754)</f>
        <v>0</v>
      </c>
      <c r="C754">
        <f t="shared" ca="1" si="44"/>
        <v>5</v>
      </c>
      <c r="D754" t="str" cm="1">
        <f t="array" aca="1" ref="D754" ca="1">CELL("nomfichier",INDIRECT(A754))</f>
        <v>G:\SCPE\sdc\bq\6 - Mentions valorisantes\Certification environnementale\TEXTES_REGLEMENTATION_CE\Plans_contrôle et grilles\Grille audit niveau 3\Grille d'audit v1.11\[grille-audit-hvev4-v1.11-vf.xlsx]Surfaces_Horti</v>
      </c>
      <c r="E754">
        <f t="shared" ca="1" si="45"/>
        <v>200</v>
      </c>
      <c r="F754">
        <f t="shared" ca="1" si="46"/>
        <v>214</v>
      </c>
      <c r="G754" t="str">
        <f t="shared" ca="1" si="47"/>
        <v>Surfaces_Horti</v>
      </c>
      <c r="H754" cm="1">
        <f t="array" aca="1" ref="H754" ca="1">ROW(INDIRECT(A754))</f>
        <v>58</v>
      </c>
      <c r="I754" cm="1">
        <f t="array" aca="1" ref="I754" ca="1">COLUMN(INDIRECT(A754))</f>
        <v>8</v>
      </c>
      <c r="M754" t="str" cm="1">
        <f t="array" aca="1" ref="M754" ca="1">IF(AND(J754="O",ISBLANK(INDIRECT(A754))),"Valeur obligatoire non renseignée","")</f>
        <v/>
      </c>
    </row>
    <row r="755" spans="1:13" x14ac:dyDescent="0.25">
      <c r="A755" s="91" t="s">
        <v>3734</v>
      </c>
      <c r="B755" cm="1">
        <f t="array" aca="1" ref="B755" ca="1">INDIRECT(A755)</f>
        <v>0</v>
      </c>
      <c r="C755">
        <f t="shared" ca="1" si="44"/>
        <v>5</v>
      </c>
      <c r="D755" t="str" cm="1">
        <f t="array" aca="1" ref="D755" ca="1">CELL("nomfichier",INDIRECT(A755))</f>
        <v>G:\SCPE\sdc\bq\6 - Mentions valorisantes\Certification environnementale\TEXTES_REGLEMENTATION_CE\Plans_contrôle et grilles\Grille audit niveau 3\Grille d'audit v1.11\[grille-audit-hvev4-v1.11-vf.xlsx]Surfaces_Horti</v>
      </c>
      <c r="E755">
        <f t="shared" ca="1" si="45"/>
        <v>200</v>
      </c>
      <c r="F755">
        <f t="shared" ca="1" si="46"/>
        <v>214</v>
      </c>
      <c r="G755" t="str">
        <f t="shared" ca="1" si="47"/>
        <v>Surfaces_Horti</v>
      </c>
      <c r="H755" cm="1">
        <f t="array" aca="1" ref="H755" ca="1">ROW(INDIRECT(A755))</f>
        <v>58</v>
      </c>
      <c r="I755" cm="1">
        <f t="array" aca="1" ref="I755" ca="1">COLUMN(INDIRECT(A755))</f>
        <v>9</v>
      </c>
      <c r="M755" t="str" cm="1">
        <f t="array" aca="1" ref="M755" ca="1">IF(AND(J755="O",ISBLANK(INDIRECT(A755))),"Valeur obligatoire non renseignée","")</f>
        <v/>
      </c>
    </row>
    <row r="756" spans="1:13" x14ac:dyDescent="0.25">
      <c r="A756" s="91" t="s">
        <v>3761</v>
      </c>
      <c r="B756" cm="1">
        <f t="array" aca="1" ref="B756" ca="1">INDIRECT(A756)</f>
        <v>0</v>
      </c>
      <c r="C756">
        <f t="shared" ca="1" si="44"/>
        <v>5</v>
      </c>
      <c r="D756" t="str" cm="1">
        <f t="array" aca="1" ref="D756" ca="1">CELL("nomfichier",INDIRECT(A756))</f>
        <v>G:\SCPE\sdc\bq\6 - Mentions valorisantes\Certification environnementale\TEXTES_REGLEMENTATION_CE\Plans_contrôle et grilles\Grille audit niveau 3\Grille d'audit v1.11\[grille-audit-hvev4-v1.11-vf.xlsx]Surfaces_Horti</v>
      </c>
      <c r="E756">
        <f t="shared" ca="1" si="45"/>
        <v>200</v>
      </c>
      <c r="F756">
        <f t="shared" ca="1" si="46"/>
        <v>214</v>
      </c>
      <c r="G756" t="str">
        <f t="shared" ca="1" si="47"/>
        <v>Surfaces_Horti</v>
      </c>
      <c r="H756" cm="1">
        <f t="array" aca="1" ref="H756" ca="1">ROW(INDIRECT(A756))</f>
        <v>58</v>
      </c>
      <c r="I756" cm="1">
        <f t="array" aca="1" ref="I756" ca="1">COLUMN(INDIRECT(A756))</f>
        <v>10</v>
      </c>
      <c r="M756" t="str" cm="1">
        <f t="array" aca="1" ref="M756" ca="1">IF(AND(J756="O",ISBLANK(INDIRECT(A756))),"Valeur obligatoire non renseignée","")</f>
        <v/>
      </c>
    </row>
    <row r="757" spans="1:13" x14ac:dyDescent="0.25">
      <c r="A757" s="91" t="s">
        <v>3788</v>
      </c>
      <c r="B757" cm="1">
        <f t="array" aca="1" ref="B757" ca="1">INDIRECT(A757)</f>
        <v>0</v>
      </c>
      <c r="C757">
        <f t="shared" ca="1" si="44"/>
        <v>5</v>
      </c>
      <c r="D757" t="str" cm="1">
        <f t="array" aca="1" ref="D757" ca="1">CELL("nomfichier",INDIRECT(A757))</f>
        <v>G:\SCPE\sdc\bq\6 - Mentions valorisantes\Certification environnementale\TEXTES_REGLEMENTATION_CE\Plans_contrôle et grilles\Grille audit niveau 3\Grille d'audit v1.11\[grille-audit-hvev4-v1.11-vf.xlsx]Surfaces_Horti</v>
      </c>
      <c r="E757">
        <f t="shared" ca="1" si="45"/>
        <v>200</v>
      </c>
      <c r="F757">
        <f t="shared" ca="1" si="46"/>
        <v>214</v>
      </c>
      <c r="G757" t="str">
        <f t="shared" ca="1" si="47"/>
        <v>Surfaces_Horti</v>
      </c>
      <c r="H757" cm="1">
        <f t="array" aca="1" ref="H757" ca="1">ROW(INDIRECT(A757))</f>
        <v>58</v>
      </c>
      <c r="I757" cm="1">
        <f t="array" aca="1" ref="I757" ca="1">COLUMN(INDIRECT(A757))</f>
        <v>11</v>
      </c>
      <c r="M757" t="str" cm="1">
        <f t="array" aca="1" ref="M757" ca="1">IF(AND(J757="O",ISBLANK(INDIRECT(A757))),"Valeur obligatoire non renseignée","")</f>
        <v/>
      </c>
    </row>
    <row r="758" spans="1:13" x14ac:dyDescent="0.25">
      <c r="A758" s="91" t="s">
        <v>3815</v>
      </c>
      <c r="B758" cm="1">
        <f t="array" aca="1" ref="B758" ca="1">INDIRECT(A758)</f>
        <v>0</v>
      </c>
      <c r="C758">
        <f t="shared" ca="1" si="44"/>
        <v>5</v>
      </c>
      <c r="D758" t="str" cm="1">
        <f t="array" aca="1" ref="D758" ca="1">CELL("nomfichier",INDIRECT(A758))</f>
        <v>G:\SCPE\sdc\bq\6 - Mentions valorisantes\Certification environnementale\TEXTES_REGLEMENTATION_CE\Plans_contrôle et grilles\Grille audit niveau 3\Grille d'audit v1.11\[grille-audit-hvev4-v1.11-vf.xlsx]Surfaces_Horti</v>
      </c>
      <c r="E758">
        <f t="shared" ca="1" si="45"/>
        <v>200</v>
      </c>
      <c r="F758">
        <f t="shared" ca="1" si="46"/>
        <v>214</v>
      </c>
      <c r="G758" t="str">
        <f t="shared" ca="1" si="47"/>
        <v>Surfaces_Horti</v>
      </c>
      <c r="H758" cm="1">
        <f t="array" aca="1" ref="H758" ca="1">ROW(INDIRECT(A758))</f>
        <v>58</v>
      </c>
      <c r="I758" cm="1">
        <f t="array" aca="1" ref="I758" ca="1">COLUMN(INDIRECT(A758))</f>
        <v>12</v>
      </c>
      <c r="M758" t="str" cm="1">
        <f t="array" aca="1" ref="M758" ca="1">IF(AND(J758="O",ISBLANK(INDIRECT(A758))),"Valeur obligatoire non renseignée","")</f>
        <v/>
      </c>
    </row>
    <row r="759" spans="1:13" x14ac:dyDescent="0.25">
      <c r="A759" s="91" t="s">
        <v>3842</v>
      </c>
      <c r="B759" cm="1">
        <f t="array" aca="1" ref="B759" ca="1">INDIRECT(A759)</f>
        <v>0</v>
      </c>
      <c r="C759">
        <f t="shared" ca="1" si="44"/>
        <v>5</v>
      </c>
      <c r="D759" t="str" cm="1">
        <f t="array" aca="1" ref="D759" ca="1">CELL("nomfichier",INDIRECT(A759))</f>
        <v>G:\SCPE\sdc\bq\6 - Mentions valorisantes\Certification environnementale\TEXTES_REGLEMENTATION_CE\Plans_contrôle et grilles\Grille audit niveau 3\Grille d'audit v1.11\[grille-audit-hvev4-v1.11-vf.xlsx]Surfaces_Horti</v>
      </c>
      <c r="E759">
        <f t="shared" ca="1" si="45"/>
        <v>200</v>
      </c>
      <c r="F759">
        <f t="shared" ca="1" si="46"/>
        <v>214</v>
      </c>
      <c r="G759" t="str">
        <f t="shared" ca="1" si="47"/>
        <v>Surfaces_Horti</v>
      </c>
      <c r="H759" cm="1">
        <f t="array" aca="1" ref="H759" ca="1">ROW(INDIRECT(A759))</f>
        <v>58</v>
      </c>
      <c r="I759" cm="1">
        <f t="array" aca="1" ref="I759" ca="1">COLUMN(INDIRECT(A759))</f>
        <v>13</v>
      </c>
      <c r="M759" t="str" cm="1">
        <f t="array" aca="1" ref="M759" ca="1">IF(AND(J759="O",ISBLANK(INDIRECT(A759))),"Valeur obligatoire non renseignée","")</f>
        <v/>
      </c>
    </row>
    <row r="760" spans="1:13" x14ac:dyDescent="0.25">
      <c r="A760" s="91" t="s">
        <v>3869</v>
      </c>
      <c r="B760" cm="1">
        <f t="array" aca="1" ref="B760" ca="1">INDIRECT(A760)</f>
        <v>0</v>
      </c>
      <c r="C760">
        <f t="shared" ca="1" si="44"/>
        <v>5</v>
      </c>
      <c r="D760" t="str" cm="1">
        <f t="array" aca="1" ref="D760" ca="1">CELL("nomfichier",INDIRECT(A760))</f>
        <v>G:\SCPE\sdc\bq\6 - Mentions valorisantes\Certification environnementale\TEXTES_REGLEMENTATION_CE\Plans_contrôle et grilles\Grille audit niveau 3\Grille d'audit v1.11\[grille-audit-hvev4-v1.11-vf.xlsx]Surfaces_Horti</v>
      </c>
      <c r="E760">
        <f t="shared" ca="1" si="45"/>
        <v>200</v>
      </c>
      <c r="F760">
        <f t="shared" ca="1" si="46"/>
        <v>214</v>
      </c>
      <c r="G760" t="str">
        <f t="shared" ca="1" si="47"/>
        <v>Surfaces_Horti</v>
      </c>
      <c r="H760" cm="1">
        <f t="array" aca="1" ref="H760" ca="1">ROW(INDIRECT(A760))</f>
        <v>58</v>
      </c>
      <c r="I760" cm="1">
        <f t="array" aca="1" ref="I760" ca="1">COLUMN(INDIRECT(A760))</f>
        <v>14</v>
      </c>
      <c r="M760" t="str" cm="1">
        <f t="array" aca="1" ref="M760" ca="1">IF(AND(J760="O",ISBLANK(INDIRECT(A760))),"Valeur obligatoire non renseignée","")</f>
        <v/>
      </c>
    </row>
    <row r="761" spans="1:13" x14ac:dyDescent="0.25">
      <c r="A761" s="91" t="s">
        <v>3546</v>
      </c>
      <c r="B761" cm="1">
        <f t="array" aca="1" ref="B761" ca="1">INDIRECT(A761)</f>
        <v>0</v>
      </c>
      <c r="C761">
        <f t="shared" ca="1" si="44"/>
        <v>5</v>
      </c>
      <c r="D761" t="str" cm="1">
        <f t="array" aca="1" ref="D761" ca="1">CELL("nomfichier",INDIRECT(A761))</f>
        <v>G:\SCPE\sdc\bq\6 - Mentions valorisantes\Certification environnementale\TEXTES_REGLEMENTATION_CE\Plans_contrôle et grilles\Grille audit niveau 3\Grille d'audit v1.11\[grille-audit-hvev4-v1.11-vf.xlsx]Surfaces_Horti</v>
      </c>
      <c r="E761">
        <f t="shared" ca="1" si="45"/>
        <v>200</v>
      </c>
      <c r="F761">
        <f t="shared" ca="1" si="46"/>
        <v>214</v>
      </c>
      <c r="G761" t="str">
        <f t="shared" ca="1" si="47"/>
        <v>Surfaces_Horti</v>
      </c>
      <c r="H761" cm="1">
        <f t="array" aca="1" ref="H761" ca="1">ROW(INDIRECT(A761))</f>
        <v>59</v>
      </c>
      <c r="I761" cm="1">
        <f t="array" aca="1" ref="I761" ca="1">COLUMN(INDIRECT(A761))</f>
        <v>2</v>
      </c>
      <c r="M761" t="str" cm="1">
        <f t="array" aca="1" ref="M761" ca="1">IF(AND(J761="O",ISBLANK(INDIRECT(A761))),"Valeur obligatoire non renseignée","")</f>
        <v/>
      </c>
    </row>
    <row r="762" spans="1:13" x14ac:dyDescent="0.25">
      <c r="A762" s="91" t="s">
        <v>3573</v>
      </c>
      <c r="B762" cm="1">
        <f t="array" aca="1" ref="B762" ca="1">INDIRECT(A762)</f>
        <v>0</v>
      </c>
      <c r="C762">
        <f t="shared" ca="1" si="44"/>
        <v>5</v>
      </c>
      <c r="D762" t="str" cm="1">
        <f t="array" aca="1" ref="D762" ca="1">CELL("nomfichier",INDIRECT(A762))</f>
        <v>G:\SCPE\sdc\bq\6 - Mentions valorisantes\Certification environnementale\TEXTES_REGLEMENTATION_CE\Plans_contrôle et grilles\Grille audit niveau 3\Grille d'audit v1.11\[grille-audit-hvev4-v1.11-vf.xlsx]Surfaces_Horti</v>
      </c>
      <c r="E762">
        <f t="shared" ca="1" si="45"/>
        <v>200</v>
      </c>
      <c r="F762">
        <f t="shared" ca="1" si="46"/>
        <v>214</v>
      </c>
      <c r="G762" t="str">
        <f t="shared" ca="1" si="47"/>
        <v>Surfaces_Horti</v>
      </c>
      <c r="H762" cm="1">
        <f t="array" aca="1" ref="H762" ca="1">ROW(INDIRECT(A762))</f>
        <v>59</v>
      </c>
      <c r="I762" cm="1">
        <f t="array" aca="1" ref="I762" ca="1">COLUMN(INDIRECT(A762))</f>
        <v>3</v>
      </c>
      <c r="M762" t="str" cm="1">
        <f t="array" aca="1" ref="M762" ca="1">IF(AND(J762="O",ISBLANK(INDIRECT(A762))),"Valeur obligatoire non renseignée","")</f>
        <v/>
      </c>
    </row>
    <row r="763" spans="1:13" x14ac:dyDescent="0.25">
      <c r="A763" s="91" t="s">
        <v>3600</v>
      </c>
      <c r="B763" cm="1">
        <f t="array" aca="1" ref="B763" ca="1">INDIRECT(A763)</f>
        <v>0</v>
      </c>
      <c r="C763">
        <f t="shared" ca="1" si="44"/>
        <v>5</v>
      </c>
      <c r="D763" t="str" cm="1">
        <f t="array" aca="1" ref="D763" ca="1">CELL("nomfichier",INDIRECT(A763))</f>
        <v>G:\SCPE\sdc\bq\6 - Mentions valorisantes\Certification environnementale\TEXTES_REGLEMENTATION_CE\Plans_contrôle et grilles\Grille audit niveau 3\Grille d'audit v1.11\[grille-audit-hvev4-v1.11-vf.xlsx]Surfaces_Horti</v>
      </c>
      <c r="E763">
        <f t="shared" ca="1" si="45"/>
        <v>200</v>
      </c>
      <c r="F763">
        <f t="shared" ca="1" si="46"/>
        <v>214</v>
      </c>
      <c r="G763" t="str">
        <f t="shared" ca="1" si="47"/>
        <v>Surfaces_Horti</v>
      </c>
      <c r="H763" cm="1">
        <f t="array" aca="1" ref="H763" ca="1">ROW(INDIRECT(A763))</f>
        <v>59</v>
      </c>
      <c r="I763" cm="1">
        <f t="array" aca="1" ref="I763" ca="1">COLUMN(INDIRECT(A763))</f>
        <v>4</v>
      </c>
      <c r="M763" t="str" cm="1">
        <f t="array" aca="1" ref="M763" ca="1">IF(AND(J763="O",ISBLANK(INDIRECT(A763))),"Valeur obligatoire non renseignée","")</f>
        <v/>
      </c>
    </row>
    <row r="764" spans="1:13" x14ac:dyDescent="0.25">
      <c r="A764" s="91" t="s">
        <v>3627</v>
      </c>
      <c r="B764" cm="1">
        <f t="array" aca="1" ref="B764" ca="1">INDIRECT(A764)</f>
        <v>0</v>
      </c>
      <c r="C764">
        <f t="shared" ca="1" si="44"/>
        <v>5</v>
      </c>
      <c r="D764" t="str" cm="1">
        <f t="array" aca="1" ref="D764" ca="1">CELL("nomfichier",INDIRECT(A764))</f>
        <v>G:\SCPE\sdc\bq\6 - Mentions valorisantes\Certification environnementale\TEXTES_REGLEMENTATION_CE\Plans_contrôle et grilles\Grille audit niveau 3\Grille d'audit v1.11\[grille-audit-hvev4-v1.11-vf.xlsx]Surfaces_Horti</v>
      </c>
      <c r="E764">
        <f t="shared" ca="1" si="45"/>
        <v>200</v>
      </c>
      <c r="F764">
        <f t="shared" ca="1" si="46"/>
        <v>214</v>
      </c>
      <c r="G764" t="str">
        <f t="shared" ca="1" si="47"/>
        <v>Surfaces_Horti</v>
      </c>
      <c r="H764" cm="1">
        <f t="array" aca="1" ref="H764" ca="1">ROW(INDIRECT(A764))</f>
        <v>59</v>
      </c>
      <c r="I764" cm="1">
        <f t="array" aca="1" ref="I764" ca="1">COLUMN(INDIRECT(A764))</f>
        <v>5</v>
      </c>
      <c r="M764" t="str" cm="1">
        <f t="array" aca="1" ref="M764" ca="1">IF(AND(J764="O",ISBLANK(INDIRECT(A764))),"Valeur obligatoire non renseignée","")</f>
        <v/>
      </c>
    </row>
    <row r="765" spans="1:13" x14ac:dyDescent="0.25">
      <c r="A765" s="91" t="s">
        <v>3654</v>
      </c>
      <c r="B765" cm="1">
        <f t="array" aca="1" ref="B765" ca="1">INDIRECT(A765)</f>
        <v>0</v>
      </c>
      <c r="C765">
        <f t="shared" ca="1" si="44"/>
        <v>5</v>
      </c>
      <c r="D765" t="str" cm="1">
        <f t="array" aca="1" ref="D765" ca="1">CELL("nomfichier",INDIRECT(A765))</f>
        <v>G:\SCPE\sdc\bq\6 - Mentions valorisantes\Certification environnementale\TEXTES_REGLEMENTATION_CE\Plans_contrôle et grilles\Grille audit niveau 3\Grille d'audit v1.11\[grille-audit-hvev4-v1.11-vf.xlsx]Surfaces_Horti</v>
      </c>
      <c r="E765">
        <f t="shared" ca="1" si="45"/>
        <v>200</v>
      </c>
      <c r="F765">
        <f t="shared" ca="1" si="46"/>
        <v>214</v>
      </c>
      <c r="G765" t="str">
        <f t="shared" ca="1" si="47"/>
        <v>Surfaces_Horti</v>
      </c>
      <c r="H765" cm="1">
        <f t="array" aca="1" ref="H765" ca="1">ROW(INDIRECT(A765))</f>
        <v>59</v>
      </c>
      <c r="I765" cm="1">
        <f t="array" aca="1" ref="I765" ca="1">COLUMN(INDIRECT(A765))</f>
        <v>6</v>
      </c>
      <c r="M765" t="str" cm="1">
        <f t="array" aca="1" ref="M765" ca="1">IF(AND(J765="O",ISBLANK(INDIRECT(A765))),"Valeur obligatoire non renseignée","")</f>
        <v/>
      </c>
    </row>
    <row r="766" spans="1:13" x14ac:dyDescent="0.25">
      <c r="A766" s="91" t="s">
        <v>3681</v>
      </c>
      <c r="B766" cm="1">
        <f t="array" aca="1" ref="B766" ca="1">INDIRECT(A766)</f>
        <v>0</v>
      </c>
      <c r="C766">
        <f t="shared" ca="1" si="44"/>
        <v>5</v>
      </c>
      <c r="D766" t="str" cm="1">
        <f t="array" aca="1" ref="D766" ca="1">CELL("nomfichier",INDIRECT(A766))</f>
        <v>G:\SCPE\sdc\bq\6 - Mentions valorisantes\Certification environnementale\TEXTES_REGLEMENTATION_CE\Plans_contrôle et grilles\Grille audit niveau 3\Grille d'audit v1.11\[grille-audit-hvev4-v1.11-vf.xlsx]Surfaces_Horti</v>
      </c>
      <c r="E766">
        <f t="shared" ca="1" si="45"/>
        <v>200</v>
      </c>
      <c r="F766">
        <f t="shared" ca="1" si="46"/>
        <v>214</v>
      </c>
      <c r="G766" t="str">
        <f t="shared" ca="1" si="47"/>
        <v>Surfaces_Horti</v>
      </c>
      <c r="H766" cm="1">
        <f t="array" aca="1" ref="H766" ca="1">ROW(INDIRECT(A766))</f>
        <v>59</v>
      </c>
      <c r="I766" cm="1">
        <f t="array" aca="1" ref="I766" ca="1">COLUMN(INDIRECT(A766))</f>
        <v>7</v>
      </c>
      <c r="M766" t="str" cm="1">
        <f t="array" aca="1" ref="M766" ca="1">IF(AND(J766="O",ISBLANK(INDIRECT(A766))),"Valeur obligatoire non renseignée","")</f>
        <v/>
      </c>
    </row>
    <row r="767" spans="1:13" x14ac:dyDescent="0.25">
      <c r="A767" s="91" t="s">
        <v>3708</v>
      </c>
      <c r="B767" cm="1">
        <f t="array" aca="1" ref="B767" ca="1">INDIRECT(A767)</f>
        <v>0</v>
      </c>
      <c r="C767">
        <f t="shared" ca="1" si="44"/>
        <v>5</v>
      </c>
      <c r="D767" t="str" cm="1">
        <f t="array" aca="1" ref="D767" ca="1">CELL("nomfichier",INDIRECT(A767))</f>
        <v>G:\SCPE\sdc\bq\6 - Mentions valorisantes\Certification environnementale\TEXTES_REGLEMENTATION_CE\Plans_contrôle et grilles\Grille audit niveau 3\Grille d'audit v1.11\[grille-audit-hvev4-v1.11-vf.xlsx]Surfaces_Horti</v>
      </c>
      <c r="E767">
        <f t="shared" ca="1" si="45"/>
        <v>200</v>
      </c>
      <c r="F767">
        <f t="shared" ca="1" si="46"/>
        <v>214</v>
      </c>
      <c r="G767" t="str">
        <f t="shared" ca="1" si="47"/>
        <v>Surfaces_Horti</v>
      </c>
      <c r="H767" cm="1">
        <f t="array" aca="1" ref="H767" ca="1">ROW(INDIRECT(A767))</f>
        <v>59</v>
      </c>
      <c r="I767" cm="1">
        <f t="array" aca="1" ref="I767" ca="1">COLUMN(INDIRECT(A767))</f>
        <v>8</v>
      </c>
      <c r="M767" t="str" cm="1">
        <f t="array" aca="1" ref="M767" ca="1">IF(AND(J767="O",ISBLANK(INDIRECT(A767))),"Valeur obligatoire non renseignée","")</f>
        <v/>
      </c>
    </row>
    <row r="768" spans="1:13" x14ac:dyDescent="0.25">
      <c r="A768" s="91" t="s">
        <v>3735</v>
      </c>
      <c r="B768" cm="1">
        <f t="array" aca="1" ref="B768" ca="1">INDIRECT(A768)</f>
        <v>0</v>
      </c>
      <c r="C768">
        <f t="shared" ca="1" si="44"/>
        <v>5</v>
      </c>
      <c r="D768" t="str" cm="1">
        <f t="array" aca="1" ref="D768" ca="1">CELL("nomfichier",INDIRECT(A768))</f>
        <v>G:\SCPE\sdc\bq\6 - Mentions valorisantes\Certification environnementale\TEXTES_REGLEMENTATION_CE\Plans_contrôle et grilles\Grille audit niveau 3\Grille d'audit v1.11\[grille-audit-hvev4-v1.11-vf.xlsx]Surfaces_Horti</v>
      </c>
      <c r="E768">
        <f t="shared" ca="1" si="45"/>
        <v>200</v>
      </c>
      <c r="F768">
        <f t="shared" ca="1" si="46"/>
        <v>214</v>
      </c>
      <c r="G768" t="str">
        <f t="shared" ca="1" si="47"/>
        <v>Surfaces_Horti</v>
      </c>
      <c r="H768" cm="1">
        <f t="array" aca="1" ref="H768" ca="1">ROW(INDIRECT(A768))</f>
        <v>59</v>
      </c>
      <c r="I768" cm="1">
        <f t="array" aca="1" ref="I768" ca="1">COLUMN(INDIRECT(A768))</f>
        <v>9</v>
      </c>
      <c r="M768" t="str" cm="1">
        <f t="array" aca="1" ref="M768" ca="1">IF(AND(J768="O",ISBLANK(INDIRECT(A768))),"Valeur obligatoire non renseignée","")</f>
        <v/>
      </c>
    </row>
    <row r="769" spans="1:13" x14ac:dyDescent="0.25">
      <c r="A769" s="91" t="s">
        <v>3762</v>
      </c>
      <c r="B769" cm="1">
        <f t="array" aca="1" ref="B769" ca="1">INDIRECT(A769)</f>
        <v>0</v>
      </c>
      <c r="C769">
        <f t="shared" ca="1" si="44"/>
        <v>5</v>
      </c>
      <c r="D769" t="str" cm="1">
        <f t="array" aca="1" ref="D769" ca="1">CELL("nomfichier",INDIRECT(A769))</f>
        <v>G:\SCPE\sdc\bq\6 - Mentions valorisantes\Certification environnementale\TEXTES_REGLEMENTATION_CE\Plans_contrôle et grilles\Grille audit niveau 3\Grille d'audit v1.11\[grille-audit-hvev4-v1.11-vf.xlsx]Surfaces_Horti</v>
      </c>
      <c r="E769">
        <f t="shared" ca="1" si="45"/>
        <v>200</v>
      </c>
      <c r="F769">
        <f t="shared" ca="1" si="46"/>
        <v>214</v>
      </c>
      <c r="G769" t="str">
        <f t="shared" ca="1" si="47"/>
        <v>Surfaces_Horti</v>
      </c>
      <c r="H769" cm="1">
        <f t="array" aca="1" ref="H769" ca="1">ROW(INDIRECT(A769))</f>
        <v>59</v>
      </c>
      <c r="I769" cm="1">
        <f t="array" aca="1" ref="I769" ca="1">COLUMN(INDIRECT(A769))</f>
        <v>10</v>
      </c>
      <c r="M769" t="str" cm="1">
        <f t="array" aca="1" ref="M769" ca="1">IF(AND(J769="O",ISBLANK(INDIRECT(A769))),"Valeur obligatoire non renseignée","")</f>
        <v/>
      </c>
    </row>
    <row r="770" spans="1:13" x14ac:dyDescent="0.25">
      <c r="A770" s="91" t="s">
        <v>3789</v>
      </c>
      <c r="B770" cm="1">
        <f t="array" aca="1" ref="B770" ca="1">INDIRECT(A770)</f>
        <v>0</v>
      </c>
      <c r="C770">
        <f t="shared" ref="C770:C833" ca="1" si="48">_xlfn.SHEET(INDIRECT(A770))</f>
        <v>5</v>
      </c>
      <c r="D770" t="str" cm="1">
        <f t="array" aca="1" ref="D770" ca="1">CELL("nomfichier",INDIRECT(A770))</f>
        <v>G:\SCPE\sdc\bq\6 - Mentions valorisantes\Certification environnementale\TEXTES_REGLEMENTATION_CE\Plans_contrôle et grilles\Grille audit niveau 3\Grille d'audit v1.11\[grille-audit-hvev4-v1.11-vf.xlsx]Surfaces_Horti</v>
      </c>
      <c r="E770">
        <f t="shared" ref="E770:E833" ca="1" si="49">FIND("]",D770)</f>
        <v>200</v>
      </c>
      <c r="F770">
        <f t="shared" ref="F770:F833" ca="1" si="50">LEN(D770)</f>
        <v>214</v>
      </c>
      <c r="G770" t="str">
        <f t="shared" ref="G770:G833" ca="1" si="51">RIGHT(D770,F770-E770)</f>
        <v>Surfaces_Horti</v>
      </c>
      <c r="H770" cm="1">
        <f t="array" aca="1" ref="H770" ca="1">ROW(INDIRECT(A770))</f>
        <v>59</v>
      </c>
      <c r="I770" cm="1">
        <f t="array" aca="1" ref="I770" ca="1">COLUMN(INDIRECT(A770))</f>
        <v>11</v>
      </c>
      <c r="M770" t="str" cm="1">
        <f t="array" aca="1" ref="M770" ca="1">IF(AND(J770="O",ISBLANK(INDIRECT(A770))),"Valeur obligatoire non renseignée","")</f>
        <v/>
      </c>
    </row>
    <row r="771" spans="1:13" x14ac:dyDescent="0.25">
      <c r="A771" s="91" t="s">
        <v>3816</v>
      </c>
      <c r="B771" cm="1">
        <f t="array" aca="1" ref="B771" ca="1">INDIRECT(A771)</f>
        <v>0</v>
      </c>
      <c r="C771">
        <f t="shared" ca="1" si="48"/>
        <v>5</v>
      </c>
      <c r="D771" t="str" cm="1">
        <f t="array" aca="1" ref="D771" ca="1">CELL("nomfichier",INDIRECT(A771))</f>
        <v>G:\SCPE\sdc\bq\6 - Mentions valorisantes\Certification environnementale\TEXTES_REGLEMENTATION_CE\Plans_contrôle et grilles\Grille audit niveau 3\Grille d'audit v1.11\[grille-audit-hvev4-v1.11-vf.xlsx]Surfaces_Horti</v>
      </c>
      <c r="E771">
        <f t="shared" ca="1" si="49"/>
        <v>200</v>
      </c>
      <c r="F771">
        <f t="shared" ca="1" si="50"/>
        <v>214</v>
      </c>
      <c r="G771" t="str">
        <f t="shared" ca="1" si="51"/>
        <v>Surfaces_Horti</v>
      </c>
      <c r="H771" cm="1">
        <f t="array" aca="1" ref="H771" ca="1">ROW(INDIRECT(A771))</f>
        <v>59</v>
      </c>
      <c r="I771" cm="1">
        <f t="array" aca="1" ref="I771" ca="1">COLUMN(INDIRECT(A771))</f>
        <v>12</v>
      </c>
      <c r="M771" t="str" cm="1">
        <f t="array" aca="1" ref="M771" ca="1">IF(AND(J771="O",ISBLANK(INDIRECT(A771))),"Valeur obligatoire non renseignée","")</f>
        <v/>
      </c>
    </row>
    <row r="772" spans="1:13" x14ac:dyDescent="0.25">
      <c r="A772" s="91" t="s">
        <v>3843</v>
      </c>
      <c r="B772" cm="1">
        <f t="array" aca="1" ref="B772" ca="1">INDIRECT(A772)</f>
        <v>0</v>
      </c>
      <c r="C772">
        <f t="shared" ca="1" si="48"/>
        <v>5</v>
      </c>
      <c r="D772" t="str" cm="1">
        <f t="array" aca="1" ref="D772" ca="1">CELL("nomfichier",INDIRECT(A772))</f>
        <v>G:\SCPE\sdc\bq\6 - Mentions valorisantes\Certification environnementale\TEXTES_REGLEMENTATION_CE\Plans_contrôle et grilles\Grille audit niveau 3\Grille d'audit v1.11\[grille-audit-hvev4-v1.11-vf.xlsx]Surfaces_Horti</v>
      </c>
      <c r="E772">
        <f t="shared" ca="1" si="49"/>
        <v>200</v>
      </c>
      <c r="F772">
        <f t="shared" ca="1" si="50"/>
        <v>214</v>
      </c>
      <c r="G772" t="str">
        <f t="shared" ca="1" si="51"/>
        <v>Surfaces_Horti</v>
      </c>
      <c r="H772" cm="1">
        <f t="array" aca="1" ref="H772" ca="1">ROW(INDIRECT(A772))</f>
        <v>59</v>
      </c>
      <c r="I772" cm="1">
        <f t="array" aca="1" ref="I772" ca="1">COLUMN(INDIRECT(A772))</f>
        <v>13</v>
      </c>
      <c r="M772" t="str" cm="1">
        <f t="array" aca="1" ref="M772" ca="1">IF(AND(J772="O",ISBLANK(INDIRECT(A772))),"Valeur obligatoire non renseignée","")</f>
        <v/>
      </c>
    </row>
    <row r="773" spans="1:13" x14ac:dyDescent="0.25">
      <c r="A773" s="91" t="s">
        <v>3870</v>
      </c>
      <c r="B773" cm="1">
        <f t="array" aca="1" ref="B773" ca="1">INDIRECT(A773)</f>
        <v>0</v>
      </c>
      <c r="C773">
        <f t="shared" ca="1" si="48"/>
        <v>5</v>
      </c>
      <c r="D773" t="str" cm="1">
        <f t="array" aca="1" ref="D773" ca="1">CELL("nomfichier",INDIRECT(A773))</f>
        <v>G:\SCPE\sdc\bq\6 - Mentions valorisantes\Certification environnementale\TEXTES_REGLEMENTATION_CE\Plans_contrôle et grilles\Grille audit niveau 3\Grille d'audit v1.11\[grille-audit-hvev4-v1.11-vf.xlsx]Surfaces_Horti</v>
      </c>
      <c r="E773">
        <f t="shared" ca="1" si="49"/>
        <v>200</v>
      </c>
      <c r="F773">
        <f t="shared" ca="1" si="50"/>
        <v>214</v>
      </c>
      <c r="G773" t="str">
        <f t="shared" ca="1" si="51"/>
        <v>Surfaces_Horti</v>
      </c>
      <c r="H773" cm="1">
        <f t="array" aca="1" ref="H773" ca="1">ROW(INDIRECT(A773))</f>
        <v>59</v>
      </c>
      <c r="I773" cm="1">
        <f t="array" aca="1" ref="I773" ca="1">COLUMN(INDIRECT(A773))</f>
        <v>14</v>
      </c>
      <c r="M773" t="str" cm="1">
        <f t="array" aca="1" ref="M773" ca="1">IF(AND(J773="O",ISBLANK(INDIRECT(A773))),"Valeur obligatoire non renseignée","")</f>
        <v/>
      </c>
    </row>
    <row r="774" spans="1:13" x14ac:dyDescent="0.25">
      <c r="A774" s="91" t="s">
        <v>3547</v>
      </c>
      <c r="B774" cm="1">
        <f t="array" aca="1" ref="B774" ca="1">INDIRECT(A774)</f>
        <v>0</v>
      </c>
      <c r="C774">
        <f t="shared" ca="1" si="48"/>
        <v>5</v>
      </c>
      <c r="D774" t="str" cm="1">
        <f t="array" aca="1" ref="D774" ca="1">CELL("nomfichier",INDIRECT(A774))</f>
        <v>G:\SCPE\sdc\bq\6 - Mentions valorisantes\Certification environnementale\TEXTES_REGLEMENTATION_CE\Plans_contrôle et grilles\Grille audit niveau 3\Grille d'audit v1.11\[grille-audit-hvev4-v1.11-vf.xlsx]Surfaces_Horti</v>
      </c>
      <c r="E774">
        <f t="shared" ca="1" si="49"/>
        <v>200</v>
      </c>
      <c r="F774">
        <f t="shared" ca="1" si="50"/>
        <v>214</v>
      </c>
      <c r="G774" t="str">
        <f t="shared" ca="1" si="51"/>
        <v>Surfaces_Horti</v>
      </c>
      <c r="H774" cm="1">
        <f t="array" aca="1" ref="H774" ca="1">ROW(INDIRECT(A774))</f>
        <v>60</v>
      </c>
      <c r="I774" cm="1">
        <f t="array" aca="1" ref="I774" ca="1">COLUMN(INDIRECT(A774))</f>
        <v>2</v>
      </c>
      <c r="M774" t="str" cm="1">
        <f t="array" aca="1" ref="M774" ca="1">IF(AND(J774="O",ISBLANK(INDIRECT(A774))),"Valeur obligatoire non renseignée","")</f>
        <v/>
      </c>
    </row>
    <row r="775" spans="1:13" x14ac:dyDescent="0.25">
      <c r="A775" s="91" t="s">
        <v>3574</v>
      </c>
      <c r="B775" cm="1">
        <f t="array" aca="1" ref="B775" ca="1">INDIRECT(A775)</f>
        <v>0</v>
      </c>
      <c r="C775">
        <f t="shared" ca="1" si="48"/>
        <v>5</v>
      </c>
      <c r="D775" t="str" cm="1">
        <f t="array" aca="1" ref="D775" ca="1">CELL("nomfichier",INDIRECT(A775))</f>
        <v>G:\SCPE\sdc\bq\6 - Mentions valorisantes\Certification environnementale\TEXTES_REGLEMENTATION_CE\Plans_contrôle et grilles\Grille audit niveau 3\Grille d'audit v1.11\[grille-audit-hvev4-v1.11-vf.xlsx]Surfaces_Horti</v>
      </c>
      <c r="E775">
        <f t="shared" ca="1" si="49"/>
        <v>200</v>
      </c>
      <c r="F775">
        <f t="shared" ca="1" si="50"/>
        <v>214</v>
      </c>
      <c r="G775" t="str">
        <f t="shared" ca="1" si="51"/>
        <v>Surfaces_Horti</v>
      </c>
      <c r="H775" cm="1">
        <f t="array" aca="1" ref="H775" ca="1">ROW(INDIRECT(A775))</f>
        <v>60</v>
      </c>
      <c r="I775" cm="1">
        <f t="array" aca="1" ref="I775" ca="1">COLUMN(INDIRECT(A775))</f>
        <v>3</v>
      </c>
      <c r="M775" t="str" cm="1">
        <f t="array" aca="1" ref="M775" ca="1">IF(AND(J775="O",ISBLANK(INDIRECT(A775))),"Valeur obligatoire non renseignée","")</f>
        <v/>
      </c>
    </row>
    <row r="776" spans="1:13" x14ac:dyDescent="0.25">
      <c r="A776" s="91" t="s">
        <v>3601</v>
      </c>
      <c r="B776" cm="1">
        <f t="array" aca="1" ref="B776" ca="1">INDIRECT(A776)</f>
        <v>0</v>
      </c>
      <c r="C776">
        <f t="shared" ca="1" si="48"/>
        <v>5</v>
      </c>
      <c r="D776" t="str" cm="1">
        <f t="array" aca="1" ref="D776" ca="1">CELL("nomfichier",INDIRECT(A776))</f>
        <v>G:\SCPE\sdc\bq\6 - Mentions valorisantes\Certification environnementale\TEXTES_REGLEMENTATION_CE\Plans_contrôle et grilles\Grille audit niveau 3\Grille d'audit v1.11\[grille-audit-hvev4-v1.11-vf.xlsx]Surfaces_Horti</v>
      </c>
      <c r="E776">
        <f t="shared" ca="1" si="49"/>
        <v>200</v>
      </c>
      <c r="F776">
        <f t="shared" ca="1" si="50"/>
        <v>214</v>
      </c>
      <c r="G776" t="str">
        <f t="shared" ca="1" si="51"/>
        <v>Surfaces_Horti</v>
      </c>
      <c r="H776" cm="1">
        <f t="array" aca="1" ref="H776" ca="1">ROW(INDIRECT(A776))</f>
        <v>60</v>
      </c>
      <c r="I776" cm="1">
        <f t="array" aca="1" ref="I776" ca="1">COLUMN(INDIRECT(A776))</f>
        <v>4</v>
      </c>
      <c r="M776" t="str" cm="1">
        <f t="array" aca="1" ref="M776" ca="1">IF(AND(J776="O",ISBLANK(INDIRECT(A776))),"Valeur obligatoire non renseignée","")</f>
        <v/>
      </c>
    </row>
    <row r="777" spans="1:13" x14ac:dyDescent="0.25">
      <c r="A777" s="91" t="s">
        <v>3628</v>
      </c>
      <c r="B777" cm="1">
        <f t="array" aca="1" ref="B777" ca="1">INDIRECT(A777)</f>
        <v>0</v>
      </c>
      <c r="C777">
        <f t="shared" ca="1" si="48"/>
        <v>5</v>
      </c>
      <c r="D777" t="str" cm="1">
        <f t="array" aca="1" ref="D777" ca="1">CELL("nomfichier",INDIRECT(A777))</f>
        <v>G:\SCPE\sdc\bq\6 - Mentions valorisantes\Certification environnementale\TEXTES_REGLEMENTATION_CE\Plans_contrôle et grilles\Grille audit niveau 3\Grille d'audit v1.11\[grille-audit-hvev4-v1.11-vf.xlsx]Surfaces_Horti</v>
      </c>
      <c r="E777">
        <f t="shared" ca="1" si="49"/>
        <v>200</v>
      </c>
      <c r="F777">
        <f t="shared" ca="1" si="50"/>
        <v>214</v>
      </c>
      <c r="G777" t="str">
        <f t="shared" ca="1" si="51"/>
        <v>Surfaces_Horti</v>
      </c>
      <c r="H777" cm="1">
        <f t="array" aca="1" ref="H777" ca="1">ROW(INDIRECT(A777))</f>
        <v>60</v>
      </c>
      <c r="I777" cm="1">
        <f t="array" aca="1" ref="I777" ca="1">COLUMN(INDIRECT(A777))</f>
        <v>5</v>
      </c>
      <c r="M777" t="str" cm="1">
        <f t="array" aca="1" ref="M777" ca="1">IF(AND(J777="O",ISBLANK(INDIRECT(A777))),"Valeur obligatoire non renseignée","")</f>
        <v/>
      </c>
    </row>
    <row r="778" spans="1:13" x14ac:dyDescent="0.25">
      <c r="A778" s="91" t="s">
        <v>3655</v>
      </c>
      <c r="B778" cm="1">
        <f t="array" aca="1" ref="B778" ca="1">INDIRECT(A778)</f>
        <v>0</v>
      </c>
      <c r="C778">
        <f t="shared" ca="1" si="48"/>
        <v>5</v>
      </c>
      <c r="D778" t="str" cm="1">
        <f t="array" aca="1" ref="D778" ca="1">CELL("nomfichier",INDIRECT(A778))</f>
        <v>G:\SCPE\sdc\bq\6 - Mentions valorisantes\Certification environnementale\TEXTES_REGLEMENTATION_CE\Plans_contrôle et grilles\Grille audit niveau 3\Grille d'audit v1.11\[grille-audit-hvev4-v1.11-vf.xlsx]Surfaces_Horti</v>
      </c>
      <c r="E778">
        <f t="shared" ca="1" si="49"/>
        <v>200</v>
      </c>
      <c r="F778">
        <f t="shared" ca="1" si="50"/>
        <v>214</v>
      </c>
      <c r="G778" t="str">
        <f t="shared" ca="1" si="51"/>
        <v>Surfaces_Horti</v>
      </c>
      <c r="H778" cm="1">
        <f t="array" aca="1" ref="H778" ca="1">ROW(INDIRECT(A778))</f>
        <v>60</v>
      </c>
      <c r="I778" cm="1">
        <f t="array" aca="1" ref="I778" ca="1">COLUMN(INDIRECT(A778))</f>
        <v>6</v>
      </c>
      <c r="M778" t="str" cm="1">
        <f t="array" aca="1" ref="M778" ca="1">IF(AND(J778="O",ISBLANK(INDIRECT(A778))),"Valeur obligatoire non renseignée","")</f>
        <v/>
      </c>
    </row>
    <row r="779" spans="1:13" x14ac:dyDescent="0.25">
      <c r="A779" s="91" t="s">
        <v>3682</v>
      </c>
      <c r="B779" cm="1">
        <f t="array" aca="1" ref="B779" ca="1">INDIRECT(A779)</f>
        <v>0</v>
      </c>
      <c r="C779">
        <f t="shared" ca="1" si="48"/>
        <v>5</v>
      </c>
      <c r="D779" t="str" cm="1">
        <f t="array" aca="1" ref="D779" ca="1">CELL("nomfichier",INDIRECT(A779))</f>
        <v>G:\SCPE\sdc\bq\6 - Mentions valorisantes\Certification environnementale\TEXTES_REGLEMENTATION_CE\Plans_contrôle et grilles\Grille audit niveau 3\Grille d'audit v1.11\[grille-audit-hvev4-v1.11-vf.xlsx]Surfaces_Horti</v>
      </c>
      <c r="E779">
        <f t="shared" ca="1" si="49"/>
        <v>200</v>
      </c>
      <c r="F779">
        <f t="shared" ca="1" si="50"/>
        <v>214</v>
      </c>
      <c r="G779" t="str">
        <f t="shared" ca="1" si="51"/>
        <v>Surfaces_Horti</v>
      </c>
      <c r="H779" cm="1">
        <f t="array" aca="1" ref="H779" ca="1">ROW(INDIRECT(A779))</f>
        <v>60</v>
      </c>
      <c r="I779" cm="1">
        <f t="array" aca="1" ref="I779" ca="1">COLUMN(INDIRECT(A779))</f>
        <v>7</v>
      </c>
      <c r="M779" t="str" cm="1">
        <f t="array" aca="1" ref="M779" ca="1">IF(AND(J779="O",ISBLANK(INDIRECT(A779))),"Valeur obligatoire non renseignée","")</f>
        <v/>
      </c>
    </row>
    <row r="780" spans="1:13" x14ac:dyDescent="0.25">
      <c r="A780" s="91" t="s">
        <v>3709</v>
      </c>
      <c r="B780" cm="1">
        <f t="array" aca="1" ref="B780" ca="1">INDIRECT(A780)</f>
        <v>0</v>
      </c>
      <c r="C780">
        <f t="shared" ca="1" si="48"/>
        <v>5</v>
      </c>
      <c r="D780" t="str" cm="1">
        <f t="array" aca="1" ref="D780" ca="1">CELL("nomfichier",INDIRECT(A780))</f>
        <v>G:\SCPE\sdc\bq\6 - Mentions valorisantes\Certification environnementale\TEXTES_REGLEMENTATION_CE\Plans_contrôle et grilles\Grille audit niveau 3\Grille d'audit v1.11\[grille-audit-hvev4-v1.11-vf.xlsx]Surfaces_Horti</v>
      </c>
      <c r="E780">
        <f t="shared" ca="1" si="49"/>
        <v>200</v>
      </c>
      <c r="F780">
        <f t="shared" ca="1" si="50"/>
        <v>214</v>
      </c>
      <c r="G780" t="str">
        <f t="shared" ca="1" si="51"/>
        <v>Surfaces_Horti</v>
      </c>
      <c r="H780" cm="1">
        <f t="array" aca="1" ref="H780" ca="1">ROW(INDIRECT(A780))</f>
        <v>60</v>
      </c>
      <c r="I780" cm="1">
        <f t="array" aca="1" ref="I780" ca="1">COLUMN(INDIRECT(A780))</f>
        <v>8</v>
      </c>
      <c r="M780" t="str" cm="1">
        <f t="array" aca="1" ref="M780" ca="1">IF(AND(J780="O",ISBLANK(INDIRECT(A780))),"Valeur obligatoire non renseignée","")</f>
        <v/>
      </c>
    </row>
    <row r="781" spans="1:13" x14ac:dyDescent="0.25">
      <c r="A781" s="91" t="s">
        <v>3736</v>
      </c>
      <c r="B781" cm="1">
        <f t="array" aca="1" ref="B781" ca="1">INDIRECT(A781)</f>
        <v>0</v>
      </c>
      <c r="C781">
        <f t="shared" ca="1" si="48"/>
        <v>5</v>
      </c>
      <c r="D781" t="str" cm="1">
        <f t="array" aca="1" ref="D781" ca="1">CELL("nomfichier",INDIRECT(A781))</f>
        <v>G:\SCPE\sdc\bq\6 - Mentions valorisantes\Certification environnementale\TEXTES_REGLEMENTATION_CE\Plans_contrôle et grilles\Grille audit niveau 3\Grille d'audit v1.11\[grille-audit-hvev4-v1.11-vf.xlsx]Surfaces_Horti</v>
      </c>
      <c r="E781">
        <f t="shared" ca="1" si="49"/>
        <v>200</v>
      </c>
      <c r="F781">
        <f t="shared" ca="1" si="50"/>
        <v>214</v>
      </c>
      <c r="G781" t="str">
        <f t="shared" ca="1" si="51"/>
        <v>Surfaces_Horti</v>
      </c>
      <c r="H781" cm="1">
        <f t="array" aca="1" ref="H781" ca="1">ROW(INDIRECT(A781))</f>
        <v>60</v>
      </c>
      <c r="I781" cm="1">
        <f t="array" aca="1" ref="I781" ca="1">COLUMN(INDIRECT(A781))</f>
        <v>9</v>
      </c>
      <c r="M781" t="str" cm="1">
        <f t="array" aca="1" ref="M781" ca="1">IF(AND(J781="O",ISBLANK(INDIRECT(A781))),"Valeur obligatoire non renseignée","")</f>
        <v/>
      </c>
    </row>
    <row r="782" spans="1:13" x14ac:dyDescent="0.25">
      <c r="A782" s="91" t="s">
        <v>3763</v>
      </c>
      <c r="B782" cm="1">
        <f t="array" aca="1" ref="B782" ca="1">INDIRECT(A782)</f>
        <v>0</v>
      </c>
      <c r="C782">
        <f t="shared" ca="1" si="48"/>
        <v>5</v>
      </c>
      <c r="D782" t="str" cm="1">
        <f t="array" aca="1" ref="D782" ca="1">CELL("nomfichier",INDIRECT(A782))</f>
        <v>G:\SCPE\sdc\bq\6 - Mentions valorisantes\Certification environnementale\TEXTES_REGLEMENTATION_CE\Plans_contrôle et grilles\Grille audit niveau 3\Grille d'audit v1.11\[grille-audit-hvev4-v1.11-vf.xlsx]Surfaces_Horti</v>
      </c>
      <c r="E782">
        <f t="shared" ca="1" si="49"/>
        <v>200</v>
      </c>
      <c r="F782">
        <f t="shared" ca="1" si="50"/>
        <v>214</v>
      </c>
      <c r="G782" t="str">
        <f t="shared" ca="1" si="51"/>
        <v>Surfaces_Horti</v>
      </c>
      <c r="H782" cm="1">
        <f t="array" aca="1" ref="H782" ca="1">ROW(INDIRECT(A782))</f>
        <v>60</v>
      </c>
      <c r="I782" cm="1">
        <f t="array" aca="1" ref="I782" ca="1">COLUMN(INDIRECT(A782))</f>
        <v>10</v>
      </c>
      <c r="M782" t="str" cm="1">
        <f t="array" aca="1" ref="M782" ca="1">IF(AND(J782="O",ISBLANK(INDIRECT(A782))),"Valeur obligatoire non renseignée","")</f>
        <v/>
      </c>
    </row>
    <row r="783" spans="1:13" x14ac:dyDescent="0.25">
      <c r="A783" s="91" t="s">
        <v>3790</v>
      </c>
      <c r="B783" cm="1">
        <f t="array" aca="1" ref="B783" ca="1">INDIRECT(A783)</f>
        <v>0</v>
      </c>
      <c r="C783">
        <f t="shared" ca="1" si="48"/>
        <v>5</v>
      </c>
      <c r="D783" t="str" cm="1">
        <f t="array" aca="1" ref="D783" ca="1">CELL("nomfichier",INDIRECT(A783))</f>
        <v>G:\SCPE\sdc\bq\6 - Mentions valorisantes\Certification environnementale\TEXTES_REGLEMENTATION_CE\Plans_contrôle et grilles\Grille audit niveau 3\Grille d'audit v1.11\[grille-audit-hvev4-v1.11-vf.xlsx]Surfaces_Horti</v>
      </c>
      <c r="E783">
        <f t="shared" ca="1" si="49"/>
        <v>200</v>
      </c>
      <c r="F783">
        <f t="shared" ca="1" si="50"/>
        <v>214</v>
      </c>
      <c r="G783" t="str">
        <f t="shared" ca="1" si="51"/>
        <v>Surfaces_Horti</v>
      </c>
      <c r="H783" cm="1">
        <f t="array" aca="1" ref="H783" ca="1">ROW(INDIRECT(A783))</f>
        <v>60</v>
      </c>
      <c r="I783" cm="1">
        <f t="array" aca="1" ref="I783" ca="1">COLUMN(INDIRECT(A783))</f>
        <v>11</v>
      </c>
      <c r="M783" t="str" cm="1">
        <f t="array" aca="1" ref="M783" ca="1">IF(AND(J783="O",ISBLANK(INDIRECT(A783))),"Valeur obligatoire non renseignée","")</f>
        <v/>
      </c>
    </row>
    <row r="784" spans="1:13" x14ac:dyDescent="0.25">
      <c r="A784" s="91" t="s">
        <v>3817</v>
      </c>
      <c r="B784" cm="1">
        <f t="array" aca="1" ref="B784" ca="1">INDIRECT(A784)</f>
        <v>0</v>
      </c>
      <c r="C784">
        <f t="shared" ca="1" si="48"/>
        <v>5</v>
      </c>
      <c r="D784" t="str" cm="1">
        <f t="array" aca="1" ref="D784" ca="1">CELL("nomfichier",INDIRECT(A784))</f>
        <v>G:\SCPE\sdc\bq\6 - Mentions valorisantes\Certification environnementale\TEXTES_REGLEMENTATION_CE\Plans_contrôle et grilles\Grille audit niveau 3\Grille d'audit v1.11\[grille-audit-hvev4-v1.11-vf.xlsx]Surfaces_Horti</v>
      </c>
      <c r="E784">
        <f t="shared" ca="1" si="49"/>
        <v>200</v>
      </c>
      <c r="F784">
        <f t="shared" ca="1" si="50"/>
        <v>214</v>
      </c>
      <c r="G784" t="str">
        <f t="shared" ca="1" si="51"/>
        <v>Surfaces_Horti</v>
      </c>
      <c r="H784" cm="1">
        <f t="array" aca="1" ref="H784" ca="1">ROW(INDIRECT(A784))</f>
        <v>60</v>
      </c>
      <c r="I784" cm="1">
        <f t="array" aca="1" ref="I784" ca="1">COLUMN(INDIRECT(A784))</f>
        <v>12</v>
      </c>
      <c r="M784" t="str" cm="1">
        <f t="array" aca="1" ref="M784" ca="1">IF(AND(J784="O",ISBLANK(INDIRECT(A784))),"Valeur obligatoire non renseignée","")</f>
        <v/>
      </c>
    </row>
    <row r="785" spans="1:13" x14ac:dyDescent="0.25">
      <c r="A785" s="91" t="s">
        <v>3844</v>
      </c>
      <c r="B785" cm="1">
        <f t="array" aca="1" ref="B785" ca="1">INDIRECT(A785)</f>
        <v>0</v>
      </c>
      <c r="C785">
        <f t="shared" ca="1" si="48"/>
        <v>5</v>
      </c>
      <c r="D785" t="str" cm="1">
        <f t="array" aca="1" ref="D785" ca="1">CELL("nomfichier",INDIRECT(A785))</f>
        <v>G:\SCPE\sdc\bq\6 - Mentions valorisantes\Certification environnementale\TEXTES_REGLEMENTATION_CE\Plans_contrôle et grilles\Grille audit niveau 3\Grille d'audit v1.11\[grille-audit-hvev4-v1.11-vf.xlsx]Surfaces_Horti</v>
      </c>
      <c r="E785">
        <f t="shared" ca="1" si="49"/>
        <v>200</v>
      </c>
      <c r="F785">
        <f t="shared" ca="1" si="50"/>
        <v>214</v>
      </c>
      <c r="G785" t="str">
        <f t="shared" ca="1" si="51"/>
        <v>Surfaces_Horti</v>
      </c>
      <c r="H785" cm="1">
        <f t="array" aca="1" ref="H785" ca="1">ROW(INDIRECT(A785))</f>
        <v>60</v>
      </c>
      <c r="I785" cm="1">
        <f t="array" aca="1" ref="I785" ca="1">COLUMN(INDIRECT(A785))</f>
        <v>13</v>
      </c>
      <c r="M785" t="str" cm="1">
        <f t="array" aca="1" ref="M785" ca="1">IF(AND(J785="O",ISBLANK(INDIRECT(A785))),"Valeur obligatoire non renseignée","")</f>
        <v/>
      </c>
    </row>
    <row r="786" spans="1:13" x14ac:dyDescent="0.25">
      <c r="A786" s="91" t="s">
        <v>3871</v>
      </c>
      <c r="B786" cm="1">
        <f t="array" aca="1" ref="B786" ca="1">INDIRECT(A786)</f>
        <v>0</v>
      </c>
      <c r="C786">
        <f t="shared" ca="1" si="48"/>
        <v>5</v>
      </c>
      <c r="D786" t="str" cm="1">
        <f t="array" aca="1" ref="D786" ca="1">CELL("nomfichier",INDIRECT(A786))</f>
        <v>G:\SCPE\sdc\bq\6 - Mentions valorisantes\Certification environnementale\TEXTES_REGLEMENTATION_CE\Plans_contrôle et grilles\Grille audit niveau 3\Grille d'audit v1.11\[grille-audit-hvev4-v1.11-vf.xlsx]Surfaces_Horti</v>
      </c>
      <c r="E786">
        <f t="shared" ca="1" si="49"/>
        <v>200</v>
      </c>
      <c r="F786">
        <f t="shared" ca="1" si="50"/>
        <v>214</v>
      </c>
      <c r="G786" t="str">
        <f t="shared" ca="1" si="51"/>
        <v>Surfaces_Horti</v>
      </c>
      <c r="H786" cm="1">
        <f t="array" aca="1" ref="H786" ca="1">ROW(INDIRECT(A786))</f>
        <v>60</v>
      </c>
      <c r="I786" cm="1">
        <f t="array" aca="1" ref="I786" ca="1">COLUMN(INDIRECT(A786))</f>
        <v>14</v>
      </c>
      <c r="M786" t="str" cm="1">
        <f t="array" aca="1" ref="M786" ca="1">IF(AND(J786="O",ISBLANK(INDIRECT(A786))),"Valeur obligatoire non renseignée","")</f>
        <v/>
      </c>
    </row>
    <row r="787" spans="1:13" x14ac:dyDescent="0.25">
      <c r="A787" s="91" t="s">
        <v>3548</v>
      </c>
      <c r="B787" cm="1">
        <f t="array" aca="1" ref="B787" ca="1">INDIRECT(A787)</f>
        <v>0</v>
      </c>
      <c r="C787">
        <f t="shared" ca="1" si="48"/>
        <v>5</v>
      </c>
      <c r="D787" t="str" cm="1">
        <f t="array" aca="1" ref="D787" ca="1">CELL("nomfichier",INDIRECT(A787))</f>
        <v>G:\SCPE\sdc\bq\6 - Mentions valorisantes\Certification environnementale\TEXTES_REGLEMENTATION_CE\Plans_contrôle et grilles\Grille audit niveau 3\Grille d'audit v1.11\[grille-audit-hvev4-v1.11-vf.xlsx]Surfaces_Horti</v>
      </c>
      <c r="E787">
        <f t="shared" ca="1" si="49"/>
        <v>200</v>
      </c>
      <c r="F787">
        <f t="shared" ca="1" si="50"/>
        <v>214</v>
      </c>
      <c r="G787" t="str">
        <f t="shared" ca="1" si="51"/>
        <v>Surfaces_Horti</v>
      </c>
      <c r="H787" cm="1">
        <f t="array" aca="1" ref="H787" ca="1">ROW(INDIRECT(A787))</f>
        <v>61</v>
      </c>
      <c r="I787" cm="1">
        <f t="array" aca="1" ref="I787" ca="1">COLUMN(INDIRECT(A787))</f>
        <v>2</v>
      </c>
      <c r="M787" t="str" cm="1">
        <f t="array" aca="1" ref="M787" ca="1">IF(AND(J787="O",ISBLANK(INDIRECT(A787))),"Valeur obligatoire non renseignée","")</f>
        <v/>
      </c>
    </row>
    <row r="788" spans="1:13" x14ac:dyDescent="0.25">
      <c r="A788" s="91" t="s">
        <v>3575</v>
      </c>
      <c r="B788" cm="1">
        <f t="array" aca="1" ref="B788" ca="1">INDIRECT(A788)</f>
        <v>0</v>
      </c>
      <c r="C788">
        <f t="shared" ca="1" si="48"/>
        <v>5</v>
      </c>
      <c r="D788" t="str" cm="1">
        <f t="array" aca="1" ref="D788" ca="1">CELL("nomfichier",INDIRECT(A788))</f>
        <v>G:\SCPE\sdc\bq\6 - Mentions valorisantes\Certification environnementale\TEXTES_REGLEMENTATION_CE\Plans_contrôle et grilles\Grille audit niveau 3\Grille d'audit v1.11\[grille-audit-hvev4-v1.11-vf.xlsx]Surfaces_Horti</v>
      </c>
      <c r="E788">
        <f t="shared" ca="1" si="49"/>
        <v>200</v>
      </c>
      <c r="F788">
        <f t="shared" ca="1" si="50"/>
        <v>214</v>
      </c>
      <c r="G788" t="str">
        <f t="shared" ca="1" si="51"/>
        <v>Surfaces_Horti</v>
      </c>
      <c r="H788" cm="1">
        <f t="array" aca="1" ref="H788" ca="1">ROW(INDIRECT(A788))</f>
        <v>61</v>
      </c>
      <c r="I788" cm="1">
        <f t="array" aca="1" ref="I788" ca="1">COLUMN(INDIRECT(A788))</f>
        <v>3</v>
      </c>
      <c r="M788" t="str" cm="1">
        <f t="array" aca="1" ref="M788" ca="1">IF(AND(J788="O",ISBLANK(INDIRECT(A788))),"Valeur obligatoire non renseignée","")</f>
        <v/>
      </c>
    </row>
    <row r="789" spans="1:13" x14ac:dyDescent="0.25">
      <c r="A789" s="91" t="s">
        <v>3602</v>
      </c>
      <c r="B789" cm="1">
        <f t="array" aca="1" ref="B789" ca="1">INDIRECT(A789)</f>
        <v>0</v>
      </c>
      <c r="C789">
        <f t="shared" ca="1" si="48"/>
        <v>5</v>
      </c>
      <c r="D789" t="str" cm="1">
        <f t="array" aca="1" ref="D789" ca="1">CELL("nomfichier",INDIRECT(A789))</f>
        <v>G:\SCPE\sdc\bq\6 - Mentions valorisantes\Certification environnementale\TEXTES_REGLEMENTATION_CE\Plans_contrôle et grilles\Grille audit niveau 3\Grille d'audit v1.11\[grille-audit-hvev4-v1.11-vf.xlsx]Surfaces_Horti</v>
      </c>
      <c r="E789">
        <f t="shared" ca="1" si="49"/>
        <v>200</v>
      </c>
      <c r="F789">
        <f t="shared" ca="1" si="50"/>
        <v>214</v>
      </c>
      <c r="G789" t="str">
        <f t="shared" ca="1" si="51"/>
        <v>Surfaces_Horti</v>
      </c>
      <c r="H789" cm="1">
        <f t="array" aca="1" ref="H789" ca="1">ROW(INDIRECT(A789))</f>
        <v>61</v>
      </c>
      <c r="I789" cm="1">
        <f t="array" aca="1" ref="I789" ca="1">COLUMN(INDIRECT(A789))</f>
        <v>4</v>
      </c>
      <c r="M789" t="str" cm="1">
        <f t="array" aca="1" ref="M789" ca="1">IF(AND(J789="O",ISBLANK(INDIRECT(A789))),"Valeur obligatoire non renseignée","")</f>
        <v/>
      </c>
    </row>
    <row r="790" spans="1:13" x14ac:dyDescent="0.25">
      <c r="A790" s="91" t="s">
        <v>3629</v>
      </c>
      <c r="B790" cm="1">
        <f t="array" aca="1" ref="B790" ca="1">INDIRECT(A790)</f>
        <v>0</v>
      </c>
      <c r="C790">
        <f t="shared" ca="1" si="48"/>
        <v>5</v>
      </c>
      <c r="D790" t="str" cm="1">
        <f t="array" aca="1" ref="D790" ca="1">CELL("nomfichier",INDIRECT(A790))</f>
        <v>G:\SCPE\sdc\bq\6 - Mentions valorisantes\Certification environnementale\TEXTES_REGLEMENTATION_CE\Plans_contrôle et grilles\Grille audit niveau 3\Grille d'audit v1.11\[grille-audit-hvev4-v1.11-vf.xlsx]Surfaces_Horti</v>
      </c>
      <c r="E790">
        <f t="shared" ca="1" si="49"/>
        <v>200</v>
      </c>
      <c r="F790">
        <f t="shared" ca="1" si="50"/>
        <v>214</v>
      </c>
      <c r="G790" t="str">
        <f t="shared" ca="1" si="51"/>
        <v>Surfaces_Horti</v>
      </c>
      <c r="H790" cm="1">
        <f t="array" aca="1" ref="H790" ca="1">ROW(INDIRECT(A790))</f>
        <v>61</v>
      </c>
      <c r="I790" cm="1">
        <f t="array" aca="1" ref="I790" ca="1">COLUMN(INDIRECT(A790))</f>
        <v>5</v>
      </c>
      <c r="M790" t="str" cm="1">
        <f t="array" aca="1" ref="M790" ca="1">IF(AND(J790="O",ISBLANK(INDIRECT(A790))),"Valeur obligatoire non renseignée","")</f>
        <v/>
      </c>
    </row>
    <row r="791" spans="1:13" x14ac:dyDescent="0.25">
      <c r="A791" s="91" t="s">
        <v>3656</v>
      </c>
      <c r="B791" cm="1">
        <f t="array" aca="1" ref="B791" ca="1">INDIRECT(A791)</f>
        <v>0</v>
      </c>
      <c r="C791">
        <f t="shared" ca="1" si="48"/>
        <v>5</v>
      </c>
      <c r="D791" t="str" cm="1">
        <f t="array" aca="1" ref="D791" ca="1">CELL("nomfichier",INDIRECT(A791))</f>
        <v>G:\SCPE\sdc\bq\6 - Mentions valorisantes\Certification environnementale\TEXTES_REGLEMENTATION_CE\Plans_contrôle et grilles\Grille audit niveau 3\Grille d'audit v1.11\[grille-audit-hvev4-v1.11-vf.xlsx]Surfaces_Horti</v>
      </c>
      <c r="E791">
        <f t="shared" ca="1" si="49"/>
        <v>200</v>
      </c>
      <c r="F791">
        <f t="shared" ca="1" si="50"/>
        <v>214</v>
      </c>
      <c r="G791" t="str">
        <f t="shared" ca="1" si="51"/>
        <v>Surfaces_Horti</v>
      </c>
      <c r="H791" cm="1">
        <f t="array" aca="1" ref="H791" ca="1">ROW(INDIRECT(A791))</f>
        <v>61</v>
      </c>
      <c r="I791" cm="1">
        <f t="array" aca="1" ref="I791" ca="1">COLUMN(INDIRECT(A791))</f>
        <v>6</v>
      </c>
      <c r="M791" t="str" cm="1">
        <f t="array" aca="1" ref="M791" ca="1">IF(AND(J791="O",ISBLANK(INDIRECT(A791))),"Valeur obligatoire non renseignée","")</f>
        <v/>
      </c>
    </row>
    <row r="792" spans="1:13" x14ac:dyDescent="0.25">
      <c r="A792" s="91" t="s">
        <v>3683</v>
      </c>
      <c r="B792" cm="1">
        <f t="array" aca="1" ref="B792" ca="1">INDIRECT(A792)</f>
        <v>0</v>
      </c>
      <c r="C792">
        <f t="shared" ca="1" si="48"/>
        <v>5</v>
      </c>
      <c r="D792" t="str" cm="1">
        <f t="array" aca="1" ref="D792" ca="1">CELL("nomfichier",INDIRECT(A792))</f>
        <v>G:\SCPE\sdc\bq\6 - Mentions valorisantes\Certification environnementale\TEXTES_REGLEMENTATION_CE\Plans_contrôle et grilles\Grille audit niveau 3\Grille d'audit v1.11\[grille-audit-hvev4-v1.11-vf.xlsx]Surfaces_Horti</v>
      </c>
      <c r="E792">
        <f t="shared" ca="1" si="49"/>
        <v>200</v>
      </c>
      <c r="F792">
        <f t="shared" ca="1" si="50"/>
        <v>214</v>
      </c>
      <c r="G792" t="str">
        <f t="shared" ca="1" si="51"/>
        <v>Surfaces_Horti</v>
      </c>
      <c r="H792" cm="1">
        <f t="array" aca="1" ref="H792" ca="1">ROW(INDIRECT(A792))</f>
        <v>61</v>
      </c>
      <c r="I792" cm="1">
        <f t="array" aca="1" ref="I792" ca="1">COLUMN(INDIRECT(A792))</f>
        <v>7</v>
      </c>
      <c r="M792" t="str" cm="1">
        <f t="array" aca="1" ref="M792" ca="1">IF(AND(J792="O",ISBLANK(INDIRECT(A792))),"Valeur obligatoire non renseignée","")</f>
        <v/>
      </c>
    </row>
    <row r="793" spans="1:13" x14ac:dyDescent="0.25">
      <c r="A793" s="91" t="s">
        <v>3710</v>
      </c>
      <c r="B793" cm="1">
        <f t="array" aca="1" ref="B793" ca="1">INDIRECT(A793)</f>
        <v>0</v>
      </c>
      <c r="C793">
        <f t="shared" ca="1" si="48"/>
        <v>5</v>
      </c>
      <c r="D793" t="str" cm="1">
        <f t="array" aca="1" ref="D793" ca="1">CELL("nomfichier",INDIRECT(A793))</f>
        <v>G:\SCPE\sdc\bq\6 - Mentions valorisantes\Certification environnementale\TEXTES_REGLEMENTATION_CE\Plans_contrôle et grilles\Grille audit niveau 3\Grille d'audit v1.11\[grille-audit-hvev4-v1.11-vf.xlsx]Surfaces_Horti</v>
      </c>
      <c r="E793">
        <f t="shared" ca="1" si="49"/>
        <v>200</v>
      </c>
      <c r="F793">
        <f t="shared" ca="1" si="50"/>
        <v>214</v>
      </c>
      <c r="G793" t="str">
        <f t="shared" ca="1" si="51"/>
        <v>Surfaces_Horti</v>
      </c>
      <c r="H793" cm="1">
        <f t="array" aca="1" ref="H793" ca="1">ROW(INDIRECT(A793))</f>
        <v>61</v>
      </c>
      <c r="I793" cm="1">
        <f t="array" aca="1" ref="I793" ca="1">COLUMN(INDIRECT(A793))</f>
        <v>8</v>
      </c>
      <c r="M793" t="str" cm="1">
        <f t="array" aca="1" ref="M793" ca="1">IF(AND(J793="O",ISBLANK(INDIRECT(A793))),"Valeur obligatoire non renseignée","")</f>
        <v/>
      </c>
    </row>
    <row r="794" spans="1:13" x14ac:dyDescent="0.25">
      <c r="A794" s="91" t="s">
        <v>3737</v>
      </c>
      <c r="B794" cm="1">
        <f t="array" aca="1" ref="B794" ca="1">INDIRECT(A794)</f>
        <v>0</v>
      </c>
      <c r="C794">
        <f t="shared" ca="1" si="48"/>
        <v>5</v>
      </c>
      <c r="D794" t="str" cm="1">
        <f t="array" aca="1" ref="D794" ca="1">CELL("nomfichier",INDIRECT(A794))</f>
        <v>G:\SCPE\sdc\bq\6 - Mentions valorisantes\Certification environnementale\TEXTES_REGLEMENTATION_CE\Plans_contrôle et grilles\Grille audit niveau 3\Grille d'audit v1.11\[grille-audit-hvev4-v1.11-vf.xlsx]Surfaces_Horti</v>
      </c>
      <c r="E794">
        <f t="shared" ca="1" si="49"/>
        <v>200</v>
      </c>
      <c r="F794">
        <f t="shared" ca="1" si="50"/>
        <v>214</v>
      </c>
      <c r="G794" t="str">
        <f t="shared" ca="1" si="51"/>
        <v>Surfaces_Horti</v>
      </c>
      <c r="H794" cm="1">
        <f t="array" aca="1" ref="H794" ca="1">ROW(INDIRECT(A794))</f>
        <v>61</v>
      </c>
      <c r="I794" cm="1">
        <f t="array" aca="1" ref="I794" ca="1">COLUMN(INDIRECT(A794))</f>
        <v>9</v>
      </c>
      <c r="M794" t="str" cm="1">
        <f t="array" aca="1" ref="M794" ca="1">IF(AND(J794="O",ISBLANK(INDIRECT(A794))),"Valeur obligatoire non renseignée","")</f>
        <v/>
      </c>
    </row>
    <row r="795" spans="1:13" x14ac:dyDescent="0.25">
      <c r="A795" s="91" t="s">
        <v>3764</v>
      </c>
      <c r="B795" cm="1">
        <f t="array" aca="1" ref="B795" ca="1">INDIRECT(A795)</f>
        <v>0</v>
      </c>
      <c r="C795">
        <f t="shared" ca="1" si="48"/>
        <v>5</v>
      </c>
      <c r="D795" t="str" cm="1">
        <f t="array" aca="1" ref="D795" ca="1">CELL("nomfichier",INDIRECT(A795))</f>
        <v>G:\SCPE\sdc\bq\6 - Mentions valorisantes\Certification environnementale\TEXTES_REGLEMENTATION_CE\Plans_contrôle et grilles\Grille audit niveau 3\Grille d'audit v1.11\[grille-audit-hvev4-v1.11-vf.xlsx]Surfaces_Horti</v>
      </c>
      <c r="E795">
        <f t="shared" ca="1" si="49"/>
        <v>200</v>
      </c>
      <c r="F795">
        <f t="shared" ca="1" si="50"/>
        <v>214</v>
      </c>
      <c r="G795" t="str">
        <f t="shared" ca="1" si="51"/>
        <v>Surfaces_Horti</v>
      </c>
      <c r="H795" cm="1">
        <f t="array" aca="1" ref="H795" ca="1">ROW(INDIRECT(A795))</f>
        <v>61</v>
      </c>
      <c r="I795" cm="1">
        <f t="array" aca="1" ref="I795" ca="1">COLUMN(INDIRECT(A795))</f>
        <v>10</v>
      </c>
      <c r="M795" t="str" cm="1">
        <f t="array" aca="1" ref="M795" ca="1">IF(AND(J795="O",ISBLANK(INDIRECT(A795))),"Valeur obligatoire non renseignée","")</f>
        <v/>
      </c>
    </row>
    <row r="796" spans="1:13" x14ac:dyDescent="0.25">
      <c r="A796" s="91" t="s">
        <v>3791</v>
      </c>
      <c r="B796" cm="1">
        <f t="array" aca="1" ref="B796" ca="1">INDIRECT(A796)</f>
        <v>0</v>
      </c>
      <c r="C796">
        <f t="shared" ca="1" si="48"/>
        <v>5</v>
      </c>
      <c r="D796" t="str" cm="1">
        <f t="array" aca="1" ref="D796" ca="1">CELL("nomfichier",INDIRECT(A796))</f>
        <v>G:\SCPE\sdc\bq\6 - Mentions valorisantes\Certification environnementale\TEXTES_REGLEMENTATION_CE\Plans_contrôle et grilles\Grille audit niveau 3\Grille d'audit v1.11\[grille-audit-hvev4-v1.11-vf.xlsx]Surfaces_Horti</v>
      </c>
      <c r="E796">
        <f t="shared" ca="1" si="49"/>
        <v>200</v>
      </c>
      <c r="F796">
        <f t="shared" ca="1" si="50"/>
        <v>214</v>
      </c>
      <c r="G796" t="str">
        <f t="shared" ca="1" si="51"/>
        <v>Surfaces_Horti</v>
      </c>
      <c r="H796" cm="1">
        <f t="array" aca="1" ref="H796" ca="1">ROW(INDIRECT(A796))</f>
        <v>61</v>
      </c>
      <c r="I796" cm="1">
        <f t="array" aca="1" ref="I796" ca="1">COLUMN(INDIRECT(A796))</f>
        <v>11</v>
      </c>
      <c r="M796" t="str" cm="1">
        <f t="array" aca="1" ref="M796" ca="1">IF(AND(J796="O",ISBLANK(INDIRECT(A796))),"Valeur obligatoire non renseignée","")</f>
        <v/>
      </c>
    </row>
    <row r="797" spans="1:13" x14ac:dyDescent="0.25">
      <c r="A797" s="91" t="s">
        <v>3818</v>
      </c>
      <c r="B797" cm="1">
        <f t="array" aca="1" ref="B797" ca="1">INDIRECT(A797)</f>
        <v>0</v>
      </c>
      <c r="C797">
        <f t="shared" ca="1" si="48"/>
        <v>5</v>
      </c>
      <c r="D797" t="str" cm="1">
        <f t="array" aca="1" ref="D797" ca="1">CELL("nomfichier",INDIRECT(A797))</f>
        <v>G:\SCPE\sdc\bq\6 - Mentions valorisantes\Certification environnementale\TEXTES_REGLEMENTATION_CE\Plans_contrôle et grilles\Grille audit niveau 3\Grille d'audit v1.11\[grille-audit-hvev4-v1.11-vf.xlsx]Surfaces_Horti</v>
      </c>
      <c r="E797">
        <f t="shared" ca="1" si="49"/>
        <v>200</v>
      </c>
      <c r="F797">
        <f t="shared" ca="1" si="50"/>
        <v>214</v>
      </c>
      <c r="G797" t="str">
        <f t="shared" ca="1" si="51"/>
        <v>Surfaces_Horti</v>
      </c>
      <c r="H797" cm="1">
        <f t="array" aca="1" ref="H797" ca="1">ROW(INDIRECT(A797))</f>
        <v>61</v>
      </c>
      <c r="I797" cm="1">
        <f t="array" aca="1" ref="I797" ca="1">COLUMN(INDIRECT(A797))</f>
        <v>12</v>
      </c>
      <c r="M797" t="str" cm="1">
        <f t="array" aca="1" ref="M797" ca="1">IF(AND(J797="O",ISBLANK(INDIRECT(A797))),"Valeur obligatoire non renseignée","")</f>
        <v/>
      </c>
    </row>
    <row r="798" spans="1:13" x14ac:dyDescent="0.25">
      <c r="A798" s="91" t="s">
        <v>3845</v>
      </c>
      <c r="B798" cm="1">
        <f t="array" aca="1" ref="B798" ca="1">INDIRECT(A798)</f>
        <v>0</v>
      </c>
      <c r="C798">
        <f t="shared" ca="1" si="48"/>
        <v>5</v>
      </c>
      <c r="D798" t="str" cm="1">
        <f t="array" aca="1" ref="D798" ca="1">CELL("nomfichier",INDIRECT(A798))</f>
        <v>G:\SCPE\sdc\bq\6 - Mentions valorisantes\Certification environnementale\TEXTES_REGLEMENTATION_CE\Plans_contrôle et grilles\Grille audit niveau 3\Grille d'audit v1.11\[grille-audit-hvev4-v1.11-vf.xlsx]Surfaces_Horti</v>
      </c>
      <c r="E798">
        <f t="shared" ca="1" si="49"/>
        <v>200</v>
      </c>
      <c r="F798">
        <f t="shared" ca="1" si="50"/>
        <v>214</v>
      </c>
      <c r="G798" t="str">
        <f t="shared" ca="1" si="51"/>
        <v>Surfaces_Horti</v>
      </c>
      <c r="H798" cm="1">
        <f t="array" aca="1" ref="H798" ca="1">ROW(INDIRECT(A798))</f>
        <v>61</v>
      </c>
      <c r="I798" cm="1">
        <f t="array" aca="1" ref="I798" ca="1">COLUMN(INDIRECT(A798))</f>
        <v>13</v>
      </c>
      <c r="M798" t="str" cm="1">
        <f t="array" aca="1" ref="M798" ca="1">IF(AND(J798="O",ISBLANK(INDIRECT(A798))),"Valeur obligatoire non renseignée","")</f>
        <v/>
      </c>
    </row>
    <row r="799" spans="1:13" x14ac:dyDescent="0.25">
      <c r="A799" s="91" t="s">
        <v>3872</v>
      </c>
      <c r="B799" cm="1">
        <f t="array" aca="1" ref="B799" ca="1">INDIRECT(A799)</f>
        <v>0</v>
      </c>
      <c r="C799">
        <f t="shared" ca="1" si="48"/>
        <v>5</v>
      </c>
      <c r="D799" t="str" cm="1">
        <f t="array" aca="1" ref="D799" ca="1">CELL("nomfichier",INDIRECT(A799))</f>
        <v>G:\SCPE\sdc\bq\6 - Mentions valorisantes\Certification environnementale\TEXTES_REGLEMENTATION_CE\Plans_contrôle et grilles\Grille audit niveau 3\Grille d'audit v1.11\[grille-audit-hvev4-v1.11-vf.xlsx]Surfaces_Horti</v>
      </c>
      <c r="E799">
        <f t="shared" ca="1" si="49"/>
        <v>200</v>
      </c>
      <c r="F799">
        <f t="shared" ca="1" si="50"/>
        <v>214</v>
      </c>
      <c r="G799" t="str">
        <f t="shared" ca="1" si="51"/>
        <v>Surfaces_Horti</v>
      </c>
      <c r="H799" cm="1">
        <f t="array" aca="1" ref="H799" ca="1">ROW(INDIRECT(A799))</f>
        <v>61</v>
      </c>
      <c r="I799" cm="1">
        <f t="array" aca="1" ref="I799" ca="1">COLUMN(INDIRECT(A799))</f>
        <v>14</v>
      </c>
      <c r="M799" t="str" cm="1">
        <f t="array" aca="1" ref="M799" ca="1">IF(AND(J799="O",ISBLANK(INDIRECT(A799))),"Valeur obligatoire non renseignée","")</f>
        <v/>
      </c>
    </row>
    <row r="800" spans="1:13" x14ac:dyDescent="0.25">
      <c r="A800" s="91" t="s">
        <v>3549</v>
      </c>
      <c r="B800" cm="1">
        <f t="array" aca="1" ref="B800" ca="1">INDIRECT(A800)</f>
        <v>0</v>
      </c>
      <c r="C800">
        <f t="shared" ca="1" si="48"/>
        <v>5</v>
      </c>
      <c r="D800" t="str" cm="1">
        <f t="array" aca="1" ref="D800" ca="1">CELL("nomfichier",INDIRECT(A800))</f>
        <v>G:\SCPE\sdc\bq\6 - Mentions valorisantes\Certification environnementale\TEXTES_REGLEMENTATION_CE\Plans_contrôle et grilles\Grille audit niveau 3\Grille d'audit v1.11\[grille-audit-hvev4-v1.11-vf.xlsx]Surfaces_Horti</v>
      </c>
      <c r="E800">
        <f t="shared" ca="1" si="49"/>
        <v>200</v>
      </c>
      <c r="F800">
        <f t="shared" ca="1" si="50"/>
        <v>214</v>
      </c>
      <c r="G800" t="str">
        <f t="shared" ca="1" si="51"/>
        <v>Surfaces_Horti</v>
      </c>
      <c r="H800" cm="1">
        <f t="array" aca="1" ref="H800" ca="1">ROW(INDIRECT(A800))</f>
        <v>62</v>
      </c>
      <c r="I800" cm="1">
        <f t="array" aca="1" ref="I800" ca="1">COLUMN(INDIRECT(A800))</f>
        <v>2</v>
      </c>
      <c r="M800" t="str" cm="1">
        <f t="array" aca="1" ref="M800" ca="1">IF(AND(J800="O",ISBLANK(INDIRECT(A800))),"Valeur obligatoire non renseignée","")</f>
        <v/>
      </c>
    </row>
    <row r="801" spans="1:13" x14ac:dyDescent="0.25">
      <c r="A801" s="91" t="s">
        <v>3576</v>
      </c>
      <c r="B801" cm="1">
        <f t="array" aca="1" ref="B801" ca="1">INDIRECT(A801)</f>
        <v>0</v>
      </c>
      <c r="C801">
        <f t="shared" ca="1" si="48"/>
        <v>5</v>
      </c>
      <c r="D801" t="str" cm="1">
        <f t="array" aca="1" ref="D801" ca="1">CELL("nomfichier",INDIRECT(A801))</f>
        <v>G:\SCPE\sdc\bq\6 - Mentions valorisantes\Certification environnementale\TEXTES_REGLEMENTATION_CE\Plans_contrôle et grilles\Grille audit niveau 3\Grille d'audit v1.11\[grille-audit-hvev4-v1.11-vf.xlsx]Surfaces_Horti</v>
      </c>
      <c r="E801">
        <f t="shared" ca="1" si="49"/>
        <v>200</v>
      </c>
      <c r="F801">
        <f t="shared" ca="1" si="50"/>
        <v>214</v>
      </c>
      <c r="G801" t="str">
        <f t="shared" ca="1" si="51"/>
        <v>Surfaces_Horti</v>
      </c>
      <c r="H801" cm="1">
        <f t="array" aca="1" ref="H801" ca="1">ROW(INDIRECT(A801))</f>
        <v>62</v>
      </c>
      <c r="I801" cm="1">
        <f t="array" aca="1" ref="I801" ca="1">COLUMN(INDIRECT(A801))</f>
        <v>3</v>
      </c>
      <c r="M801" t="str" cm="1">
        <f t="array" aca="1" ref="M801" ca="1">IF(AND(J801="O",ISBLANK(INDIRECT(A801))),"Valeur obligatoire non renseignée","")</f>
        <v/>
      </c>
    </row>
    <row r="802" spans="1:13" x14ac:dyDescent="0.25">
      <c r="A802" s="91" t="s">
        <v>3603</v>
      </c>
      <c r="B802" cm="1">
        <f t="array" aca="1" ref="B802" ca="1">INDIRECT(A802)</f>
        <v>0</v>
      </c>
      <c r="C802">
        <f t="shared" ca="1" si="48"/>
        <v>5</v>
      </c>
      <c r="D802" t="str" cm="1">
        <f t="array" aca="1" ref="D802" ca="1">CELL("nomfichier",INDIRECT(A802))</f>
        <v>G:\SCPE\sdc\bq\6 - Mentions valorisantes\Certification environnementale\TEXTES_REGLEMENTATION_CE\Plans_contrôle et grilles\Grille audit niveau 3\Grille d'audit v1.11\[grille-audit-hvev4-v1.11-vf.xlsx]Surfaces_Horti</v>
      </c>
      <c r="E802">
        <f t="shared" ca="1" si="49"/>
        <v>200</v>
      </c>
      <c r="F802">
        <f t="shared" ca="1" si="50"/>
        <v>214</v>
      </c>
      <c r="G802" t="str">
        <f t="shared" ca="1" si="51"/>
        <v>Surfaces_Horti</v>
      </c>
      <c r="H802" cm="1">
        <f t="array" aca="1" ref="H802" ca="1">ROW(INDIRECT(A802))</f>
        <v>62</v>
      </c>
      <c r="I802" cm="1">
        <f t="array" aca="1" ref="I802" ca="1">COLUMN(INDIRECT(A802))</f>
        <v>4</v>
      </c>
      <c r="M802" t="str" cm="1">
        <f t="array" aca="1" ref="M802" ca="1">IF(AND(J802="O",ISBLANK(INDIRECT(A802))),"Valeur obligatoire non renseignée","")</f>
        <v/>
      </c>
    </row>
    <row r="803" spans="1:13" x14ac:dyDescent="0.25">
      <c r="A803" s="91" t="s">
        <v>3630</v>
      </c>
      <c r="B803" cm="1">
        <f t="array" aca="1" ref="B803" ca="1">INDIRECT(A803)</f>
        <v>0</v>
      </c>
      <c r="C803">
        <f t="shared" ca="1" si="48"/>
        <v>5</v>
      </c>
      <c r="D803" t="str" cm="1">
        <f t="array" aca="1" ref="D803" ca="1">CELL("nomfichier",INDIRECT(A803))</f>
        <v>G:\SCPE\sdc\bq\6 - Mentions valorisantes\Certification environnementale\TEXTES_REGLEMENTATION_CE\Plans_contrôle et grilles\Grille audit niveau 3\Grille d'audit v1.11\[grille-audit-hvev4-v1.11-vf.xlsx]Surfaces_Horti</v>
      </c>
      <c r="E803">
        <f t="shared" ca="1" si="49"/>
        <v>200</v>
      </c>
      <c r="F803">
        <f t="shared" ca="1" si="50"/>
        <v>214</v>
      </c>
      <c r="G803" t="str">
        <f t="shared" ca="1" si="51"/>
        <v>Surfaces_Horti</v>
      </c>
      <c r="H803" cm="1">
        <f t="array" aca="1" ref="H803" ca="1">ROW(INDIRECT(A803))</f>
        <v>62</v>
      </c>
      <c r="I803" cm="1">
        <f t="array" aca="1" ref="I803" ca="1">COLUMN(INDIRECT(A803))</f>
        <v>5</v>
      </c>
      <c r="M803" t="str" cm="1">
        <f t="array" aca="1" ref="M803" ca="1">IF(AND(J803="O",ISBLANK(INDIRECT(A803))),"Valeur obligatoire non renseignée","")</f>
        <v/>
      </c>
    </row>
    <row r="804" spans="1:13" x14ac:dyDescent="0.25">
      <c r="A804" s="91" t="s">
        <v>3657</v>
      </c>
      <c r="B804" cm="1">
        <f t="array" aca="1" ref="B804" ca="1">INDIRECT(A804)</f>
        <v>0</v>
      </c>
      <c r="C804">
        <f t="shared" ca="1" si="48"/>
        <v>5</v>
      </c>
      <c r="D804" t="str" cm="1">
        <f t="array" aca="1" ref="D804" ca="1">CELL("nomfichier",INDIRECT(A804))</f>
        <v>G:\SCPE\sdc\bq\6 - Mentions valorisantes\Certification environnementale\TEXTES_REGLEMENTATION_CE\Plans_contrôle et grilles\Grille audit niveau 3\Grille d'audit v1.11\[grille-audit-hvev4-v1.11-vf.xlsx]Surfaces_Horti</v>
      </c>
      <c r="E804">
        <f t="shared" ca="1" si="49"/>
        <v>200</v>
      </c>
      <c r="F804">
        <f t="shared" ca="1" si="50"/>
        <v>214</v>
      </c>
      <c r="G804" t="str">
        <f t="shared" ca="1" si="51"/>
        <v>Surfaces_Horti</v>
      </c>
      <c r="H804" cm="1">
        <f t="array" aca="1" ref="H804" ca="1">ROW(INDIRECT(A804))</f>
        <v>62</v>
      </c>
      <c r="I804" cm="1">
        <f t="array" aca="1" ref="I804" ca="1">COLUMN(INDIRECT(A804))</f>
        <v>6</v>
      </c>
      <c r="M804" t="str" cm="1">
        <f t="array" aca="1" ref="M804" ca="1">IF(AND(J804="O",ISBLANK(INDIRECT(A804))),"Valeur obligatoire non renseignée","")</f>
        <v/>
      </c>
    </row>
    <row r="805" spans="1:13" x14ac:dyDescent="0.25">
      <c r="A805" s="91" t="s">
        <v>3684</v>
      </c>
      <c r="B805" cm="1">
        <f t="array" aca="1" ref="B805" ca="1">INDIRECT(A805)</f>
        <v>0</v>
      </c>
      <c r="C805">
        <f t="shared" ca="1" si="48"/>
        <v>5</v>
      </c>
      <c r="D805" t="str" cm="1">
        <f t="array" aca="1" ref="D805" ca="1">CELL("nomfichier",INDIRECT(A805))</f>
        <v>G:\SCPE\sdc\bq\6 - Mentions valorisantes\Certification environnementale\TEXTES_REGLEMENTATION_CE\Plans_contrôle et grilles\Grille audit niveau 3\Grille d'audit v1.11\[grille-audit-hvev4-v1.11-vf.xlsx]Surfaces_Horti</v>
      </c>
      <c r="E805">
        <f t="shared" ca="1" si="49"/>
        <v>200</v>
      </c>
      <c r="F805">
        <f t="shared" ca="1" si="50"/>
        <v>214</v>
      </c>
      <c r="G805" t="str">
        <f t="shared" ca="1" si="51"/>
        <v>Surfaces_Horti</v>
      </c>
      <c r="H805" cm="1">
        <f t="array" aca="1" ref="H805" ca="1">ROW(INDIRECT(A805))</f>
        <v>62</v>
      </c>
      <c r="I805" cm="1">
        <f t="array" aca="1" ref="I805" ca="1">COLUMN(INDIRECT(A805))</f>
        <v>7</v>
      </c>
      <c r="M805" t="str" cm="1">
        <f t="array" aca="1" ref="M805" ca="1">IF(AND(J805="O",ISBLANK(INDIRECT(A805))),"Valeur obligatoire non renseignée","")</f>
        <v/>
      </c>
    </row>
    <row r="806" spans="1:13" x14ac:dyDescent="0.25">
      <c r="A806" s="91" t="s">
        <v>3711</v>
      </c>
      <c r="B806" cm="1">
        <f t="array" aca="1" ref="B806" ca="1">INDIRECT(A806)</f>
        <v>0</v>
      </c>
      <c r="C806">
        <f t="shared" ca="1" si="48"/>
        <v>5</v>
      </c>
      <c r="D806" t="str" cm="1">
        <f t="array" aca="1" ref="D806" ca="1">CELL("nomfichier",INDIRECT(A806))</f>
        <v>G:\SCPE\sdc\bq\6 - Mentions valorisantes\Certification environnementale\TEXTES_REGLEMENTATION_CE\Plans_contrôle et grilles\Grille audit niveau 3\Grille d'audit v1.11\[grille-audit-hvev4-v1.11-vf.xlsx]Surfaces_Horti</v>
      </c>
      <c r="E806">
        <f t="shared" ca="1" si="49"/>
        <v>200</v>
      </c>
      <c r="F806">
        <f t="shared" ca="1" si="50"/>
        <v>214</v>
      </c>
      <c r="G806" t="str">
        <f t="shared" ca="1" si="51"/>
        <v>Surfaces_Horti</v>
      </c>
      <c r="H806" cm="1">
        <f t="array" aca="1" ref="H806" ca="1">ROW(INDIRECT(A806))</f>
        <v>62</v>
      </c>
      <c r="I806" cm="1">
        <f t="array" aca="1" ref="I806" ca="1">COLUMN(INDIRECT(A806))</f>
        <v>8</v>
      </c>
      <c r="M806" t="str" cm="1">
        <f t="array" aca="1" ref="M806" ca="1">IF(AND(J806="O",ISBLANK(INDIRECT(A806))),"Valeur obligatoire non renseignée","")</f>
        <v/>
      </c>
    </row>
    <row r="807" spans="1:13" x14ac:dyDescent="0.25">
      <c r="A807" s="91" t="s">
        <v>3738</v>
      </c>
      <c r="B807" cm="1">
        <f t="array" aca="1" ref="B807" ca="1">INDIRECT(A807)</f>
        <v>0</v>
      </c>
      <c r="C807">
        <f t="shared" ca="1" si="48"/>
        <v>5</v>
      </c>
      <c r="D807" t="str" cm="1">
        <f t="array" aca="1" ref="D807" ca="1">CELL("nomfichier",INDIRECT(A807))</f>
        <v>G:\SCPE\sdc\bq\6 - Mentions valorisantes\Certification environnementale\TEXTES_REGLEMENTATION_CE\Plans_contrôle et grilles\Grille audit niveau 3\Grille d'audit v1.11\[grille-audit-hvev4-v1.11-vf.xlsx]Surfaces_Horti</v>
      </c>
      <c r="E807">
        <f t="shared" ca="1" si="49"/>
        <v>200</v>
      </c>
      <c r="F807">
        <f t="shared" ca="1" si="50"/>
        <v>214</v>
      </c>
      <c r="G807" t="str">
        <f t="shared" ca="1" si="51"/>
        <v>Surfaces_Horti</v>
      </c>
      <c r="H807" cm="1">
        <f t="array" aca="1" ref="H807" ca="1">ROW(INDIRECT(A807))</f>
        <v>62</v>
      </c>
      <c r="I807" cm="1">
        <f t="array" aca="1" ref="I807" ca="1">COLUMN(INDIRECT(A807))</f>
        <v>9</v>
      </c>
      <c r="M807" t="str" cm="1">
        <f t="array" aca="1" ref="M807" ca="1">IF(AND(J807="O",ISBLANK(INDIRECT(A807))),"Valeur obligatoire non renseignée","")</f>
        <v/>
      </c>
    </row>
    <row r="808" spans="1:13" x14ac:dyDescent="0.25">
      <c r="A808" s="91" t="s">
        <v>3765</v>
      </c>
      <c r="B808" cm="1">
        <f t="array" aca="1" ref="B808" ca="1">INDIRECT(A808)</f>
        <v>0</v>
      </c>
      <c r="C808">
        <f t="shared" ca="1" si="48"/>
        <v>5</v>
      </c>
      <c r="D808" t="str" cm="1">
        <f t="array" aca="1" ref="D808" ca="1">CELL("nomfichier",INDIRECT(A808))</f>
        <v>G:\SCPE\sdc\bq\6 - Mentions valorisantes\Certification environnementale\TEXTES_REGLEMENTATION_CE\Plans_contrôle et grilles\Grille audit niveau 3\Grille d'audit v1.11\[grille-audit-hvev4-v1.11-vf.xlsx]Surfaces_Horti</v>
      </c>
      <c r="E808">
        <f t="shared" ca="1" si="49"/>
        <v>200</v>
      </c>
      <c r="F808">
        <f t="shared" ca="1" si="50"/>
        <v>214</v>
      </c>
      <c r="G808" t="str">
        <f t="shared" ca="1" si="51"/>
        <v>Surfaces_Horti</v>
      </c>
      <c r="H808" cm="1">
        <f t="array" aca="1" ref="H808" ca="1">ROW(INDIRECT(A808))</f>
        <v>62</v>
      </c>
      <c r="I808" cm="1">
        <f t="array" aca="1" ref="I808" ca="1">COLUMN(INDIRECT(A808))</f>
        <v>10</v>
      </c>
      <c r="M808" t="str" cm="1">
        <f t="array" aca="1" ref="M808" ca="1">IF(AND(J808="O",ISBLANK(INDIRECT(A808))),"Valeur obligatoire non renseignée","")</f>
        <v/>
      </c>
    </row>
    <row r="809" spans="1:13" x14ac:dyDescent="0.25">
      <c r="A809" s="91" t="s">
        <v>3792</v>
      </c>
      <c r="B809" cm="1">
        <f t="array" aca="1" ref="B809" ca="1">INDIRECT(A809)</f>
        <v>0</v>
      </c>
      <c r="C809">
        <f t="shared" ca="1" si="48"/>
        <v>5</v>
      </c>
      <c r="D809" t="str" cm="1">
        <f t="array" aca="1" ref="D809" ca="1">CELL("nomfichier",INDIRECT(A809))</f>
        <v>G:\SCPE\sdc\bq\6 - Mentions valorisantes\Certification environnementale\TEXTES_REGLEMENTATION_CE\Plans_contrôle et grilles\Grille audit niveau 3\Grille d'audit v1.11\[grille-audit-hvev4-v1.11-vf.xlsx]Surfaces_Horti</v>
      </c>
      <c r="E809">
        <f t="shared" ca="1" si="49"/>
        <v>200</v>
      </c>
      <c r="F809">
        <f t="shared" ca="1" si="50"/>
        <v>214</v>
      </c>
      <c r="G809" t="str">
        <f t="shared" ca="1" si="51"/>
        <v>Surfaces_Horti</v>
      </c>
      <c r="H809" cm="1">
        <f t="array" aca="1" ref="H809" ca="1">ROW(INDIRECT(A809))</f>
        <v>62</v>
      </c>
      <c r="I809" cm="1">
        <f t="array" aca="1" ref="I809" ca="1">COLUMN(INDIRECT(A809))</f>
        <v>11</v>
      </c>
      <c r="M809" t="str" cm="1">
        <f t="array" aca="1" ref="M809" ca="1">IF(AND(J809="O",ISBLANK(INDIRECT(A809))),"Valeur obligatoire non renseignée","")</f>
        <v/>
      </c>
    </row>
    <row r="810" spans="1:13" x14ac:dyDescent="0.25">
      <c r="A810" s="91" t="s">
        <v>3819</v>
      </c>
      <c r="B810" cm="1">
        <f t="array" aca="1" ref="B810" ca="1">INDIRECT(A810)</f>
        <v>0</v>
      </c>
      <c r="C810">
        <f t="shared" ca="1" si="48"/>
        <v>5</v>
      </c>
      <c r="D810" t="str" cm="1">
        <f t="array" aca="1" ref="D810" ca="1">CELL("nomfichier",INDIRECT(A810))</f>
        <v>G:\SCPE\sdc\bq\6 - Mentions valorisantes\Certification environnementale\TEXTES_REGLEMENTATION_CE\Plans_contrôle et grilles\Grille audit niveau 3\Grille d'audit v1.11\[grille-audit-hvev4-v1.11-vf.xlsx]Surfaces_Horti</v>
      </c>
      <c r="E810">
        <f t="shared" ca="1" si="49"/>
        <v>200</v>
      </c>
      <c r="F810">
        <f t="shared" ca="1" si="50"/>
        <v>214</v>
      </c>
      <c r="G810" t="str">
        <f t="shared" ca="1" si="51"/>
        <v>Surfaces_Horti</v>
      </c>
      <c r="H810" cm="1">
        <f t="array" aca="1" ref="H810" ca="1">ROW(INDIRECT(A810))</f>
        <v>62</v>
      </c>
      <c r="I810" cm="1">
        <f t="array" aca="1" ref="I810" ca="1">COLUMN(INDIRECT(A810))</f>
        <v>12</v>
      </c>
      <c r="M810" t="str" cm="1">
        <f t="array" aca="1" ref="M810" ca="1">IF(AND(J810="O",ISBLANK(INDIRECT(A810))),"Valeur obligatoire non renseignée","")</f>
        <v/>
      </c>
    </row>
    <row r="811" spans="1:13" x14ac:dyDescent="0.25">
      <c r="A811" s="91" t="s">
        <v>3846</v>
      </c>
      <c r="B811" cm="1">
        <f t="array" aca="1" ref="B811" ca="1">INDIRECT(A811)</f>
        <v>0</v>
      </c>
      <c r="C811">
        <f t="shared" ca="1" si="48"/>
        <v>5</v>
      </c>
      <c r="D811" t="str" cm="1">
        <f t="array" aca="1" ref="D811" ca="1">CELL("nomfichier",INDIRECT(A811))</f>
        <v>G:\SCPE\sdc\bq\6 - Mentions valorisantes\Certification environnementale\TEXTES_REGLEMENTATION_CE\Plans_contrôle et grilles\Grille audit niveau 3\Grille d'audit v1.11\[grille-audit-hvev4-v1.11-vf.xlsx]Surfaces_Horti</v>
      </c>
      <c r="E811">
        <f t="shared" ca="1" si="49"/>
        <v>200</v>
      </c>
      <c r="F811">
        <f t="shared" ca="1" si="50"/>
        <v>214</v>
      </c>
      <c r="G811" t="str">
        <f t="shared" ca="1" si="51"/>
        <v>Surfaces_Horti</v>
      </c>
      <c r="H811" cm="1">
        <f t="array" aca="1" ref="H811" ca="1">ROW(INDIRECT(A811))</f>
        <v>62</v>
      </c>
      <c r="I811" cm="1">
        <f t="array" aca="1" ref="I811" ca="1">COLUMN(INDIRECT(A811))</f>
        <v>13</v>
      </c>
      <c r="M811" t="str" cm="1">
        <f t="array" aca="1" ref="M811" ca="1">IF(AND(J811="O",ISBLANK(INDIRECT(A811))),"Valeur obligatoire non renseignée","")</f>
        <v/>
      </c>
    </row>
    <row r="812" spans="1:13" x14ac:dyDescent="0.25">
      <c r="A812" s="91" t="s">
        <v>3873</v>
      </c>
      <c r="B812" cm="1">
        <f t="array" aca="1" ref="B812" ca="1">INDIRECT(A812)</f>
        <v>0</v>
      </c>
      <c r="C812">
        <f t="shared" ca="1" si="48"/>
        <v>5</v>
      </c>
      <c r="D812" t="str" cm="1">
        <f t="array" aca="1" ref="D812" ca="1">CELL("nomfichier",INDIRECT(A812))</f>
        <v>G:\SCPE\sdc\bq\6 - Mentions valorisantes\Certification environnementale\TEXTES_REGLEMENTATION_CE\Plans_contrôle et grilles\Grille audit niveau 3\Grille d'audit v1.11\[grille-audit-hvev4-v1.11-vf.xlsx]Surfaces_Horti</v>
      </c>
      <c r="E812">
        <f t="shared" ca="1" si="49"/>
        <v>200</v>
      </c>
      <c r="F812">
        <f t="shared" ca="1" si="50"/>
        <v>214</v>
      </c>
      <c r="G812" t="str">
        <f t="shared" ca="1" si="51"/>
        <v>Surfaces_Horti</v>
      </c>
      <c r="H812" cm="1">
        <f t="array" aca="1" ref="H812" ca="1">ROW(INDIRECT(A812))</f>
        <v>62</v>
      </c>
      <c r="I812" cm="1">
        <f t="array" aca="1" ref="I812" ca="1">COLUMN(INDIRECT(A812))</f>
        <v>14</v>
      </c>
      <c r="M812" t="str" cm="1">
        <f t="array" aca="1" ref="M812" ca="1">IF(AND(J812="O",ISBLANK(INDIRECT(A812))),"Valeur obligatoire non renseignée","")</f>
        <v/>
      </c>
    </row>
    <row r="813" spans="1:13" x14ac:dyDescent="0.25">
      <c r="A813" s="91" t="s">
        <v>3550</v>
      </c>
      <c r="B813" cm="1">
        <f t="array" aca="1" ref="B813" ca="1">INDIRECT(A813)</f>
        <v>0</v>
      </c>
      <c r="C813">
        <f t="shared" ca="1" si="48"/>
        <v>5</v>
      </c>
      <c r="D813" t="str" cm="1">
        <f t="array" aca="1" ref="D813" ca="1">CELL("nomfichier",INDIRECT(A813))</f>
        <v>G:\SCPE\sdc\bq\6 - Mentions valorisantes\Certification environnementale\TEXTES_REGLEMENTATION_CE\Plans_contrôle et grilles\Grille audit niveau 3\Grille d'audit v1.11\[grille-audit-hvev4-v1.11-vf.xlsx]Surfaces_Horti</v>
      </c>
      <c r="E813">
        <f t="shared" ca="1" si="49"/>
        <v>200</v>
      </c>
      <c r="F813">
        <f t="shared" ca="1" si="50"/>
        <v>214</v>
      </c>
      <c r="G813" t="str">
        <f t="shared" ca="1" si="51"/>
        <v>Surfaces_Horti</v>
      </c>
      <c r="H813" cm="1">
        <f t="array" aca="1" ref="H813" ca="1">ROW(INDIRECT(A813))</f>
        <v>63</v>
      </c>
      <c r="I813" cm="1">
        <f t="array" aca="1" ref="I813" ca="1">COLUMN(INDIRECT(A813))</f>
        <v>2</v>
      </c>
      <c r="M813" t="str" cm="1">
        <f t="array" aca="1" ref="M813" ca="1">IF(AND(J813="O",ISBLANK(INDIRECT(A813))),"Valeur obligatoire non renseignée","")</f>
        <v/>
      </c>
    </row>
    <row r="814" spans="1:13" x14ac:dyDescent="0.25">
      <c r="A814" s="91" t="s">
        <v>3577</v>
      </c>
      <c r="B814" cm="1">
        <f t="array" aca="1" ref="B814" ca="1">INDIRECT(A814)</f>
        <v>0</v>
      </c>
      <c r="C814">
        <f t="shared" ca="1" si="48"/>
        <v>5</v>
      </c>
      <c r="D814" t="str" cm="1">
        <f t="array" aca="1" ref="D814" ca="1">CELL("nomfichier",INDIRECT(A814))</f>
        <v>G:\SCPE\sdc\bq\6 - Mentions valorisantes\Certification environnementale\TEXTES_REGLEMENTATION_CE\Plans_contrôle et grilles\Grille audit niveau 3\Grille d'audit v1.11\[grille-audit-hvev4-v1.11-vf.xlsx]Surfaces_Horti</v>
      </c>
      <c r="E814">
        <f t="shared" ca="1" si="49"/>
        <v>200</v>
      </c>
      <c r="F814">
        <f t="shared" ca="1" si="50"/>
        <v>214</v>
      </c>
      <c r="G814" t="str">
        <f t="shared" ca="1" si="51"/>
        <v>Surfaces_Horti</v>
      </c>
      <c r="H814" cm="1">
        <f t="array" aca="1" ref="H814" ca="1">ROW(INDIRECT(A814))</f>
        <v>63</v>
      </c>
      <c r="I814" cm="1">
        <f t="array" aca="1" ref="I814" ca="1">COLUMN(INDIRECT(A814))</f>
        <v>3</v>
      </c>
      <c r="M814" t="str" cm="1">
        <f t="array" aca="1" ref="M814" ca="1">IF(AND(J814="O",ISBLANK(INDIRECT(A814))),"Valeur obligatoire non renseignée","")</f>
        <v/>
      </c>
    </row>
    <row r="815" spans="1:13" x14ac:dyDescent="0.25">
      <c r="A815" s="91" t="s">
        <v>3604</v>
      </c>
      <c r="B815" cm="1">
        <f t="array" aca="1" ref="B815" ca="1">INDIRECT(A815)</f>
        <v>0</v>
      </c>
      <c r="C815">
        <f t="shared" ca="1" si="48"/>
        <v>5</v>
      </c>
      <c r="D815" t="str" cm="1">
        <f t="array" aca="1" ref="D815" ca="1">CELL("nomfichier",INDIRECT(A815))</f>
        <v>G:\SCPE\sdc\bq\6 - Mentions valorisantes\Certification environnementale\TEXTES_REGLEMENTATION_CE\Plans_contrôle et grilles\Grille audit niveau 3\Grille d'audit v1.11\[grille-audit-hvev4-v1.11-vf.xlsx]Surfaces_Horti</v>
      </c>
      <c r="E815">
        <f t="shared" ca="1" si="49"/>
        <v>200</v>
      </c>
      <c r="F815">
        <f t="shared" ca="1" si="50"/>
        <v>214</v>
      </c>
      <c r="G815" t="str">
        <f t="shared" ca="1" si="51"/>
        <v>Surfaces_Horti</v>
      </c>
      <c r="H815" cm="1">
        <f t="array" aca="1" ref="H815" ca="1">ROW(INDIRECT(A815))</f>
        <v>63</v>
      </c>
      <c r="I815" cm="1">
        <f t="array" aca="1" ref="I815" ca="1">COLUMN(INDIRECT(A815))</f>
        <v>4</v>
      </c>
      <c r="M815" t="str" cm="1">
        <f t="array" aca="1" ref="M815" ca="1">IF(AND(J815="O",ISBLANK(INDIRECT(A815))),"Valeur obligatoire non renseignée","")</f>
        <v/>
      </c>
    </row>
    <row r="816" spans="1:13" x14ac:dyDescent="0.25">
      <c r="A816" s="91" t="s">
        <v>3631</v>
      </c>
      <c r="B816" cm="1">
        <f t="array" aca="1" ref="B816" ca="1">INDIRECT(A816)</f>
        <v>0</v>
      </c>
      <c r="C816">
        <f t="shared" ca="1" si="48"/>
        <v>5</v>
      </c>
      <c r="D816" t="str" cm="1">
        <f t="array" aca="1" ref="D816" ca="1">CELL("nomfichier",INDIRECT(A816))</f>
        <v>G:\SCPE\sdc\bq\6 - Mentions valorisantes\Certification environnementale\TEXTES_REGLEMENTATION_CE\Plans_contrôle et grilles\Grille audit niveau 3\Grille d'audit v1.11\[grille-audit-hvev4-v1.11-vf.xlsx]Surfaces_Horti</v>
      </c>
      <c r="E816">
        <f t="shared" ca="1" si="49"/>
        <v>200</v>
      </c>
      <c r="F816">
        <f t="shared" ca="1" si="50"/>
        <v>214</v>
      </c>
      <c r="G816" t="str">
        <f t="shared" ca="1" si="51"/>
        <v>Surfaces_Horti</v>
      </c>
      <c r="H816" cm="1">
        <f t="array" aca="1" ref="H816" ca="1">ROW(INDIRECT(A816))</f>
        <v>63</v>
      </c>
      <c r="I816" cm="1">
        <f t="array" aca="1" ref="I816" ca="1">COLUMN(INDIRECT(A816))</f>
        <v>5</v>
      </c>
      <c r="M816" t="str" cm="1">
        <f t="array" aca="1" ref="M816" ca="1">IF(AND(J816="O",ISBLANK(INDIRECT(A816))),"Valeur obligatoire non renseignée","")</f>
        <v/>
      </c>
    </row>
    <row r="817" spans="1:13" x14ac:dyDescent="0.25">
      <c r="A817" s="91" t="s">
        <v>3658</v>
      </c>
      <c r="B817" cm="1">
        <f t="array" aca="1" ref="B817" ca="1">INDIRECT(A817)</f>
        <v>0</v>
      </c>
      <c r="C817">
        <f t="shared" ca="1" si="48"/>
        <v>5</v>
      </c>
      <c r="D817" t="str" cm="1">
        <f t="array" aca="1" ref="D817" ca="1">CELL("nomfichier",INDIRECT(A817))</f>
        <v>G:\SCPE\sdc\bq\6 - Mentions valorisantes\Certification environnementale\TEXTES_REGLEMENTATION_CE\Plans_contrôle et grilles\Grille audit niveau 3\Grille d'audit v1.11\[grille-audit-hvev4-v1.11-vf.xlsx]Surfaces_Horti</v>
      </c>
      <c r="E817">
        <f t="shared" ca="1" si="49"/>
        <v>200</v>
      </c>
      <c r="F817">
        <f t="shared" ca="1" si="50"/>
        <v>214</v>
      </c>
      <c r="G817" t="str">
        <f t="shared" ca="1" si="51"/>
        <v>Surfaces_Horti</v>
      </c>
      <c r="H817" cm="1">
        <f t="array" aca="1" ref="H817" ca="1">ROW(INDIRECT(A817))</f>
        <v>63</v>
      </c>
      <c r="I817" cm="1">
        <f t="array" aca="1" ref="I817" ca="1">COLUMN(INDIRECT(A817))</f>
        <v>6</v>
      </c>
      <c r="M817" t="str" cm="1">
        <f t="array" aca="1" ref="M817" ca="1">IF(AND(J817="O",ISBLANK(INDIRECT(A817))),"Valeur obligatoire non renseignée","")</f>
        <v/>
      </c>
    </row>
    <row r="818" spans="1:13" x14ac:dyDescent="0.25">
      <c r="A818" s="91" t="s">
        <v>3685</v>
      </c>
      <c r="B818" cm="1">
        <f t="array" aca="1" ref="B818" ca="1">INDIRECT(A818)</f>
        <v>0</v>
      </c>
      <c r="C818">
        <f t="shared" ca="1" si="48"/>
        <v>5</v>
      </c>
      <c r="D818" t="str" cm="1">
        <f t="array" aca="1" ref="D818" ca="1">CELL("nomfichier",INDIRECT(A818))</f>
        <v>G:\SCPE\sdc\bq\6 - Mentions valorisantes\Certification environnementale\TEXTES_REGLEMENTATION_CE\Plans_contrôle et grilles\Grille audit niveau 3\Grille d'audit v1.11\[grille-audit-hvev4-v1.11-vf.xlsx]Surfaces_Horti</v>
      </c>
      <c r="E818">
        <f t="shared" ca="1" si="49"/>
        <v>200</v>
      </c>
      <c r="F818">
        <f t="shared" ca="1" si="50"/>
        <v>214</v>
      </c>
      <c r="G818" t="str">
        <f t="shared" ca="1" si="51"/>
        <v>Surfaces_Horti</v>
      </c>
      <c r="H818" cm="1">
        <f t="array" aca="1" ref="H818" ca="1">ROW(INDIRECT(A818))</f>
        <v>63</v>
      </c>
      <c r="I818" cm="1">
        <f t="array" aca="1" ref="I818" ca="1">COLUMN(INDIRECT(A818))</f>
        <v>7</v>
      </c>
      <c r="M818" t="str" cm="1">
        <f t="array" aca="1" ref="M818" ca="1">IF(AND(J818="O",ISBLANK(INDIRECT(A818))),"Valeur obligatoire non renseignée","")</f>
        <v/>
      </c>
    </row>
    <row r="819" spans="1:13" x14ac:dyDescent="0.25">
      <c r="A819" s="91" t="s">
        <v>3712</v>
      </c>
      <c r="B819" cm="1">
        <f t="array" aca="1" ref="B819" ca="1">INDIRECT(A819)</f>
        <v>0</v>
      </c>
      <c r="C819">
        <f t="shared" ca="1" si="48"/>
        <v>5</v>
      </c>
      <c r="D819" t="str" cm="1">
        <f t="array" aca="1" ref="D819" ca="1">CELL("nomfichier",INDIRECT(A819))</f>
        <v>G:\SCPE\sdc\bq\6 - Mentions valorisantes\Certification environnementale\TEXTES_REGLEMENTATION_CE\Plans_contrôle et grilles\Grille audit niveau 3\Grille d'audit v1.11\[grille-audit-hvev4-v1.11-vf.xlsx]Surfaces_Horti</v>
      </c>
      <c r="E819">
        <f t="shared" ca="1" si="49"/>
        <v>200</v>
      </c>
      <c r="F819">
        <f t="shared" ca="1" si="50"/>
        <v>214</v>
      </c>
      <c r="G819" t="str">
        <f t="shared" ca="1" si="51"/>
        <v>Surfaces_Horti</v>
      </c>
      <c r="H819" cm="1">
        <f t="array" aca="1" ref="H819" ca="1">ROW(INDIRECT(A819))</f>
        <v>63</v>
      </c>
      <c r="I819" cm="1">
        <f t="array" aca="1" ref="I819" ca="1">COLUMN(INDIRECT(A819))</f>
        <v>8</v>
      </c>
      <c r="M819" t="str" cm="1">
        <f t="array" aca="1" ref="M819" ca="1">IF(AND(J819="O",ISBLANK(INDIRECT(A819))),"Valeur obligatoire non renseignée","")</f>
        <v/>
      </c>
    </row>
    <row r="820" spans="1:13" x14ac:dyDescent="0.25">
      <c r="A820" s="91" t="s">
        <v>3739</v>
      </c>
      <c r="B820" cm="1">
        <f t="array" aca="1" ref="B820" ca="1">INDIRECT(A820)</f>
        <v>0</v>
      </c>
      <c r="C820">
        <f t="shared" ca="1" si="48"/>
        <v>5</v>
      </c>
      <c r="D820" t="str" cm="1">
        <f t="array" aca="1" ref="D820" ca="1">CELL("nomfichier",INDIRECT(A820))</f>
        <v>G:\SCPE\sdc\bq\6 - Mentions valorisantes\Certification environnementale\TEXTES_REGLEMENTATION_CE\Plans_contrôle et grilles\Grille audit niveau 3\Grille d'audit v1.11\[grille-audit-hvev4-v1.11-vf.xlsx]Surfaces_Horti</v>
      </c>
      <c r="E820">
        <f t="shared" ca="1" si="49"/>
        <v>200</v>
      </c>
      <c r="F820">
        <f t="shared" ca="1" si="50"/>
        <v>214</v>
      </c>
      <c r="G820" t="str">
        <f t="shared" ca="1" si="51"/>
        <v>Surfaces_Horti</v>
      </c>
      <c r="H820" cm="1">
        <f t="array" aca="1" ref="H820" ca="1">ROW(INDIRECT(A820))</f>
        <v>63</v>
      </c>
      <c r="I820" cm="1">
        <f t="array" aca="1" ref="I820" ca="1">COLUMN(INDIRECT(A820))</f>
        <v>9</v>
      </c>
      <c r="M820" t="str" cm="1">
        <f t="array" aca="1" ref="M820" ca="1">IF(AND(J820="O",ISBLANK(INDIRECT(A820))),"Valeur obligatoire non renseignée","")</f>
        <v/>
      </c>
    </row>
    <row r="821" spans="1:13" x14ac:dyDescent="0.25">
      <c r="A821" s="91" t="s">
        <v>3766</v>
      </c>
      <c r="B821" cm="1">
        <f t="array" aca="1" ref="B821" ca="1">INDIRECT(A821)</f>
        <v>0</v>
      </c>
      <c r="C821">
        <f t="shared" ca="1" si="48"/>
        <v>5</v>
      </c>
      <c r="D821" t="str" cm="1">
        <f t="array" aca="1" ref="D821" ca="1">CELL("nomfichier",INDIRECT(A821))</f>
        <v>G:\SCPE\sdc\bq\6 - Mentions valorisantes\Certification environnementale\TEXTES_REGLEMENTATION_CE\Plans_contrôle et grilles\Grille audit niveau 3\Grille d'audit v1.11\[grille-audit-hvev4-v1.11-vf.xlsx]Surfaces_Horti</v>
      </c>
      <c r="E821">
        <f t="shared" ca="1" si="49"/>
        <v>200</v>
      </c>
      <c r="F821">
        <f t="shared" ca="1" si="50"/>
        <v>214</v>
      </c>
      <c r="G821" t="str">
        <f t="shared" ca="1" si="51"/>
        <v>Surfaces_Horti</v>
      </c>
      <c r="H821" cm="1">
        <f t="array" aca="1" ref="H821" ca="1">ROW(INDIRECT(A821))</f>
        <v>63</v>
      </c>
      <c r="I821" cm="1">
        <f t="array" aca="1" ref="I821" ca="1">COLUMN(INDIRECT(A821))</f>
        <v>10</v>
      </c>
      <c r="M821" t="str" cm="1">
        <f t="array" aca="1" ref="M821" ca="1">IF(AND(J821="O",ISBLANK(INDIRECT(A821))),"Valeur obligatoire non renseignée","")</f>
        <v/>
      </c>
    </row>
    <row r="822" spans="1:13" x14ac:dyDescent="0.25">
      <c r="A822" s="91" t="s">
        <v>3793</v>
      </c>
      <c r="B822" cm="1">
        <f t="array" aca="1" ref="B822" ca="1">INDIRECT(A822)</f>
        <v>0</v>
      </c>
      <c r="C822">
        <f t="shared" ca="1" si="48"/>
        <v>5</v>
      </c>
      <c r="D822" t="str" cm="1">
        <f t="array" aca="1" ref="D822" ca="1">CELL("nomfichier",INDIRECT(A822))</f>
        <v>G:\SCPE\sdc\bq\6 - Mentions valorisantes\Certification environnementale\TEXTES_REGLEMENTATION_CE\Plans_contrôle et grilles\Grille audit niveau 3\Grille d'audit v1.11\[grille-audit-hvev4-v1.11-vf.xlsx]Surfaces_Horti</v>
      </c>
      <c r="E822">
        <f t="shared" ca="1" si="49"/>
        <v>200</v>
      </c>
      <c r="F822">
        <f t="shared" ca="1" si="50"/>
        <v>214</v>
      </c>
      <c r="G822" t="str">
        <f t="shared" ca="1" si="51"/>
        <v>Surfaces_Horti</v>
      </c>
      <c r="H822" cm="1">
        <f t="array" aca="1" ref="H822" ca="1">ROW(INDIRECT(A822))</f>
        <v>63</v>
      </c>
      <c r="I822" cm="1">
        <f t="array" aca="1" ref="I822" ca="1">COLUMN(INDIRECT(A822))</f>
        <v>11</v>
      </c>
      <c r="M822" t="str" cm="1">
        <f t="array" aca="1" ref="M822" ca="1">IF(AND(J822="O",ISBLANK(INDIRECT(A822))),"Valeur obligatoire non renseignée","")</f>
        <v/>
      </c>
    </row>
    <row r="823" spans="1:13" x14ac:dyDescent="0.25">
      <c r="A823" s="91" t="s">
        <v>3820</v>
      </c>
      <c r="B823" cm="1">
        <f t="array" aca="1" ref="B823" ca="1">INDIRECT(A823)</f>
        <v>0</v>
      </c>
      <c r="C823">
        <f t="shared" ca="1" si="48"/>
        <v>5</v>
      </c>
      <c r="D823" t="str" cm="1">
        <f t="array" aca="1" ref="D823" ca="1">CELL("nomfichier",INDIRECT(A823))</f>
        <v>G:\SCPE\sdc\bq\6 - Mentions valorisantes\Certification environnementale\TEXTES_REGLEMENTATION_CE\Plans_contrôle et grilles\Grille audit niveau 3\Grille d'audit v1.11\[grille-audit-hvev4-v1.11-vf.xlsx]Surfaces_Horti</v>
      </c>
      <c r="E823">
        <f t="shared" ca="1" si="49"/>
        <v>200</v>
      </c>
      <c r="F823">
        <f t="shared" ca="1" si="50"/>
        <v>214</v>
      </c>
      <c r="G823" t="str">
        <f t="shared" ca="1" si="51"/>
        <v>Surfaces_Horti</v>
      </c>
      <c r="H823" cm="1">
        <f t="array" aca="1" ref="H823" ca="1">ROW(INDIRECT(A823))</f>
        <v>63</v>
      </c>
      <c r="I823" cm="1">
        <f t="array" aca="1" ref="I823" ca="1">COLUMN(INDIRECT(A823))</f>
        <v>12</v>
      </c>
      <c r="M823" t="str" cm="1">
        <f t="array" aca="1" ref="M823" ca="1">IF(AND(J823="O",ISBLANK(INDIRECT(A823))),"Valeur obligatoire non renseignée","")</f>
        <v/>
      </c>
    </row>
    <row r="824" spans="1:13" x14ac:dyDescent="0.25">
      <c r="A824" s="91" t="s">
        <v>3847</v>
      </c>
      <c r="B824" cm="1">
        <f t="array" aca="1" ref="B824" ca="1">INDIRECT(A824)</f>
        <v>0</v>
      </c>
      <c r="C824">
        <f t="shared" ca="1" si="48"/>
        <v>5</v>
      </c>
      <c r="D824" t="str" cm="1">
        <f t="array" aca="1" ref="D824" ca="1">CELL("nomfichier",INDIRECT(A824))</f>
        <v>G:\SCPE\sdc\bq\6 - Mentions valorisantes\Certification environnementale\TEXTES_REGLEMENTATION_CE\Plans_contrôle et grilles\Grille audit niveau 3\Grille d'audit v1.11\[grille-audit-hvev4-v1.11-vf.xlsx]Surfaces_Horti</v>
      </c>
      <c r="E824">
        <f t="shared" ca="1" si="49"/>
        <v>200</v>
      </c>
      <c r="F824">
        <f t="shared" ca="1" si="50"/>
        <v>214</v>
      </c>
      <c r="G824" t="str">
        <f t="shared" ca="1" si="51"/>
        <v>Surfaces_Horti</v>
      </c>
      <c r="H824" cm="1">
        <f t="array" aca="1" ref="H824" ca="1">ROW(INDIRECT(A824))</f>
        <v>63</v>
      </c>
      <c r="I824" cm="1">
        <f t="array" aca="1" ref="I824" ca="1">COLUMN(INDIRECT(A824))</f>
        <v>13</v>
      </c>
      <c r="M824" t="str" cm="1">
        <f t="array" aca="1" ref="M824" ca="1">IF(AND(J824="O",ISBLANK(INDIRECT(A824))),"Valeur obligatoire non renseignée","")</f>
        <v/>
      </c>
    </row>
    <row r="825" spans="1:13" x14ac:dyDescent="0.25">
      <c r="A825" s="91" t="s">
        <v>3874</v>
      </c>
      <c r="B825" cm="1">
        <f t="array" aca="1" ref="B825" ca="1">INDIRECT(A825)</f>
        <v>0</v>
      </c>
      <c r="C825">
        <f t="shared" ca="1" si="48"/>
        <v>5</v>
      </c>
      <c r="D825" t="str" cm="1">
        <f t="array" aca="1" ref="D825" ca="1">CELL("nomfichier",INDIRECT(A825))</f>
        <v>G:\SCPE\sdc\bq\6 - Mentions valorisantes\Certification environnementale\TEXTES_REGLEMENTATION_CE\Plans_contrôle et grilles\Grille audit niveau 3\Grille d'audit v1.11\[grille-audit-hvev4-v1.11-vf.xlsx]Surfaces_Horti</v>
      </c>
      <c r="E825">
        <f t="shared" ca="1" si="49"/>
        <v>200</v>
      </c>
      <c r="F825">
        <f t="shared" ca="1" si="50"/>
        <v>214</v>
      </c>
      <c r="G825" t="str">
        <f t="shared" ca="1" si="51"/>
        <v>Surfaces_Horti</v>
      </c>
      <c r="H825" cm="1">
        <f t="array" aca="1" ref="H825" ca="1">ROW(INDIRECT(A825))</f>
        <v>63</v>
      </c>
      <c r="I825" cm="1">
        <f t="array" aca="1" ref="I825" ca="1">COLUMN(INDIRECT(A825))</f>
        <v>14</v>
      </c>
      <c r="M825" t="str" cm="1">
        <f t="array" aca="1" ref="M825" ca="1">IF(AND(J825="O",ISBLANK(INDIRECT(A825))),"Valeur obligatoire non renseignée","")</f>
        <v/>
      </c>
    </row>
    <row r="826" spans="1:13" x14ac:dyDescent="0.25">
      <c r="A826" s="91" t="s">
        <v>3551</v>
      </c>
      <c r="B826" cm="1">
        <f t="array" aca="1" ref="B826" ca="1">INDIRECT(A826)</f>
        <v>0</v>
      </c>
      <c r="C826">
        <f t="shared" ca="1" si="48"/>
        <v>5</v>
      </c>
      <c r="D826" t="str" cm="1">
        <f t="array" aca="1" ref="D826" ca="1">CELL("nomfichier",INDIRECT(A826))</f>
        <v>G:\SCPE\sdc\bq\6 - Mentions valorisantes\Certification environnementale\TEXTES_REGLEMENTATION_CE\Plans_contrôle et grilles\Grille audit niveau 3\Grille d'audit v1.11\[grille-audit-hvev4-v1.11-vf.xlsx]Surfaces_Horti</v>
      </c>
      <c r="E826">
        <f t="shared" ca="1" si="49"/>
        <v>200</v>
      </c>
      <c r="F826">
        <f t="shared" ca="1" si="50"/>
        <v>214</v>
      </c>
      <c r="G826" t="str">
        <f t="shared" ca="1" si="51"/>
        <v>Surfaces_Horti</v>
      </c>
      <c r="H826" cm="1">
        <f t="array" aca="1" ref="H826" ca="1">ROW(INDIRECT(A826))</f>
        <v>64</v>
      </c>
      <c r="I826" cm="1">
        <f t="array" aca="1" ref="I826" ca="1">COLUMN(INDIRECT(A826))</f>
        <v>2</v>
      </c>
      <c r="M826" t="str" cm="1">
        <f t="array" aca="1" ref="M826" ca="1">IF(AND(J826="O",ISBLANK(INDIRECT(A826))),"Valeur obligatoire non renseignée","")</f>
        <v/>
      </c>
    </row>
    <row r="827" spans="1:13" x14ac:dyDescent="0.25">
      <c r="A827" s="91" t="s">
        <v>3578</v>
      </c>
      <c r="B827" cm="1">
        <f t="array" aca="1" ref="B827" ca="1">INDIRECT(A827)</f>
        <v>0</v>
      </c>
      <c r="C827">
        <f t="shared" ca="1" si="48"/>
        <v>5</v>
      </c>
      <c r="D827" t="str" cm="1">
        <f t="array" aca="1" ref="D827" ca="1">CELL("nomfichier",INDIRECT(A827))</f>
        <v>G:\SCPE\sdc\bq\6 - Mentions valorisantes\Certification environnementale\TEXTES_REGLEMENTATION_CE\Plans_contrôle et grilles\Grille audit niveau 3\Grille d'audit v1.11\[grille-audit-hvev4-v1.11-vf.xlsx]Surfaces_Horti</v>
      </c>
      <c r="E827">
        <f t="shared" ca="1" si="49"/>
        <v>200</v>
      </c>
      <c r="F827">
        <f t="shared" ca="1" si="50"/>
        <v>214</v>
      </c>
      <c r="G827" t="str">
        <f t="shared" ca="1" si="51"/>
        <v>Surfaces_Horti</v>
      </c>
      <c r="H827" cm="1">
        <f t="array" aca="1" ref="H827" ca="1">ROW(INDIRECT(A827))</f>
        <v>64</v>
      </c>
      <c r="I827" cm="1">
        <f t="array" aca="1" ref="I827" ca="1">COLUMN(INDIRECT(A827))</f>
        <v>3</v>
      </c>
      <c r="M827" t="str" cm="1">
        <f t="array" aca="1" ref="M827" ca="1">IF(AND(J827="O",ISBLANK(INDIRECT(A827))),"Valeur obligatoire non renseignée","")</f>
        <v/>
      </c>
    </row>
    <row r="828" spans="1:13" x14ac:dyDescent="0.25">
      <c r="A828" s="91" t="s">
        <v>3605</v>
      </c>
      <c r="B828" cm="1">
        <f t="array" aca="1" ref="B828" ca="1">INDIRECT(A828)</f>
        <v>0</v>
      </c>
      <c r="C828">
        <f t="shared" ca="1" si="48"/>
        <v>5</v>
      </c>
      <c r="D828" t="str" cm="1">
        <f t="array" aca="1" ref="D828" ca="1">CELL("nomfichier",INDIRECT(A828))</f>
        <v>G:\SCPE\sdc\bq\6 - Mentions valorisantes\Certification environnementale\TEXTES_REGLEMENTATION_CE\Plans_contrôle et grilles\Grille audit niveau 3\Grille d'audit v1.11\[grille-audit-hvev4-v1.11-vf.xlsx]Surfaces_Horti</v>
      </c>
      <c r="E828">
        <f t="shared" ca="1" si="49"/>
        <v>200</v>
      </c>
      <c r="F828">
        <f t="shared" ca="1" si="50"/>
        <v>214</v>
      </c>
      <c r="G828" t="str">
        <f t="shared" ca="1" si="51"/>
        <v>Surfaces_Horti</v>
      </c>
      <c r="H828" cm="1">
        <f t="array" aca="1" ref="H828" ca="1">ROW(INDIRECT(A828))</f>
        <v>64</v>
      </c>
      <c r="I828" cm="1">
        <f t="array" aca="1" ref="I828" ca="1">COLUMN(INDIRECT(A828))</f>
        <v>4</v>
      </c>
      <c r="M828" t="str" cm="1">
        <f t="array" aca="1" ref="M828" ca="1">IF(AND(J828="O",ISBLANK(INDIRECT(A828))),"Valeur obligatoire non renseignée","")</f>
        <v/>
      </c>
    </row>
    <row r="829" spans="1:13" x14ac:dyDescent="0.25">
      <c r="A829" s="91" t="s">
        <v>3632</v>
      </c>
      <c r="B829" cm="1">
        <f t="array" aca="1" ref="B829" ca="1">INDIRECT(A829)</f>
        <v>0</v>
      </c>
      <c r="C829">
        <f t="shared" ca="1" si="48"/>
        <v>5</v>
      </c>
      <c r="D829" t="str" cm="1">
        <f t="array" aca="1" ref="D829" ca="1">CELL("nomfichier",INDIRECT(A829))</f>
        <v>G:\SCPE\sdc\bq\6 - Mentions valorisantes\Certification environnementale\TEXTES_REGLEMENTATION_CE\Plans_contrôle et grilles\Grille audit niveau 3\Grille d'audit v1.11\[grille-audit-hvev4-v1.11-vf.xlsx]Surfaces_Horti</v>
      </c>
      <c r="E829">
        <f t="shared" ca="1" si="49"/>
        <v>200</v>
      </c>
      <c r="F829">
        <f t="shared" ca="1" si="50"/>
        <v>214</v>
      </c>
      <c r="G829" t="str">
        <f t="shared" ca="1" si="51"/>
        <v>Surfaces_Horti</v>
      </c>
      <c r="H829" cm="1">
        <f t="array" aca="1" ref="H829" ca="1">ROW(INDIRECT(A829))</f>
        <v>64</v>
      </c>
      <c r="I829" cm="1">
        <f t="array" aca="1" ref="I829" ca="1">COLUMN(INDIRECT(A829))</f>
        <v>5</v>
      </c>
      <c r="M829" t="str" cm="1">
        <f t="array" aca="1" ref="M829" ca="1">IF(AND(J829="O",ISBLANK(INDIRECT(A829))),"Valeur obligatoire non renseignée","")</f>
        <v/>
      </c>
    </row>
    <row r="830" spans="1:13" x14ac:dyDescent="0.25">
      <c r="A830" s="91" t="s">
        <v>3659</v>
      </c>
      <c r="B830" cm="1">
        <f t="array" aca="1" ref="B830" ca="1">INDIRECT(A830)</f>
        <v>0</v>
      </c>
      <c r="C830">
        <f t="shared" ca="1" si="48"/>
        <v>5</v>
      </c>
      <c r="D830" t="str" cm="1">
        <f t="array" aca="1" ref="D830" ca="1">CELL("nomfichier",INDIRECT(A830))</f>
        <v>G:\SCPE\sdc\bq\6 - Mentions valorisantes\Certification environnementale\TEXTES_REGLEMENTATION_CE\Plans_contrôle et grilles\Grille audit niveau 3\Grille d'audit v1.11\[grille-audit-hvev4-v1.11-vf.xlsx]Surfaces_Horti</v>
      </c>
      <c r="E830">
        <f t="shared" ca="1" si="49"/>
        <v>200</v>
      </c>
      <c r="F830">
        <f t="shared" ca="1" si="50"/>
        <v>214</v>
      </c>
      <c r="G830" t="str">
        <f t="shared" ca="1" si="51"/>
        <v>Surfaces_Horti</v>
      </c>
      <c r="H830" cm="1">
        <f t="array" aca="1" ref="H830" ca="1">ROW(INDIRECT(A830))</f>
        <v>64</v>
      </c>
      <c r="I830" cm="1">
        <f t="array" aca="1" ref="I830" ca="1">COLUMN(INDIRECT(A830))</f>
        <v>6</v>
      </c>
      <c r="M830" t="str" cm="1">
        <f t="array" aca="1" ref="M830" ca="1">IF(AND(J830="O",ISBLANK(INDIRECT(A830))),"Valeur obligatoire non renseignée","")</f>
        <v/>
      </c>
    </row>
    <row r="831" spans="1:13" x14ac:dyDescent="0.25">
      <c r="A831" s="91" t="s">
        <v>3686</v>
      </c>
      <c r="B831" cm="1">
        <f t="array" aca="1" ref="B831" ca="1">INDIRECT(A831)</f>
        <v>0</v>
      </c>
      <c r="C831">
        <f t="shared" ca="1" si="48"/>
        <v>5</v>
      </c>
      <c r="D831" t="str" cm="1">
        <f t="array" aca="1" ref="D831" ca="1">CELL("nomfichier",INDIRECT(A831))</f>
        <v>G:\SCPE\sdc\bq\6 - Mentions valorisantes\Certification environnementale\TEXTES_REGLEMENTATION_CE\Plans_contrôle et grilles\Grille audit niveau 3\Grille d'audit v1.11\[grille-audit-hvev4-v1.11-vf.xlsx]Surfaces_Horti</v>
      </c>
      <c r="E831">
        <f t="shared" ca="1" si="49"/>
        <v>200</v>
      </c>
      <c r="F831">
        <f t="shared" ca="1" si="50"/>
        <v>214</v>
      </c>
      <c r="G831" t="str">
        <f t="shared" ca="1" si="51"/>
        <v>Surfaces_Horti</v>
      </c>
      <c r="H831" cm="1">
        <f t="array" aca="1" ref="H831" ca="1">ROW(INDIRECT(A831))</f>
        <v>64</v>
      </c>
      <c r="I831" cm="1">
        <f t="array" aca="1" ref="I831" ca="1">COLUMN(INDIRECT(A831))</f>
        <v>7</v>
      </c>
      <c r="M831" t="str" cm="1">
        <f t="array" aca="1" ref="M831" ca="1">IF(AND(J831="O",ISBLANK(INDIRECT(A831))),"Valeur obligatoire non renseignée","")</f>
        <v/>
      </c>
    </row>
    <row r="832" spans="1:13" x14ac:dyDescent="0.25">
      <c r="A832" s="91" t="s">
        <v>3713</v>
      </c>
      <c r="B832" cm="1">
        <f t="array" aca="1" ref="B832" ca="1">INDIRECT(A832)</f>
        <v>0</v>
      </c>
      <c r="C832">
        <f t="shared" ca="1" si="48"/>
        <v>5</v>
      </c>
      <c r="D832" t="str" cm="1">
        <f t="array" aca="1" ref="D832" ca="1">CELL("nomfichier",INDIRECT(A832))</f>
        <v>G:\SCPE\sdc\bq\6 - Mentions valorisantes\Certification environnementale\TEXTES_REGLEMENTATION_CE\Plans_contrôle et grilles\Grille audit niveau 3\Grille d'audit v1.11\[grille-audit-hvev4-v1.11-vf.xlsx]Surfaces_Horti</v>
      </c>
      <c r="E832">
        <f t="shared" ca="1" si="49"/>
        <v>200</v>
      </c>
      <c r="F832">
        <f t="shared" ca="1" si="50"/>
        <v>214</v>
      </c>
      <c r="G832" t="str">
        <f t="shared" ca="1" si="51"/>
        <v>Surfaces_Horti</v>
      </c>
      <c r="H832" cm="1">
        <f t="array" aca="1" ref="H832" ca="1">ROW(INDIRECT(A832))</f>
        <v>64</v>
      </c>
      <c r="I832" cm="1">
        <f t="array" aca="1" ref="I832" ca="1">COLUMN(INDIRECT(A832))</f>
        <v>8</v>
      </c>
      <c r="M832" t="str" cm="1">
        <f t="array" aca="1" ref="M832" ca="1">IF(AND(J832="O",ISBLANK(INDIRECT(A832))),"Valeur obligatoire non renseignée","")</f>
        <v/>
      </c>
    </row>
    <row r="833" spans="1:13" x14ac:dyDescent="0.25">
      <c r="A833" s="91" t="s">
        <v>3740</v>
      </c>
      <c r="B833" cm="1">
        <f t="array" aca="1" ref="B833" ca="1">INDIRECT(A833)</f>
        <v>0</v>
      </c>
      <c r="C833">
        <f t="shared" ca="1" si="48"/>
        <v>5</v>
      </c>
      <c r="D833" t="str" cm="1">
        <f t="array" aca="1" ref="D833" ca="1">CELL("nomfichier",INDIRECT(A833))</f>
        <v>G:\SCPE\sdc\bq\6 - Mentions valorisantes\Certification environnementale\TEXTES_REGLEMENTATION_CE\Plans_contrôle et grilles\Grille audit niveau 3\Grille d'audit v1.11\[grille-audit-hvev4-v1.11-vf.xlsx]Surfaces_Horti</v>
      </c>
      <c r="E833">
        <f t="shared" ca="1" si="49"/>
        <v>200</v>
      </c>
      <c r="F833">
        <f t="shared" ca="1" si="50"/>
        <v>214</v>
      </c>
      <c r="G833" t="str">
        <f t="shared" ca="1" si="51"/>
        <v>Surfaces_Horti</v>
      </c>
      <c r="H833" cm="1">
        <f t="array" aca="1" ref="H833" ca="1">ROW(INDIRECT(A833))</f>
        <v>64</v>
      </c>
      <c r="I833" cm="1">
        <f t="array" aca="1" ref="I833" ca="1">COLUMN(INDIRECT(A833))</f>
        <v>9</v>
      </c>
      <c r="M833" t="str" cm="1">
        <f t="array" aca="1" ref="M833" ca="1">IF(AND(J833="O",ISBLANK(INDIRECT(A833))),"Valeur obligatoire non renseignée","")</f>
        <v/>
      </c>
    </row>
    <row r="834" spans="1:13" x14ac:dyDescent="0.25">
      <c r="A834" s="91" t="s">
        <v>3767</v>
      </c>
      <c r="B834" cm="1">
        <f t="array" aca="1" ref="B834" ca="1">INDIRECT(A834)</f>
        <v>0</v>
      </c>
      <c r="C834">
        <f t="shared" ref="C834:C897" ca="1" si="52">_xlfn.SHEET(INDIRECT(A834))</f>
        <v>5</v>
      </c>
      <c r="D834" t="str" cm="1">
        <f t="array" aca="1" ref="D834" ca="1">CELL("nomfichier",INDIRECT(A834))</f>
        <v>G:\SCPE\sdc\bq\6 - Mentions valorisantes\Certification environnementale\TEXTES_REGLEMENTATION_CE\Plans_contrôle et grilles\Grille audit niveau 3\Grille d'audit v1.11\[grille-audit-hvev4-v1.11-vf.xlsx]Surfaces_Horti</v>
      </c>
      <c r="E834">
        <f t="shared" ref="E834:E897" ca="1" si="53">FIND("]",D834)</f>
        <v>200</v>
      </c>
      <c r="F834">
        <f t="shared" ref="F834:F897" ca="1" si="54">LEN(D834)</f>
        <v>214</v>
      </c>
      <c r="G834" t="str">
        <f t="shared" ref="G834:G897" ca="1" si="55">RIGHT(D834,F834-E834)</f>
        <v>Surfaces_Horti</v>
      </c>
      <c r="H834" cm="1">
        <f t="array" aca="1" ref="H834" ca="1">ROW(INDIRECT(A834))</f>
        <v>64</v>
      </c>
      <c r="I834" cm="1">
        <f t="array" aca="1" ref="I834" ca="1">COLUMN(INDIRECT(A834))</f>
        <v>10</v>
      </c>
      <c r="M834" t="str" cm="1">
        <f t="array" aca="1" ref="M834" ca="1">IF(AND(J834="O",ISBLANK(INDIRECT(A834))),"Valeur obligatoire non renseignée","")</f>
        <v/>
      </c>
    </row>
    <row r="835" spans="1:13" x14ac:dyDescent="0.25">
      <c r="A835" s="91" t="s">
        <v>3794</v>
      </c>
      <c r="B835" cm="1">
        <f t="array" aca="1" ref="B835" ca="1">INDIRECT(A835)</f>
        <v>0</v>
      </c>
      <c r="C835">
        <f t="shared" ca="1" si="52"/>
        <v>5</v>
      </c>
      <c r="D835" t="str" cm="1">
        <f t="array" aca="1" ref="D835" ca="1">CELL("nomfichier",INDIRECT(A835))</f>
        <v>G:\SCPE\sdc\bq\6 - Mentions valorisantes\Certification environnementale\TEXTES_REGLEMENTATION_CE\Plans_contrôle et grilles\Grille audit niveau 3\Grille d'audit v1.11\[grille-audit-hvev4-v1.11-vf.xlsx]Surfaces_Horti</v>
      </c>
      <c r="E835">
        <f t="shared" ca="1" si="53"/>
        <v>200</v>
      </c>
      <c r="F835">
        <f t="shared" ca="1" si="54"/>
        <v>214</v>
      </c>
      <c r="G835" t="str">
        <f t="shared" ca="1" si="55"/>
        <v>Surfaces_Horti</v>
      </c>
      <c r="H835" cm="1">
        <f t="array" aca="1" ref="H835" ca="1">ROW(INDIRECT(A835))</f>
        <v>64</v>
      </c>
      <c r="I835" cm="1">
        <f t="array" aca="1" ref="I835" ca="1">COLUMN(INDIRECT(A835))</f>
        <v>11</v>
      </c>
      <c r="M835" t="str" cm="1">
        <f t="array" aca="1" ref="M835" ca="1">IF(AND(J835="O",ISBLANK(INDIRECT(A835))),"Valeur obligatoire non renseignée","")</f>
        <v/>
      </c>
    </row>
    <row r="836" spans="1:13" x14ac:dyDescent="0.25">
      <c r="A836" s="91" t="s">
        <v>3821</v>
      </c>
      <c r="B836" cm="1">
        <f t="array" aca="1" ref="B836" ca="1">INDIRECT(A836)</f>
        <v>0</v>
      </c>
      <c r="C836">
        <f t="shared" ca="1" si="52"/>
        <v>5</v>
      </c>
      <c r="D836" t="str" cm="1">
        <f t="array" aca="1" ref="D836" ca="1">CELL("nomfichier",INDIRECT(A836))</f>
        <v>G:\SCPE\sdc\bq\6 - Mentions valorisantes\Certification environnementale\TEXTES_REGLEMENTATION_CE\Plans_contrôle et grilles\Grille audit niveau 3\Grille d'audit v1.11\[grille-audit-hvev4-v1.11-vf.xlsx]Surfaces_Horti</v>
      </c>
      <c r="E836">
        <f t="shared" ca="1" si="53"/>
        <v>200</v>
      </c>
      <c r="F836">
        <f t="shared" ca="1" si="54"/>
        <v>214</v>
      </c>
      <c r="G836" t="str">
        <f t="shared" ca="1" si="55"/>
        <v>Surfaces_Horti</v>
      </c>
      <c r="H836" cm="1">
        <f t="array" aca="1" ref="H836" ca="1">ROW(INDIRECT(A836))</f>
        <v>64</v>
      </c>
      <c r="I836" cm="1">
        <f t="array" aca="1" ref="I836" ca="1">COLUMN(INDIRECT(A836))</f>
        <v>12</v>
      </c>
      <c r="M836" t="str" cm="1">
        <f t="array" aca="1" ref="M836" ca="1">IF(AND(J836="O",ISBLANK(INDIRECT(A836))),"Valeur obligatoire non renseignée","")</f>
        <v/>
      </c>
    </row>
    <row r="837" spans="1:13" x14ac:dyDescent="0.25">
      <c r="A837" s="91" t="s">
        <v>3848</v>
      </c>
      <c r="B837" cm="1">
        <f t="array" aca="1" ref="B837" ca="1">INDIRECT(A837)</f>
        <v>0</v>
      </c>
      <c r="C837">
        <f t="shared" ca="1" si="52"/>
        <v>5</v>
      </c>
      <c r="D837" t="str" cm="1">
        <f t="array" aca="1" ref="D837" ca="1">CELL("nomfichier",INDIRECT(A837))</f>
        <v>G:\SCPE\sdc\bq\6 - Mentions valorisantes\Certification environnementale\TEXTES_REGLEMENTATION_CE\Plans_contrôle et grilles\Grille audit niveau 3\Grille d'audit v1.11\[grille-audit-hvev4-v1.11-vf.xlsx]Surfaces_Horti</v>
      </c>
      <c r="E837">
        <f t="shared" ca="1" si="53"/>
        <v>200</v>
      </c>
      <c r="F837">
        <f t="shared" ca="1" si="54"/>
        <v>214</v>
      </c>
      <c r="G837" t="str">
        <f t="shared" ca="1" si="55"/>
        <v>Surfaces_Horti</v>
      </c>
      <c r="H837" cm="1">
        <f t="array" aca="1" ref="H837" ca="1">ROW(INDIRECT(A837))</f>
        <v>64</v>
      </c>
      <c r="I837" cm="1">
        <f t="array" aca="1" ref="I837" ca="1">COLUMN(INDIRECT(A837))</f>
        <v>13</v>
      </c>
      <c r="M837" t="str" cm="1">
        <f t="array" aca="1" ref="M837" ca="1">IF(AND(J837="O",ISBLANK(INDIRECT(A837))),"Valeur obligatoire non renseignée","")</f>
        <v/>
      </c>
    </row>
    <row r="838" spans="1:13" x14ac:dyDescent="0.25">
      <c r="A838" s="91" t="s">
        <v>3875</v>
      </c>
      <c r="B838" cm="1">
        <f t="array" aca="1" ref="B838" ca="1">INDIRECT(A838)</f>
        <v>0</v>
      </c>
      <c r="C838">
        <f t="shared" ca="1" si="52"/>
        <v>5</v>
      </c>
      <c r="D838" t="str" cm="1">
        <f t="array" aca="1" ref="D838" ca="1">CELL("nomfichier",INDIRECT(A838))</f>
        <v>G:\SCPE\sdc\bq\6 - Mentions valorisantes\Certification environnementale\TEXTES_REGLEMENTATION_CE\Plans_contrôle et grilles\Grille audit niveau 3\Grille d'audit v1.11\[grille-audit-hvev4-v1.11-vf.xlsx]Surfaces_Horti</v>
      </c>
      <c r="E838">
        <f t="shared" ca="1" si="53"/>
        <v>200</v>
      </c>
      <c r="F838">
        <f t="shared" ca="1" si="54"/>
        <v>214</v>
      </c>
      <c r="G838" t="str">
        <f t="shared" ca="1" si="55"/>
        <v>Surfaces_Horti</v>
      </c>
      <c r="H838" cm="1">
        <f t="array" aca="1" ref="H838" ca="1">ROW(INDIRECT(A838))</f>
        <v>64</v>
      </c>
      <c r="I838" cm="1">
        <f t="array" aca="1" ref="I838" ca="1">COLUMN(INDIRECT(A838))</f>
        <v>14</v>
      </c>
      <c r="M838" t="str" cm="1">
        <f t="array" aca="1" ref="M838" ca="1">IF(AND(J838="O",ISBLANK(INDIRECT(A838))),"Valeur obligatoire non renseignée","")</f>
        <v/>
      </c>
    </row>
    <row r="839" spans="1:13" x14ac:dyDescent="0.25">
      <c r="A839" s="91" t="s">
        <v>3552</v>
      </c>
      <c r="B839" cm="1">
        <f t="array" aca="1" ref="B839" ca="1">INDIRECT(A839)</f>
        <v>0</v>
      </c>
      <c r="C839">
        <f t="shared" ca="1" si="52"/>
        <v>5</v>
      </c>
      <c r="D839" t="str" cm="1">
        <f t="array" aca="1" ref="D839" ca="1">CELL("nomfichier",INDIRECT(A839))</f>
        <v>G:\SCPE\sdc\bq\6 - Mentions valorisantes\Certification environnementale\TEXTES_REGLEMENTATION_CE\Plans_contrôle et grilles\Grille audit niveau 3\Grille d'audit v1.11\[grille-audit-hvev4-v1.11-vf.xlsx]Surfaces_Horti</v>
      </c>
      <c r="E839">
        <f t="shared" ca="1" si="53"/>
        <v>200</v>
      </c>
      <c r="F839">
        <f t="shared" ca="1" si="54"/>
        <v>214</v>
      </c>
      <c r="G839" t="str">
        <f t="shared" ca="1" si="55"/>
        <v>Surfaces_Horti</v>
      </c>
      <c r="H839" cm="1">
        <f t="array" aca="1" ref="H839" ca="1">ROW(INDIRECT(A839))</f>
        <v>65</v>
      </c>
      <c r="I839" cm="1">
        <f t="array" aca="1" ref="I839" ca="1">COLUMN(INDIRECT(A839))</f>
        <v>2</v>
      </c>
      <c r="M839" t="str" cm="1">
        <f t="array" aca="1" ref="M839" ca="1">IF(AND(J839="O",ISBLANK(INDIRECT(A839))),"Valeur obligatoire non renseignée","")</f>
        <v/>
      </c>
    </row>
    <row r="840" spans="1:13" x14ac:dyDescent="0.25">
      <c r="A840" s="91" t="s">
        <v>3579</v>
      </c>
      <c r="B840" cm="1">
        <f t="array" aca="1" ref="B840" ca="1">INDIRECT(A840)</f>
        <v>0</v>
      </c>
      <c r="C840">
        <f t="shared" ca="1" si="52"/>
        <v>5</v>
      </c>
      <c r="D840" t="str" cm="1">
        <f t="array" aca="1" ref="D840" ca="1">CELL("nomfichier",INDIRECT(A840))</f>
        <v>G:\SCPE\sdc\bq\6 - Mentions valorisantes\Certification environnementale\TEXTES_REGLEMENTATION_CE\Plans_contrôle et grilles\Grille audit niveau 3\Grille d'audit v1.11\[grille-audit-hvev4-v1.11-vf.xlsx]Surfaces_Horti</v>
      </c>
      <c r="E840">
        <f t="shared" ca="1" si="53"/>
        <v>200</v>
      </c>
      <c r="F840">
        <f t="shared" ca="1" si="54"/>
        <v>214</v>
      </c>
      <c r="G840" t="str">
        <f t="shared" ca="1" si="55"/>
        <v>Surfaces_Horti</v>
      </c>
      <c r="H840" cm="1">
        <f t="array" aca="1" ref="H840" ca="1">ROW(INDIRECT(A840))</f>
        <v>65</v>
      </c>
      <c r="I840" cm="1">
        <f t="array" aca="1" ref="I840" ca="1">COLUMN(INDIRECT(A840))</f>
        <v>3</v>
      </c>
      <c r="M840" t="str" cm="1">
        <f t="array" aca="1" ref="M840" ca="1">IF(AND(J840="O",ISBLANK(INDIRECT(A840))),"Valeur obligatoire non renseignée","")</f>
        <v/>
      </c>
    </row>
    <row r="841" spans="1:13" x14ac:dyDescent="0.25">
      <c r="A841" s="91" t="s">
        <v>3606</v>
      </c>
      <c r="B841" cm="1">
        <f t="array" aca="1" ref="B841" ca="1">INDIRECT(A841)</f>
        <v>0</v>
      </c>
      <c r="C841">
        <f t="shared" ca="1" si="52"/>
        <v>5</v>
      </c>
      <c r="D841" t="str" cm="1">
        <f t="array" aca="1" ref="D841" ca="1">CELL("nomfichier",INDIRECT(A841))</f>
        <v>G:\SCPE\sdc\bq\6 - Mentions valorisantes\Certification environnementale\TEXTES_REGLEMENTATION_CE\Plans_contrôle et grilles\Grille audit niveau 3\Grille d'audit v1.11\[grille-audit-hvev4-v1.11-vf.xlsx]Surfaces_Horti</v>
      </c>
      <c r="E841">
        <f t="shared" ca="1" si="53"/>
        <v>200</v>
      </c>
      <c r="F841">
        <f t="shared" ca="1" si="54"/>
        <v>214</v>
      </c>
      <c r="G841" t="str">
        <f t="shared" ca="1" si="55"/>
        <v>Surfaces_Horti</v>
      </c>
      <c r="H841" cm="1">
        <f t="array" aca="1" ref="H841" ca="1">ROW(INDIRECT(A841))</f>
        <v>65</v>
      </c>
      <c r="I841" cm="1">
        <f t="array" aca="1" ref="I841" ca="1">COLUMN(INDIRECT(A841))</f>
        <v>4</v>
      </c>
      <c r="M841" t="str" cm="1">
        <f t="array" aca="1" ref="M841" ca="1">IF(AND(J841="O",ISBLANK(INDIRECT(A841))),"Valeur obligatoire non renseignée","")</f>
        <v/>
      </c>
    </row>
    <row r="842" spans="1:13" x14ac:dyDescent="0.25">
      <c r="A842" s="91" t="s">
        <v>3633</v>
      </c>
      <c r="B842" cm="1">
        <f t="array" aca="1" ref="B842" ca="1">INDIRECT(A842)</f>
        <v>0</v>
      </c>
      <c r="C842">
        <f t="shared" ca="1" si="52"/>
        <v>5</v>
      </c>
      <c r="D842" t="str" cm="1">
        <f t="array" aca="1" ref="D842" ca="1">CELL("nomfichier",INDIRECT(A842))</f>
        <v>G:\SCPE\sdc\bq\6 - Mentions valorisantes\Certification environnementale\TEXTES_REGLEMENTATION_CE\Plans_contrôle et grilles\Grille audit niveau 3\Grille d'audit v1.11\[grille-audit-hvev4-v1.11-vf.xlsx]Surfaces_Horti</v>
      </c>
      <c r="E842">
        <f t="shared" ca="1" si="53"/>
        <v>200</v>
      </c>
      <c r="F842">
        <f t="shared" ca="1" si="54"/>
        <v>214</v>
      </c>
      <c r="G842" t="str">
        <f t="shared" ca="1" si="55"/>
        <v>Surfaces_Horti</v>
      </c>
      <c r="H842" cm="1">
        <f t="array" aca="1" ref="H842" ca="1">ROW(INDIRECT(A842))</f>
        <v>65</v>
      </c>
      <c r="I842" cm="1">
        <f t="array" aca="1" ref="I842" ca="1">COLUMN(INDIRECT(A842))</f>
        <v>5</v>
      </c>
      <c r="M842" t="str" cm="1">
        <f t="array" aca="1" ref="M842" ca="1">IF(AND(J842="O",ISBLANK(INDIRECT(A842))),"Valeur obligatoire non renseignée","")</f>
        <v/>
      </c>
    </row>
    <row r="843" spans="1:13" x14ac:dyDescent="0.25">
      <c r="A843" s="91" t="s">
        <v>3660</v>
      </c>
      <c r="B843" cm="1">
        <f t="array" aca="1" ref="B843" ca="1">INDIRECT(A843)</f>
        <v>0</v>
      </c>
      <c r="C843">
        <f t="shared" ca="1" si="52"/>
        <v>5</v>
      </c>
      <c r="D843" t="str" cm="1">
        <f t="array" aca="1" ref="D843" ca="1">CELL("nomfichier",INDIRECT(A843))</f>
        <v>G:\SCPE\sdc\bq\6 - Mentions valorisantes\Certification environnementale\TEXTES_REGLEMENTATION_CE\Plans_contrôle et grilles\Grille audit niveau 3\Grille d'audit v1.11\[grille-audit-hvev4-v1.11-vf.xlsx]Surfaces_Horti</v>
      </c>
      <c r="E843">
        <f t="shared" ca="1" si="53"/>
        <v>200</v>
      </c>
      <c r="F843">
        <f t="shared" ca="1" si="54"/>
        <v>214</v>
      </c>
      <c r="G843" t="str">
        <f t="shared" ca="1" si="55"/>
        <v>Surfaces_Horti</v>
      </c>
      <c r="H843" cm="1">
        <f t="array" aca="1" ref="H843" ca="1">ROW(INDIRECT(A843))</f>
        <v>65</v>
      </c>
      <c r="I843" cm="1">
        <f t="array" aca="1" ref="I843" ca="1">COLUMN(INDIRECT(A843))</f>
        <v>6</v>
      </c>
      <c r="M843" t="str" cm="1">
        <f t="array" aca="1" ref="M843" ca="1">IF(AND(J843="O",ISBLANK(INDIRECT(A843))),"Valeur obligatoire non renseignée","")</f>
        <v/>
      </c>
    </row>
    <row r="844" spans="1:13" x14ac:dyDescent="0.25">
      <c r="A844" s="91" t="s">
        <v>3687</v>
      </c>
      <c r="B844" cm="1">
        <f t="array" aca="1" ref="B844" ca="1">INDIRECT(A844)</f>
        <v>0</v>
      </c>
      <c r="C844">
        <f t="shared" ca="1" si="52"/>
        <v>5</v>
      </c>
      <c r="D844" t="str" cm="1">
        <f t="array" aca="1" ref="D844" ca="1">CELL("nomfichier",INDIRECT(A844))</f>
        <v>G:\SCPE\sdc\bq\6 - Mentions valorisantes\Certification environnementale\TEXTES_REGLEMENTATION_CE\Plans_contrôle et grilles\Grille audit niveau 3\Grille d'audit v1.11\[grille-audit-hvev4-v1.11-vf.xlsx]Surfaces_Horti</v>
      </c>
      <c r="E844">
        <f t="shared" ca="1" si="53"/>
        <v>200</v>
      </c>
      <c r="F844">
        <f t="shared" ca="1" si="54"/>
        <v>214</v>
      </c>
      <c r="G844" t="str">
        <f t="shared" ca="1" si="55"/>
        <v>Surfaces_Horti</v>
      </c>
      <c r="H844" cm="1">
        <f t="array" aca="1" ref="H844" ca="1">ROW(INDIRECT(A844))</f>
        <v>65</v>
      </c>
      <c r="I844" cm="1">
        <f t="array" aca="1" ref="I844" ca="1">COLUMN(INDIRECT(A844))</f>
        <v>7</v>
      </c>
      <c r="M844" t="str" cm="1">
        <f t="array" aca="1" ref="M844" ca="1">IF(AND(J844="O",ISBLANK(INDIRECT(A844))),"Valeur obligatoire non renseignée","")</f>
        <v/>
      </c>
    </row>
    <row r="845" spans="1:13" x14ac:dyDescent="0.25">
      <c r="A845" s="91" t="s">
        <v>3714</v>
      </c>
      <c r="B845" cm="1">
        <f t="array" aca="1" ref="B845" ca="1">INDIRECT(A845)</f>
        <v>0</v>
      </c>
      <c r="C845">
        <f t="shared" ca="1" si="52"/>
        <v>5</v>
      </c>
      <c r="D845" t="str" cm="1">
        <f t="array" aca="1" ref="D845" ca="1">CELL("nomfichier",INDIRECT(A845))</f>
        <v>G:\SCPE\sdc\bq\6 - Mentions valorisantes\Certification environnementale\TEXTES_REGLEMENTATION_CE\Plans_contrôle et grilles\Grille audit niveau 3\Grille d'audit v1.11\[grille-audit-hvev4-v1.11-vf.xlsx]Surfaces_Horti</v>
      </c>
      <c r="E845">
        <f t="shared" ca="1" si="53"/>
        <v>200</v>
      </c>
      <c r="F845">
        <f t="shared" ca="1" si="54"/>
        <v>214</v>
      </c>
      <c r="G845" t="str">
        <f t="shared" ca="1" si="55"/>
        <v>Surfaces_Horti</v>
      </c>
      <c r="H845" cm="1">
        <f t="array" aca="1" ref="H845" ca="1">ROW(INDIRECT(A845))</f>
        <v>65</v>
      </c>
      <c r="I845" cm="1">
        <f t="array" aca="1" ref="I845" ca="1">COLUMN(INDIRECT(A845))</f>
        <v>8</v>
      </c>
      <c r="M845" t="str" cm="1">
        <f t="array" aca="1" ref="M845" ca="1">IF(AND(J845="O",ISBLANK(INDIRECT(A845))),"Valeur obligatoire non renseignée","")</f>
        <v/>
      </c>
    </row>
    <row r="846" spans="1:13" x14ac:dyDescent="0.25">
      <c r="A846" s="91" t="s">
        <v>3741</v>
      </c>
      <c r="B846" cm="1">
        <f t="array" aca="1" ref="B846" ca="1">INDIRECT(A846)</f>
        <v>0</v>
      </c>
      <c r="C846">
        <f t="shared" ca="1" si="52"/>
        <v>5</v>
      </c>
      <c r="D846" t="str" cm="1">
        <f t="array" aca="1" ref="D846" ca="1">CELL("nomfichier",INDIRECT(A846))</f>
        <v>G:\SCPE\sdc\bq\6 - Mentions valorisantes\Certification environnementale\TEXTES_REGLEMENTATION_CE\Plans_contrôle et grilles\Grille audit niveau 3\Grille d'audit v1.11\[grille-audit-hvev4-v1.11-vf.xlsx]Surfaces_Horti</v>
      </c>
      <c r="E846">
        <f t="shared" ca="1" si="53"/>
        <v>200</v>
      </c>
      <c r="F846">
        <f t="shared" ca="1" si="54"/>
        <v>214</v>
      </c>
      <c r="G846" t="str">
        <f t="shared" ca="1" si="55"/>
        <v>Surfaces_Horti</v>
      </c>
      <c r="H846" cm="1">
        <f t="array" aca="1" ref="H846" ca="1">ROW(INDIRECT(A846))</f>
        <v>65</v>
      </c>
      <c r="I846" cm="1">
        <f t="array" aca="1" ref="I846" ca="1">COLUMN(INDIRECT(A846))</f>
        <v>9</v>
      </c>
      <c r="M846" t="str" cm="1">
        <f t="array" aca="1" ref="M846" ca="1">IF(AND(J846="O",ISBLANK(INDIRECT(A846))),"Valeur obligatoire non renseignée","")</f>
        <v/>
      </c>
    </row>
    <row r="847" spans="1:13" x14ac:dyDescent="0.25">
      <c r="A847" s="91" t="s">
        <v>3768</v>
      </c>
      <c r="B847" cm="1">
        <f t="array" aca="1" ref="B847" ca="1">INDIRECT(A847)</f>
        <v>0</v>
      </c>
      <c r="C847">
        <f t="shared" ca="1" si="52"/>
        <v>5</v>
      </c>
      <c r="D847" t="str" cm="1">
        <f t="array" aca="1" ref="D847" ca="1">CELL("nomfichier",INDIRECT(A847))</f>
        <v>G:\SCPE\sdc\bq\6 - Mentions valorisantes\Certification environnementale\TEXTES_REGLEMENTATION_CE\Plans_contrôle et grilles\Grille audit niveau 3\Grille d'audit v1.11\[grille-audit-hvev4-v1.11-vf.xlsx]Surfaces_Horti</v>
      </c>
      <c r="E847">
        <f t="shared" ca="1" si="53"/>
        <v>200</v>
      </c>
      <c r="F847">
        <f t="shared" ca="1" si="54"/>
        <v>214</v>
      </c>
      <c r="G847" t="str">
        <f t="shared" ca="1" si="55"/>
        <v>Surfaces_Horti</v>
      </c>
      <c r="H847" cm="1">
        <f t="array" aca="1" ref="H847" ca="1">ROW(INDIRECT(A847))</f>
        <v>65</v>
      </c>
      <c r="I847" cm="1">
        <f t="array" aca="1" ref="I847" ca="1">COLUMN(INDIRECT(A847))</f>
        <v>10</v>
      </c>
      <c r="M847" t="str" cm="1">
        <f t="array" aca="1" ref="M847" ca="1">IF(AND(J847="O",ISBLANK(INDIRECT(A847))),"Valeur obligatoire non renseignée","")</f>
        <v/>
      </c>
    </row>
    <row r="848" spans="1:13" x14ac:dyDescent="0.25">
      <c r="A848" s="91" t="s">
        <v>3795</v>
      </c>
      <c r="B848" cm="1">
        <f t="array" aca="1" ref="B848" ca="1">INDIRECT(A848)</f>
        <v>0</v>
      </c>
      <c r="C848">
        <f t="shared" ca="1" si="52"/>
        <v>5</v>
      </c>
      <c r="D848" t="str" cm="1">
        <f t="array" aca="1" ref="D848" ca="1">CELL("nomfichier",INDIRECT(A848))</f>
        <v>G:\SCPE\sdc\bq\6 - Mentions valorisantes\Certification environnementale\TEXTES_REGLEMENTATION_CE\Plans_contrôle et grilles\Grille audit niveau 3\Grille d'audit v1.11\[grille-audit-hvev4-v1.11-vf.xlsx]Surfaces_Horti</v>
      </c>
      <c r="E848">
        <f t="shared" ca="1" si="53"/>
        <v>200</v>
      </c>
      <c r="F848">
        <f t="shared" ca="1" si="54"/>
        <v>214</v>
      </c>
      <c r="G848" t="str">
        <f t="shared" ca="1" si="55"/>
        <v>Surfaces_Horti</v>
      </c>
      <c r="H848" cm="1">
        <f t="array" aca="1" ref="H848" ca="1">ROW(INDIRECT(A848))</f>
        <v>65</v>
      </c>
      <c r="I848" cm="1">
        <f t="array" aca="1" ref="I848" ca="1">COLUMN(INDIRECT(A848))</f>
        <v>11</v>
      </c>
      <c r="M848" t="str" cm="1">
        <f t="array" aca="1" ref="M848" ca="1">IF(AND(J848="O",ISBLANK(INDIRECT(A848))),"Valeur obligatoire non renseignée","")</f>
        <v/>
      </c>
    </row>
    <row r="849" spans="1:13" x14ac:dyDescent="0.25">
      <c r="A849" s="91" t="s">
        <v>3822</v>
      </c>
      <c r="B849" cm="1">
        <f t="array" aca="1" ref="B849" ca="1">INDIRECT(A849)</f>
        <v>0</v>
      </c>
      <c r="C849">
        <f t="shared" ca="1" si="52"/>
        <v>5</v>
      </c>
      <c r="D849" t="str" cm="1">
        <f t="array" aca="1" ref="D849" ca="1">CELL("nomfichier",INDIRECT(A849))</f>
        <v>G:\SCPE\sdc\bq\6 - Mentions valorisantes\Certification environnementale\TEXTES_REGLEMENTATION_CE\Plans_contrôle et grilles\Grille audit niveau 3\Grille d'audit v1.11\[grille-audit-hvev4-v1.11-vf.xlsx]Surfaces_Horti</v>
      </c>
      <c r="E849">
        <f t="shared" ca="1" si="53"/>
        <v>200</v>
      </c>
      <c r="F849">
        <f t="shared" ca="1" si="54"/>
        <v>214</v>
      </c>
      <c r="G849" t="str">
        <f t="shared" ca="1" si="55"/>
        <v>Surfaces_Horti</v>
      </c>
      <c r="H849" cm="1">
        <f t="array" aca="1" ref="H849" ca="1">ROW(INDIRECT(A849))</f>
        <v>65</v>
      </c>
      <c r="I849" cm="1">
        <f t="array" aca="1" ref="I849" ca="1">COLUMN(INDIRECT(A849))</f>
        <v>12</v>
      </c>
      <c r="M849" t="str" cm="1">
        <f t="array" aca="1" ref="M849" ca="1">IF(AND(J849="O",ISBLANK(INDIRECT(A849))),"Valeur obligatoire non renseignée","")</f>
        <v/>
      </c>
    </row>
    <row r="850" spans="1:13" x14ac:dyDescent="0.25">
      <c r="A850" s="91" t="s">
        <v>3849</v>
      </c>
      <c r="B850" cm="1">
        <f t="array" aca="1" ref="B850" ca="1">INDIRECT(A850)</f>
        <v>0</v>
      </c>
      <c r="C850">
        <f t="shared" ca="1" si="52"/>
        <v>5</v>
      </c>
      <c r="D850" t="str" cm="1">
        <f t="array" aca="1" ref="D850" ca="1">CELL("nomfichier",INDIRECT(A850))</f>
        <v>G:\SCPE\sdc\bq\6 - Mentions valorisantes\Certification environnementale\TEXTES_REGLEMENTATION_CE\Plans_contrôle et grilles\Grille audit niveau 3\Grille d'audit v1.11\[grille-audit-hvev4-v1.11-vf.xlsx]Surfaces_Horti</v>
      </c>
      <c r="E850">
        <f t="shared" ca="1" si="53"/>
        <v>200</v>
      </c>
      <c r="F850">
        <f t="shared" ca="1" si="54"/>
        <v>214</v>
      </c>
      <c r="G850" t="str">
        <f t="shared" ca="1" si="55"/>
        <v>Surfaces_Horti</v>
      </c>
      <c r="H850" cm="1">
        <f t="array" aca="1" ref="H850" ca="1">ROW(INDIRECT(A850))</f>
        <v>65</v>
      </c>
      <c r="I850" cm="1">
        <f t="array" aca="1" ref="I850" ca="1">COLUMN(INDIRECT(A850))</f>
        <v>13</v>
      </c>
      <c r="M850" t="str" cm="1">
        <f t="array" aca="1" ref="M850" ca="1">IF(AND(J850="O",ISBLANK(INDIRECT(A850))),"Valeur obligatoire non renseignée","")</f>
        <v/>
      </c>
    </row>
    <row r="851" spans="1:13" x14ac:dyDescent="0.25">
      <c r="A851" s="91" t="s">
        <v>3876</v>
      </c>
      <c r="B851" cm="1">
        <f t="array" aca="1" ref="B851" ca="1">INDIRECT(A851)</f>
        <v>0</v>
      </c>
      <c r="C851">
        <f t="shared" ca="1" si="52"/>
        <v>5</v>
      </c>
      <c r="D851" t="str" cm="1">
        <f t="array" aca="1" ref="D851" ca="1">CELL("nomfichier",INDIRECT(A851))</f>
        <v>G:\SCPE\sdc\bq\6 - Mentions valorisantes\Certification environnementale\TEXTES_REGLEMENTATION_CE\Plans_contrôle et grilles\Grille audit niveau 3\Grille d'audit v1.11\[grille-audit-hvev4-v1.11-vf.xlsx]Surfaces_Horti</v>
      </c>
      <c r="E851">
        <f t="shared" ca="1" si="53"/>
        <v>200</v>
      </c>
      <c r="F851">
        <f t="shared" ca="1" si="54"/>
        <v>214</v>
      </c>
      <c r="G851" t="str">
        <f t="shared" ca="1" si="55"/>
        <v>Surfaces_Horti</v>
      </c>
      <c r="H851" cm="1">
        <f t="array" aca="1" ref="H851" ca="1">ROW(INDIRECT(A851))</f>
        <v>65</v>
      </c>
      <c r="I851" cm="1">
        <f t="array" aca="1" ref="I851" ca="1">COLUMN(INDIRECT(A851))</f>
        <v>14</v>
      </c>
      <c r="M851" t="str" cm="1">
        <f t="array" aca="1" ref="M851" ca="1">IF(AND(J851="O",ISBLANK(INDIRECT(A851))),"Valeur obligatoire non renseignée","")</f>
        <v/>
      </c>
    </row>
    <row r="852" spans="1:13" x14ac:dyDescent="0.25">
      <c r="A852" s="91" t="s">
        <v>3553</v>
      </c>
      <c r="B852" cm="1">
        <f t="array" aca="1" ref="B852" ca="1">INDIRECT(A852)</f>
        <v>0</v>
      </c>
      <c r="C852">
        <f t="shared" ca="1" si="52"/>
        <v>5</v>
      </c>
      <c r="D852" t="str" cm="1">
        <f t="array" aca="1" ref="D852" ca="1">CELL("nomfichier",INDIRECT(A852))</f>
        <v>G:\SCPE\sdc\bq\6 - Mentions valorisantes\Certification environnementale\TEXTES_REGLEMENTATION_CE\Plans_contrôle et grilles\Grille audit niveau 3\Grille d'audit v1.11\[grille-audit-hvev4-v1.11-vf.xlsx]Surfaces_Horti</v>
      </c>
      <c r="E852">
        <f t="shared" ca="1" si="53"/>
        <v>200</v>
      </c>
      <c r="F852">
        <f t="shared" ca="1" si="54"/>
        <v>214</v>
      </c>
      <c r="G852" t="str">
        <f t="shared" ca="1" si="55"/>
        <v>Surfaces_Horti</v>
      </c>
      <c r="H852" cm="1">
        <f t="array" aca="1" ref="H852" ca="1">ROW(INDIRECT(A852))</f>
        <v>66</v>
      </c>
      <c r="I852" cm="1">
        <f t="array" aca="1" ref="I852" ca="1">COLUMN(INDIRECT(A852))</f>
        <v>2</v>
      </c>
      <c r="M852" t="str" cm="1">
        <f t="array" aca="1" ref="M852" ca="1">IF(AND(J852="O",ISBLANK(INDIRECT(A852))),"Valeur obligatoire non renseignée","")</f>
        <v/>
      </c>
    </row>
    <row r="853" spans="1:13" x14ac:dyDescent="0.25">
      <c r="A853" s="91" t="s">
        <v>3580</v>
      </c>
      <c r="B853" cm="1">
        <f t="array" aca="1" ref="B853" ca="1">INDIRECT(A853)</f>
        <v>0</v>
      </c>
      <c r="C853">
        <f t="shared" ca="1" si="52"/>
        <v>5</v>
      </c>
      <c r="D853" t="str" cm="1">
        <f t="array" aca="1" ref="D853" ca="1">CELL("nomfichier",INDIRECT(A853))</f>
        <v>G:\SCPE\sdc\bq\6 - Mentions valorisantes\Certification environnementale\TEXTES_REGLEMENTATION_CE\Plans_contrôle et grilles\Grille audit niveau 3\Grille d'audit v1.11\[grille-audit-hvev4-v1.11-vf.xlsx]Surfaces_Horti</v>
      </c>
      <c r="E853">
        <f t="shared" ca="1" si="53"/>
        <v>200</v>
      </c>
      <c r="F853">
        <f t="shared" ca="1" si="54"/>
        <v>214</v>
      </c>
      <c r="G853" t="str">
        <f t="shared" ca="1" si="55"/>
        <v>Surfaces_Horti</v>
      </c>
      <c r="H853" cm="1">
        <f t="array" aca="1" ref="H853" ca="1">ROW(INDIRECT(A853))</f>
        <v>66</v>
      </c>
      <c r="I853" cm="1">
        <f t="array" aca="1" ref="I853" ca="1">COLUMN(INDIRECT(A853))</f>
        <v>3</v>
      </c>
      <c r="M853" t="str" cm="1">
        <f t="array" aca="1" ref="M853" ca="1">IF(AND(J853="O",ISBLANK(INDIRECT(A853))),"Valeur obligatoire non renseignée","")</f>
        <v/>
      </c>
    </row>
    <row r="854" spans="1:13" x14ac:dyDescent="0.25">
      <c r="A854" s="91" t="s">
        <v>3607</v>
      </c>
      <c r="B854" cm="1">
        <f t="array" aca="1" ref="B854" ca="1">INDIRECT(A854)</f>
        <v>0</v>
      </c>
      <c r="C854">
        <f t="shared" ca="1" si="52"/>
        <v>5</v>
      </c>
      <c r="D854" t="str" cm="1">
        <f t="array" aca="1" ref="D854" ca="1">CELL("nomfichier",INDIRECT(A854))</f>
        <v>G:\SCPE\sdc\bq\6 - Mentions valorisantes\Certification environnementale\TEXTES_REGLEMENTATION_CE\Plans_contrôle et grilles\Grille audit niveau 3\Grille d'audit v1.11\[grille-audit-hvev4-v1.11-vf.xlsx]Surfaces_Horti</v>
      </c>
      <c r="E854">
        <f t="shared" ca="1" si="53"/>
        <v>200</v>
      </c>
      <c r="F854">
        <f t="shared" ca="1" si="54"/>
        <v>214</v>
      </c>
      <c r="G854" t="str">
        <f t="shared" ca="1" si="55"/>
        <v>Surfaces_Horti</v>
      </c>
      <c r="H854" cm="1">
        <f t="array" aca="1" ref="H854" ca="1">ROW(INDIRECT(A854))</f>
        <v>66</v>
      </c>
      <c r="I854" cm="1">
        <f t="array" aca="1" ref="I854" ca="1">COLUMN(INDIRECT(A854))</f>
        <v>4</v>
      </c>
      <c r="M854" t="str" cm="1">
        <f t="array" aca="1" ref="M854" ca="1">IF(AND(J854="O",ISBLANK(INDIRECT(A854))),"Valeur obligatoire non renseignée","")</f>
        <v/>
      </c>
    </row>
    <row r="855" spans="1:13" x14ac:dyDescent="0.25">
      <c r="A855" s="91" t="s">
        <v>3634</v>
      </c>
      <c r="B855" cm="1">
        <f t="array" aca="1" ref="B855" ca="1">INDIRECT(A855)</f>
        <v>0</v>
      </c>
      <c r="C855">
        <f t="shared" ca="1" si="52"/>
        <v>5</v>
      </c>
      <c r="D855" t="str" cm="1">
        <f t="array" aca="1" ref="D855" ca="1">CELL("nomfichier",INDIRECT(A855))</f>
        <v>G:\SCPE\sdc\bq\6 - Mentions valorisantes\Certification environnementale\TEXTES_REGLEMENTATION_CE\Plans_contrôle et grilles\Grille audit niveau 3\Grille d'audit v1.11\[grille-audit-hvev4-v1.11-vf.xlsx]Surfaces_Horti</v>
      </c>
      <c r="E855">
        <f t="shared" ca="1" si="53"/>
        <v>200</v>
      </c>
      <c r="F855">
        <f t="shared" ca="1" si="54"/>
        <v>214</v>
      </c>
      <c r="G855" t="str">
        <f t="shared" ca="1" si="55"/>
        <v>Surfaces_Horti</v>
      </c>
      <c r="H855" cm="1">
        <f t="array" aca="1" ref="H855" ca="1">ROW(INDIRECT(A855))</f>
        <v>66</v>
      </c>
      <c r="I855" cm="1">
        <f t="array" aca="1" ref="I855" ca="1">COLUMN(INDIRECT(A855))</f>
        <v>5</v>
      </c>
      <c r="M855" t="str" cm="1">
        <f t="array" aca="1" ref="M855" ca="1">IF(AND(J855="O",ISBLANK(INDIRECT(A855))),"Valeur obligatoire non renseignée","")</f>
        <v/>
      </c>
    </row>
    <row r="856" spans="1:13" x14ac:dyDescent="0.25">
      <c r="A856" s="91" t="s">
        <v>3661</v>
      </c>
      <c r="B856" cm="1">
        <f t="array" aca="1" ref="B856" ca="1">INDIRECT(A856)</f>
        <v>0</v>
      </c>
      <c r="C856">
        <f t="shared" ca="1" si="52"/>
        <v>5</v>
      </c>
      <c r="D856" t="str" cm="1">
        <f t="array" aca="1" ref="D856" ca="1">CELL("nomfichier",INDIRECT(A856))</f>
        <v>G:\SCPE\sdc\bq\6 - Mentions valorisantes\Certification environnementale\TEXTES_REGLEMENTATION_CE\Plans_contrôle et grilles\Grille audit niveau 3\Grille d'audit v1.11\[grille-audit-hvev4-v1.11-vf.xlsx]Surfaces_Horti</v>
      </c>
      <c r="E856">
        <f t="shared" ca="1" si="53"/>
        <v>200</v>
      </c>
      <c r="F856">
        <f t="shared" ca="1" si="54"/>
        <v>214</v>
      </c>
      <c r="G856" t="str">
        <f t="shared" ca="1" si="55"/>
        <v>Surfaces_Horti</v>
      </c>
      <c r="H856" cm="1">
        <f t="array" aca="1" ref="H856" ca="1">ROW(INDIRECT(A856))</f>
        <v>66</v>
      </c>
      <c r="I856" cm="1">
        <f t="array" aca="1" ref="I856" ca="1">COLUMN(INDIRECT(A856))</f>
        <v>6</v>
      </c>
      <c r="M856" t="str" cm="1">
        <f t="array" aca="1" ref="M856" ca="1">IF(AND(J856="O",ISBLANK(INDIRECT(A856))),"Valeur obligatoire non renseignée","")</f>
        <v/>
      </c>
    </row>
    <row r="857" spans="1:13" x14ac:dyDescent="0.25">
      <c r="A857" s="91" t="s">
        <v>3688</v>
      </c>
      <c r="B857" cm="1">
        <f t="array" aca="1" ref="B857" ca="1">INDIRECT(A857)</f>
        <v>0</v>
      </c>
      <c r="C857">
        <f t="shared" ca="1" si="52"/>
        <v>5</v>
      </c>
      <c r="D857" t="str" cm="1">
        <f t="array" aca="1" ref="D857" ca="1">CELL("nomfichier",INDIRECT(A857))</f>
        <v>G:\SCPE\sdc\bq\6 - Mentions valorisantes\Certification environnementale\TEXTES_REGLEMENTATION_CE\Plans_contrôle et grilles\Grille audit niveau 3\Grille d'audit v1.11\[grille-audit-hvev4-v1.11-vf.xlsx]Surfaces_Horti</v>
      </c>
      <c r="E857">
        <f t="shared" ca="1" si="53"/>
        <v>200</v>
      </c>
      <c r="F857">
        <f t="shared" ca="1" si="54"/>
        <v>214</v>
      </c>
      <c r="G857" t="str">
        <f t="shared" ca="1" si="55"/>
        <v>Surfaces_Horti</v>
      </c>
      <c r="H857" cm="1">
        <f t="array" aca="1" ref="H857" ca="1">ROW(INDIRECT(A857))</f>
        <v>66</v>
      </c>
      <c r="I857" cm="1">
        <f t="array" aca="1" ref="I857" ca="1">COLUMN(INDIRECT(A857))</f>
        <v>7</v>
      </c>
      <c r="M857" t="str" cm="1">
        <f t="array" aca="1" ref="M857" ca="1">IF(AND(J857="O",ISBLANK(INDIRECT(A857))),"Valeur obligatoire non renseignée","")</f>
        <v/>
      </c>
    </row>
    <row r="858" spans="1:13" x14ac:dyDescent="0.25">
      <c r="A858" s="91" t="s">
        <v>3715</v>
      </c>
      <c r="B858" cm="1">
        <f t="array" aca="1" ref="B858" ca="1">INDIRECT(A858)</f>
        <v>0</v>
      </c>
      <c r="C858">
        <f t="shared" ca="1" si="52"/>
        <v>5</v>
      </c>
      <c r="D858" t="str" cm="1">
        <f t="array" aca="1" ref="D858" ca="1">CELL("nomfichier",INDIRECT(A858))</f>
        <v>G:\SCPE\sdc\bq\6 - Mentions valorisantes\Certification environnementale\TEXTES_REGLEMENTATION_CE\Plans_contrôle et grilles\Grille audit niveau 3\Grille d'audit v1.11\[grille-audit-hvev4-v1.11-vf.xlsx]Surfaces_Horti</v>
      </c>
      <c r="E858">
        <f t="shared" ca="1" si="53"/>
        <v>200</v>
      </c>
      <c r="F858">
        <f t="shared" ca="1" si="54"/>
        <v>214</v>
      </c>
      <c r="G858" t="str">
        <f t="shared" ca="1" si="55"/>
        <v>Surfaces_Horti</v>
      </c>
      <c r="H858" cm="1">
        <f t="array" aca="1" ref="H858" ca="1">ROW(INDIRECT(A858))</f>
        <v>66</v>
      </c>
      <c r="I858" cm="1">
        <f t="array" aca="1" ref="I858" ca="1">COLUMN(INDIRECT(A858))</f>
        <v>8</v>
      </c>
      <c r="M858" t="str" cm="1">
        <f t="array" aca="1" ref="M858" ca="1">IF(AND(J858="O",ISBLANK(INDIRECT(A858))),"Valeur obligatoire non renseignée","")</f>
        <v/>
      </c>
    </row>
    <row r="859" spans="1:13" x14ac:dyDescent="0.25">
      <c r="A859" s="91" t="s">
        <v>3742</v>
      </c>
      <c r="B859" cm="1">
        <f t="array" aca="1" ref="B859" ca="1">INDIRECT(A859)</f>
        <v>0</v>
      </c>
      <c r="C859">
        <f t="shared" ca="1" si="52"/>
        <v>5</v>
      </c>
      <c r="D859" t="str" cm="1">
        <f t="array" aca="1" ref="D859" ca="1">CELL("nomfichier",INDIRECT(A859))</f>
        <v>G:\SCPE\sdc\bq\6 - Mentions valorisantes\Certification environnementale\TEXTES_REGLEMENTATION_CE\Plans_contrôle et grilles\Grille audit niveau 3\Grille d'audit v1.11\[grille-audit-hvev4-v1.11-vf.xlsx]Surfaces_Horti</v>
      </c>
      <c r="E859">
        <f t="shared" ca="1" si="53"/>
        <v>200</v>
      </c>
      <c r="F859">
        <f t="shared" ca="1" si="54"/>
        <v>214</v>
      </c>
      <c r="G859" t="str">
        <f t="shared" ca="1" si="55"/>
        <v>Surfaces_Horti</v>
      </c>
      <c r="H859" cm="1">
        <f t="array" aca="1" ref="H859" ca="1">ROW(INDIRECT(A859))</f>
        <v>66</v>
      </c>
      <c r="I859" cm="1">
        <f t="array" aca="1" ref="I859" ca="1">COLUMN(INDIRECT(A859))</f>
        <v>9</v>
      </c>
      <c r="M859" t="str" cm="1">
        <f t="array" aca="1" ref="M859" ca="1">IF(AND(J859="O",ISBLANK(INDIRECT(A859))),"Valeur obligatoire non renseignée","")</f>
        <v/>
      </c>
    </row>
    <row r="860" spans="1:13" x14ac:dyDescent="0.25">
      <c r="A860" s="91" t="s">
        <v>3769</v>
      </c>
      <c r="B860" cm="1">
        <f t="array" aca="1" ref="B860" ca="1">INDIRECT(A860)</f>
        <v>0</v>
      </c>
      <c r="C860">
        <f t="shared" ca="1" si="52"/>
        <v>5</v>
      </c>
      <c r="D860" t="str" cm="1">
        <f t="array" aca="1" ref="D860" ca="1">CELL("nomfichier",INDIRECT(A860))</f>
        <v>G:\SCPE\sdc\bq\6 - Mentions valorisantes\Certification environnementale\TEXTES_REGLEMENTATION_CE\Plans_contrôle et grilles\Grille audit niveau 3\Grille d'audit v1.11\[grille-audit-hvev4-v1.11-vf.xlsx]Surfaces_Horti</v>
      </c>
      <c r="E860">
        <f t="shared" ca="1" si="53"/>
        <v>200</v>
      </c>
      <c r="F860">
        <f t="shared" ca="1" si="54"/>
        <v>214</v>
      </c>
      <c r="G860" t="str">
        <f t="shared" ca="1" si="55"/>
        <v>Surfaces_Horti</v>
      </c>
      <c r="H860" cm="1">
        <f t="array" aca="1" ref="H860" ca="1">ROW(INDIRECT(A860))</f>
        <v>66</v>
      </c>
      <c r="I860" cm="1">
        <f t="array" aca="1" ref="I860" ca="1">COLUMN(INDIRECT(A860))</f>
        <v>10</v>
      </c>
      <c r="M860" t="str" cm="1">
        <f t="array" aca="1" ref="M860" ca="1">IF(AND(J860="O",ISBLANK(INDIRECT(A860))),"Valeur obligatoire non renseignée","")</f>
        <v/>
      </c>
    </row>
    <row r="861" spans="1:13" x14ac:dyDescent="0.25">
      <c r="A861" s="91" t="s">
        <v>3796</v>
      </c>
      <c r="B861" cm="1">
        <f t="array" aca="1" ref="B861" ca="1">INDIRECT(A861)</f>
        <v>0</v>
      </c>
      <c r="C861">
        <f t="shared" ca="1" si="52"/>
        <v>5</v>
      </c>
      <c r="D861" t="str" cm="1">
        <f t="array" aca="1" ref="D861" ca="1">CELL("nomfichier",INDIRECT(A861))</f>
        <v>G:\SCPE\sdc\bq\6 - Mentions valorisantes\Certification environnementale\TEXTES_REGLEMENTATION_CE\Plans_contrôle et grilles\Grille audit niveau 3\Grille d'audit v1.11\[grille-audit-hvev4-v1.11-vf.xlsx]Surfaces_Horti</v>
      </c>
      <c r="E861">
        <f t="shared" ca="1" si="53"/>
        <v>200</v>
      </c>
      <c r="F861">
        <f t="shared" ca="1" si="54"/>
        <v>214</v>
      </c>
      <c r="G861" t="str">
        <f t="shared" ca="1" si="55"/>
        <v>Surfaces_Horti</v>
      </c>
      <c r="H861" cm="1">
        <f t="array" aca="1" ref="H861" ca="1">ROW(INDIRECT(A861))</f>
        <v>66</v>
      </c>
      <c r="I861" cm="1">
        <f t="array" aca="1" ref="I861" ca="1">COLUMN(INDIRECT(A861))</f>
        <v>11</v>
      </c>
      <c r="M861" t="str" cm="1">
        <f t="array" aca="1" ref="M861" ca="1">IF(AND(J861="O",ISBLANK(INDIRECT(A861))),"Valeur obligatoire non renseignée","")</f>
        <v/>
      </c>
    </row>
    <row r="862" spans="1:13" x14ac:dyDescent="0.25">
      <c r="A862" s="91" t="s">
        <v>3823</v>
      </c>
      <c r="B862" cm="1">
        <f t="array" aca="1" ref="B862" ca="1">INDIRECT(A862)</f>
        <v>0</v>
      </c>
      <c r="C862">
        <f t="shared" ca="1" si="52"/>
        <v>5</v>
      </c>
      <c r="D862" t="str" cm="1">
        <f t="array" aca="1" ref="D862" ca="1">CELL("nomfichier",INDIRECT(A862))</f>
        <v>G:\SCPE\sdc\bq\6 - Mentions valorisantes\Certification environnementale\TEXTES_REGLEMENTATION_CE\Plans_contrôle et grilles\Grille audit niveau 3\Grille d'audit v1.11\[grille-audit-hvev4-v1.11-vf.xlsx]Surfaces_Horti</v>
      </c>
      <c r="E862">
        <f t="shared" ca="1" si="53"/>
        <v>200</v>
      </c>
      <c r="F862">
        <f t="shared" ca="1" si="54"/>
        <v>214</v>
      </c>
      <c r="G862" t="str">
        <f t="shared" ca="1" si="55"/>
        <v>Surfaces_Horti</v>
      </c>
      <c r="H862" cm="1">
        <f t="array" aca="1" ref="H862" ca="1">ROW(INDIRECT(A862))</f>
        <v>66</v>
      </c>
      <c r="I862" cm="1">
        <f t="array" aca="1" ref="I862" ca="1">COLUMN(INDIRECT(A862))</f>
        <v>12</v>
      </c>
      <c r="M862" t="str" cm="1">
        <f t="array" aca="1" ref="M862" ca="1">IF(AND(J862="O",ISBLANK(INDIRECT(A862))),"Valeur obligatoire non renseignée","")</f>
        <v/>
      </c>
    </row>
    <row r="863" spans="1:13" x14ac:dyDescent="0.25">
      <c r="A863" s="91" t="s">
        <v>3850</v>
      </c>
      <c r="B863" cm="1">
        <f t="array" aca="1" ref="B863" ca="1">INDIRECT(A863)</f>
        <v>0</v>
      </c>
      <c r="C863">
        <f t="shared" ca="1" si="52"/>
        <v>5</v>
      </c>
      <c r="D863" t="str" cm="1">
        <f t="array" aca="1" ref="D863" ca="1">CELL("nomfichier",INDIRECT(A863))</f>
        <v>G:\SCPE\sdc\bq\6 - Mentions valorisantes\Certification environnementale\TEXTES_REGLEMENTATION_CE\Plans_contrôle et grilles\Grille audit niveau 3\Grille d'audit v1.11\[grille-audit-hvev4-v1.11-vf.xlsx]Surfaces_Horti</v>
      </c>
      <c r="E863">
        <f t="shared" ca="1" si="53"/>
        <v>200</v>
      </c>
      <c r="F863">
        <f t="shared" ca="1" si="54"/>
        <v>214</v>
      </c>
      <c r="G863" t="str">
        <f t="shared" ca="1" si="55"/>
        <v>Surfaces_Horti</v>
      </c>
      <c r="H863" cm="1">
        <f t="array" aca="1" ref="H863" ca="1">ROW(INDIRECT(A863))</f>
        <v>66</v>
      </c>
      <c r="I863" cm="1">
        <f t="array" aca="1" ref="I863" ca="1">COLUMN(INDIRECT(A863))</f>
        <v>13</v>
      </c>
      <c r="M863" t="str" cm="1">
        <f t="array" aca="1" ref="M863" ca="1">IF(AND(J863="O",ISBLANK(INDIRECT(A863))),"Valeur obligatoire non renseignée","")</f>
        <v/>
      </c>
    </row>
    <row r="864" spans="1:13" x14ac:dyDescent="0.25">
      <c r="A864" s="91" t="s">
        <v>3877</v>
      </c>
      <c r="B864" cm="1">
        <f t="array" aca="1" ref="B864" ca="1">INDIRECT(A864)</f>
        <v>0</v>
      </c>
      <c r="C864">
        <f t="shared" ca="1" si="52"/>
        <v>5</v>
      </c>
      <c r="D864" t="str" cm="1">
        <f t="array" aca="1" ref="D864" ca="1">CELL("nomfichier",INDIRECT(A864))</f>
        <v>G:\SCPE\sdc\bq\6 - Mentions valorisantes\Certification environnementale\TEXTES_REGLEMENTATION_CE\Plans_contrôle et grilles\Grille audit niveau 3\Grille d'audit v1.11\[grille-audit-hvev4-v1.11-vf.xlsx]Surfaces_Horti</v>
      </c>
      <c r="E864">
        <f t="shared" ca="1" si="53"/>
        <v>200</v>
      </c>
      <c r="F864">
        <f t="shared" ca="1" si="54"/>
        <v>214</v>
      </c>
      <c r="G864" t="str">
        <f t="shared" ca="1" si="55"/>
        <v>Surfaces_Horti</v>
      </c>
      <c r="H864" cm="1">
        <f t="array" aca="1" ref="H864" ca="1">ROW(INDIRECT(A864))</f>
        <v>66</v>
      </c>
      <c r="I864" cm="1">
        <f t="array" aca="1" ref="I864" ca="1">COLUMN(INDIRECT(A864))</f>
        <v>14</v>
      </c>
      <c r="M864" t="str" cm="1">
        <f t="array" aca="1" ref="M864" ca="1">IF(AND(J864="O",ISBLANK(INDIRECT(A864))),"Valeur obligatoire non renseignée","")</f>
        <v/>
      </c>
    </row>
    <row r="865" spans="1:13" x14ac:dyDescent="0.25">
      <c r="A865" s="91" t="s">
        <v>3554</v>
      </c>
      <c r="B865" cm="1">
        <f t="array" aca="1" ref="B865" ca="1">INDIRECT(A865)</f>
        <v>0</v>
      </c>
      <c r="C865">
        <f t="shared" ca="1" si="52"/>
        <v>5</v>
      </c>
      <c r="D865" t="str" cm="1">
        <f t="array" aca="1" ref="D865" ca="1">CELL("nomfichier",INDIRECT(A865))</f>
        <v>G:\SCPE\sdc\bq\6 - Mentions valorisantes\Certification environnementale\TEXTES_REGLEMENTATION_CE\Plans_contrôle et grilles\Grille audit niveau 3\Grille d'audit v1.11\[grille-audit-hvev4-v1.11-vf.xlsx]Surfaces_Horti</v>
      </c>
      <c r="E865">
        <f t="shared" ca="1" si="53"/>
        <v>200</v>
      </c>
      <c r="F865">
        <f t="shared" ca="1" si="54"/>
        <v>214</v>
      </c>
      <c r="G865" t="str">
        <f t="shared" ca="1" si="55"/>
        <v>Surfaces_Horti</v>
      </c>
      <c r="H865" cm="1">
        <f t="array" aca="1" ref="H865" ca="1">ROW(INDIRECT(A865))</f>
        <v>67</v>
      </c>
      <c r="I865" cm="1">
        <f t="array" aca="1" ref="I865" ca="1">COLUMN(INDIRECT(A865))</f>
        <v>2</v>
      </c>
      <c r="M865" t="str" cm="1">
        <f t="array" aca="1" ref="M865" ca="1">IF(AND(J865="O",ISBLANK(INDIRECT(A865))),"Valeur obligatoire non renseignée","")</f>
        <v/>
      </c>
    </row>
    <row r="866" spans="1:13" x14ac:dyDescent="0.25">
      <c r="A866" s="91" t="s">
        <v>3581</v>
      </c>
      <c r="B866" cm="1">
        <f t="array" aca="1" ref="B866" ca="1">INDIRECT(A866)</f>
        <v>0</v>
      </c>
      <c r="C866">
        <f t="shared" ca="1" si="52"/>
        <v>5</v>
      </c>
      <c r="D866" t="str" cm="1">
        <f t="array" aca="1" ref="D866" ca="1">CELL("nomfichier",INDIRECT(A866))</f>
        <v>G:\SCPE\sdc\bq\6 - Mentions valorisantes\Certification environnementale\TEXTES_REGLEMENTATION_CE\Plans_contrôle et grilles\Grille audit niveau 3\Grille d'audit v1.11\[grille-audit-hvev4-v1.11-vf.xlsx]Surfaces_Horti</v>
      </c>
      <c r="E866">
        <f t="shared" ca="1" si="53"/>
        <v>200</v>
      </c>
      <c r="F866">
        <f t="shared" ca="1" si="54"/>
        <v>214</v>
      </c>
      <c r="G866" t="str">
        <f t="shared" ca="1" si="55"/>
        <v>Surfaces_Horti</v>
      </c>
      <c r="H866" cm="1">
        <f t="array" aca="1" ref="H866" ca="1">ROW(INDIRECT(A866))</f>
        <v>67</v>
      </c>
      <c r="I866" cm="1">
        <f t="array" aca="1" ref="I866" ca="1">COLUMN(INDIRECT(A866))</f>
        <v>3</v>
      </c>
      <c r="M866" t="str" cm="1">
        <f t="array" aca="1" ref="M866" ca="1">IF(AND(J866="O",ISBLANK(INDIRECT(A866))),"Valeur obligatoire non renseignée","")</f>
        <v/>
      </c>
    </row>
    <row r="867" spans="1:13" x14ac:dyDescent="0.25">
      <c r="A867" s="91" t="s">
        <v>3608</v>
      </c>
      <c r="B867" cm="1">
        <f t="array" aca="1" ref="B867" ca="1">INDIRECT(A867)</f>
        <v>0</v>
      </c>
      <c r="C867">
        <f t="shared" ca="1" si="52"/>
        <v>5</v>
      </c>
      <c r="D867" t="str" cm="1">
        <f t="array" aca="1" ref="D867" ca="1">CELL("nomfichier",INDIRECT(A867))</f>
        <v>G:\SCPE\sdc\bq\6 - Mentions valorisantes\Certification environnementale\TEXTES_REGLEMENTATION_CE\Plans_contrôle et grilles\Grille audit niveau 3\Grille d'audit v1.11\[grille-audit-hvev4-v1.11-vf.xlsx]Surfaces_Horti</v>
      </c>
      <c r="E867">
        <f t="shared" ca="1" si="53"/>
        <v>200</v>
      </c>
      <c r="F867">
        <f t="shared" ca="1" si="54"/>
        <v>214</v>
      </c>
      <c r="G867" t="str">
        <f t="shared" ca="1" si="55"/>
        <v>Surfaces_Horti</v>
      </c>
      <c r="H867" cm="1">
        <f t="array" aca="1" ref="H867" ca="1">ROW(INDIRECT(A867))</f>
        <v>67</v>
      </c>
      <c r="I867" cm="1">
        <f t="array" aca="1" ref="I867" ca="1">COLUMN(INDIRECT(A867))</f>
        <v>4</v>
      </c>
      <c r="M867" t="str" cm="1">
        <f t="array" aca="1" ref="M867" ca="1">IF(AND(J867="O",ISBLANK(INDIRECT(A867))),"Valeur obligatoire non renseignée","")</f>
        <v/>
      </c>
    </row>
    <row r="868" spans="1:13" x14ac:dyDescent="0.25">
      <c r="A868" s="91" t="s">
        <v>3635</v>
      </c>
      <c r="B868" cm="1">
        <f t="array" aca="1" ref="B868" ca="1">INDIRECT(A868)</f>
        <v>0</v>
      </c>
      <c r="C868">
        <f t="shared" ca="1" si="52"/>
        <v>5</v>
      </c>
      <c r="D868" t="str" cm="1">
        <f t="array" aca="1" ref="D868" ca="1">CELL("nomfichier",INDIRECT(A868))</f>
        <v>G:\SCPE\sdc\bq\6 - Mentions valorisantes\Certification environnementale\TEXTES_REGLEMENTATION_CE\Plans_contrôle et grilles\Grille audit niveau 3\Grille d'audit v1.11\[grille-audit-hvev4-v1.11-vf.xlsx]Surfaces_Horti</v>
      </c>
      <c r="E868">
        <f t="shared" ca="1" si="53"/>
        <v>200</v>
      </c>
      <c r="F868">
        <f t="shared" ca="1" si="54"/>
        <v>214</v>
      </c>
      <c r="G868" t="str">
        <f t="shared" ca="1" si="55"/>
        <v>Surfaces_Horti</v>
      </c>
      <c r="H868" cm="1">
        <f t="array" aca="1" ref="H868" ca="1">ROW(INDIRECT(A868))</f>
        <v>67</v>
      </c>
      <c r="I868" cm="1">
        <f t="array" aca="1" ref="I868" ca="1">COLUMN(INDIRECT(A868))</f>
        <v>5</v>
      </c>
      <c r="M868" t="str" cm="1">
        <f t="array" aca="1" ref="M868" ca="1">IF(AND(J868="O",ISBLANK(INDIRECT(A868))),"Valeur obligatoire non renseignée","")</f>
        <v/>
      </c>
    </row>
    <row r="869" spans="1:13" x14ac:dyDescent="0.25">
      <c r="A869" s="91" t="s">
        <v>3662</v>
      </c>
      <c r="B869" cm="1">
        <f t="array" aca="1" ref="B869" ca="1">INDIRECT(A869)</f>
        <v>0</v>
      </c>
      <c r="C869">
        <f t="shared" ca="1" si="52"/>
        <v>5</v>
      </c>
      <c r="D869" t="str" cm="1">
        <f t="array" aca="1" ref="D869" ca="1">CELL("nomfichier",INDIRECT(A869))</f>
        <v>G:\SCPE\sdc\bq\6 - Mentions valorisantes\Certification environnementale\TEXTES_REGLEMENTATION_CE\Plans_contrôle et grilles\Grille audit niveau 3\Grille d'audit v1.11\[grille-audit-hvev4-v1.11-vf.xlsx]Surfaces_Horti</v>
      </c>
      <c r="E869">
        <f t="shared" ca="1" si="53"/>
        <v>200</v>
      </c>
      <c r="F869">
        <f t="shared" ca="1" si="54"/>
        <v>214</v>
      </c>
      <c r="G869" t="str">
        <f t="shared" ca="1" si="55"/>
        <v>Surfaces_Horti</v>
      </c>
      <c r="H869" cm="1">
        <f t="array" aca="1" ref="H869" ca="1">ROW(INDIRECT(A869))</f>
        <v>67</v>
      </c>
      <c r="I869" cm="1">
        <f t="array" aca="1" ref="I869" ca="1">COLUMN(INDIRECT(A869))</f>
        <v>6</v>
      </c>
      <c r="M869" t="str" cm="1">
        <f t="array" aca="1" ref="M869" ca="1">IF(AND(J869="O",ISBLANK(INDIRECT(A869))),"Valeur obligatoire non renseignée","")</f>
        <v/>
      </c>
    </row>
    <row r="870" spans="1:13" x14ac:dyDescent="0.25">
      <c r="A870" s="91" t="s">
        <v>3689</v>
      </c>
      <c r="B870" cm="1">
        <f t="array" aca="1" ref="B870" ca="1">INDIRECT(A870)</f>
        <v>0</v>
      </c>
      <c r="C870">
        <f t="shared" ca="1" si="52"/>
        <v>5</v>
      </c>
      <c r="D870" t="str" cm="1">
        <f t="array" aca="1" ref="D870" ca="1">CELL("nomfichier",INDIRECT(A870))</f>
        <v>G:\SCPE\sdc\bq\6 - Mentions valorisantes\Certification environnementale\TEXTES_REGLEMENTATION_CE\Plans_contrôle et grilles\Grille audit niveau 3\Grille d'audit v1.11\[grille-audit-hvev4-v1.11-vf.xlsx]Surfaces_Horti</v>
      </c>
      <c r="E870">
        <f t="shared" ca="1" si="53"/>
        <v>200</v>
      </c>
      <c r="F870">
        <f t="shared" ca="1" si="54"/>
        <v>214</v>
      </c>
      <c r="G870" t="str">
        <f t="shared" ca="1" si="55"/>
        <v>Surfaces_Horti</v>
      </c>
      <c r="H870" cm="1">
        <f t="array" aca="1" ref="H870" ca="1">ROW(INDIRECT(A870))</f>
        <v>67</v>
      </c>
      <c r="I870" cm="1">
        <f t="array" aca="1" ref="I870" ca="1">COLUMN(INDIRECT(A870))</f>
        <v>7</v>
      </c>
      <c r="M870" t="str" cm="1">
        <f t="array" aca="1" ref="M870" ca="1">IF(AND(J870="O",ISBLANK(INDIRECT(A870))),"Valeur obligatoire non renseignée","")</f>
        <v/>
      </c>
    </row>
    <row r="871" spans="1:13" x14ac:dyDescent="0.25">
      <c r="A871" s="91" t="s">
        <v>3716</v>
      </c>
      <c r="B871" cm="1">
        <f t="array" aca="1" ref="B871" ca="1">INDIRECT(A871)</f>
        <v>0</v>
      </c>
      <c r="C871">
        <f t="shared" ca="1" si="52"/>
        <v>5</v>
      </c>
      <c r="D871" t="str" cm="1">
        <f t="array" aca="1" ref="D871" ca="1">CELL("nomfichier",INDIRECT(A871))</f>
        <v>G:\SCPE\sdc\bq\6 - Mentions valorisantes\Certification environnementale\TEXTES_REGLEMENTATION_CE\Plans_contrôle et grilles\Grille audit niveau 3\Grille d'audit v1.11\[grille-audit-hvev4-v1.11-vf.xlsx]Surfaces_Horti</v>
      </c>
      <c r="E871">
        <f t="shared" ca="1" si="53"/>
        <v>200</v>
      </c>
      <c r="F871">
        <f t="shared" ca="1" si="54"/>
        <v>214</v>
      </c>
      <c r="G871" t="str">
        <f t="shared" ca="1" si="55"/>
        <v>Surfaces_Horti</v>
      </c>
      <c r="H871" cm="1">
        <f t="array" aca="1" ref="H871" ca="1">ROW(INDIRECT(A871))</f>
        <v>67</v>
      </c>
      <c r="I871" cm="1">
        <f t="array" aca="1" ref="I871" ca="1">COLUMN(INDIRECT(A871))</f>
        <v>8</v>
      </c>
      <c r="M871" t="str" cm="1">
        <f t="array" aca="1" ref="M871" ca="1">IF(AND(J871="O",ISBLANK(INDIRECT(A871))),"Valeur obligatoire non renseignée","")</f>
        <v/>
      </c>
    </row>
    <row r="872" spans="1:13" x14ac:dyDescent="0.25">
      <c r="A872" s="91" t="s">
        <v>3743</v>
      </c>
      <c r="B872" cm="1">
        <f t="array" aca="1" ref="B872" ca="1">INDIRECT(A872)</f>
        <v>0</v>
      </c>
      <c r="C872">
        <f t="shared" ca="1" si="52"/>
        <v>5</v>
      </c>
      <c r="D872" t="str" cm="1">
        <f t="array" aca="1" ref="D872" ca="1">CELL("nomfichier",INDIRECT(A872))</f>
        <v>G:\SCPE\sdc\bq\6 - Mentions valorisantes\Certification environnementale\TEXTES_REGLEMENTATION_CE\Plans_contrôle et grilles\Grille audit niveau 3\Grille d'audit v1.11\[grille-audit-hvev4-v1.11-vf.xlsx]Surfaces_Horti</v>
      </c>
      <c r="E872">
        <f t="shared" ca="1" si="53"/>
        <v>200</v>
      </c>
      <c r="F872">
        <f t="shared" ca="1" si="54"/>
        <v>214</v>
      </c>
      <c r="G872" t="str">
        <f t="shared" ca="1" si="55"/>
        <v>Surfaces_Horti</v>
      </c>
      <c r="H872" cm="1">
        <f t="array" aca="1" ref="H872" ca="1">ROW(INDIRECT(A872))</f>
        <v>67</v>
      </c>
      <c r="I872" cm="1">
        <f t="array" aca="1" ref="I872" ca="1">COLUMN(INDIRECT(A872))</f>
        <v>9</v>
      </c>
      <c r="M872" t="str" cm="1">
        <f t="array" aca="1" ref="M872" ca="1">IF(AND(J872="O",ISBLANK(INDIRECT(A872))),"Valeur obligatoire non renseignée","")</f>
        <v/>
      </c>
    </row>
    <row r="873" spans="1:13" x14ac:dyDescent="0.25">
      <c r="A873" s="91" t="s">
        <v>3770</v>
      </c>
      <c r="B873" cm="1">
        <f t="array" aca="1" ref="B873" ca="1">INDIRECT(A873)</f>
        <v>0</v>
      </c>
      <c r="C873">
        <f t="shared" ca="1" si="52"/>
        <v>5</v>
      </c>
      <c r="D873" t="str" cm="1">
        <f t="array" aca="1" ref="D873" ca="1">CELL("nomfichier",INDIRECT(A873))</f>
        <v>G:\SCPE\sdc\bq\6 - Mentions valorisantes\Certification environnementale\TEXTES_REGLEMENTATION_CE\Plans_contrôle et grilles\Grille audit niveau 3\Grille d'audit v1.11\[grille-audit-hvev4-v1.11-vf.xlsx]Surfaces_Horti</v>
      </c>
      <c r="E873">
        <f t="shared" ca="1" si="53"/>
        <v>200</v>
      </c>
      <c r="F873">
        <f t="shared" ca="1" si="54"/>
        <v>214</v>
      </c>
      <c r="G873" t="str">
        <f t="shared" ca="1" si="55"/>
        <v>Surfaces_Horti</v>
      </c>
      <c r="H873" cm="1">
        <f t="array" aca="1" ref="H873" ca="1">ROW(INDIRECT(A873))</f>
        <v>67</v>
      </c>
      <c r="I873" cm="1">
        <f t="array" aca="1" ref="I873" ca="1">COLUMN(INDIRECT(A873))</f>
        <v>10</v>
      </c>
      <c r="M873" t="str" cm="1">
        <f t="array" aca="1" ref="M873" ca="1">IF(AND(J873="O",ISBLANK(INDIRECT(A873))),"Valeur obligatoire non renseignée","")</f>
        <v/>
      </c>
    </row>
    <row r="874" spans="1:13" x14ac:dyDescent="0.25">
      <c r="A874" s="91" t="s">
        <v>3797</v>
      </c>
      <c r="B874" cm="1">
        <f t="array" aca="1" ref="B874" ca="1">INDIRECT(A874)</f>
        <v>0</v>
      </c>
      <c r="C874">
        <f t="shared" ca="1" si="52"/>
        <v>5</v>
      </c>
      <c r="D874" t="str" cm="1">
        <f t="array" aca="1" ref="D874" ca="1">CELL("nomfichier",INDIRECT(A874))</f>
        <v>G:\SCPE\sdc\bq\6 - Mentions valorisantes\Certification environnementale\TEXTES_REGLEMENTATION_CE\Plans_contrôle et grilles\Grille audit niveau 3\Grille d'audit v1.11\[grille-audit-hvev4-v1.11-vf.xlsx]Surfaces_Horti</v>
      </c>
      <c r="E874">
        <f t="shared" ca="1" si="53"/>
        <v>200</v>
      </c>
      <c r="F874">
        <f t="shared" ca="1" si="54"/>
        <v>214</v>
      </c>
      <c r="G874" t="str">
        <f t="shared" ca="1" si="55"/>
        <v>Surfaces_Horti</v>
      </c>
      <c r="H874" cm="1">
        <f t="array" aca="1" ref="H874" ca="1">ROW(INDIRECT(A874))</f>
        <v>67</v>
      </c>
      <c r="I874" cm="1">
        <f t="array" aca="1" ref="I874" ca="1">COLUMN(INDIRECT(A874))</f>
        <v>11</v>
      </c>
      <c r="M874" t="str" cm="1">
        <f t="array" aca="1" ref="M874" ca="1">IF(AND(J874="O",ISBLANK(INDIRECT(A874))),"Valeur obligatoire non renseignée","")</f>
        <v/>
      </c>
    </row>
    <row r="875" spans="1:13" x14ac:dyDescent="0.25">
      <c r="A875" s="91" t="s">
        <v>3824</v>
      </c>
      <c r="B875" cm="1">
        <f t="array" aca="1" ref="B875" ca="1">INDIRECT(A875)</f>
        <v>0</v>
      </c>
      <c r="C875">
        <f t="shared" ca="1" si="52"/>
        <v>5</v>
      </c>
      <c r="D875" t="str" cm="1">
        <f t="array" aca="1" ref="D875" ca="1">CELL("nomfichier",INDIRECT(A875))</f>
        <v>G:\SCPE\sdc\bq\6 - Mentions valorisantes\Certification environnementale\TEXTES_REGLEMENTATION_CE\Plans_contrôle et grilles\Grille audit niveau 3\Grille d'audit v1.11\[grille-audit-hvev4-v1.11-vf.xlsx]Surfaces_Horti</v>
      </c>
      <c r="E875">
        <f t="shared" ca="1" si="53"/>
        <v>200</v>
      </c>
      <c r="F875">
        <f t="shared" ca="1" si="54"/>
        <v>214</v>
      </c>
      <c r="G875" t="str">
        <f t="shared" ca="1" si="55"/>
        <v>Surfaces_Horti</v>
      </c>
      <c r="H875" cm="1">
        <f t="array" aca="1" ref="H875" ca="1">ROW(INDIRECT(A875))</f>
        <v>67</v>
      </c>
      <c r="I875" cm="1">
        <f t="array" aca="1" ref="I875" ca="1">COLUMN(INDIRECT(A875))</f>
        <v>12</v>
      </c>
      <c r="M875" t="str" cm="1">
        <f t="array" aca="1" ref="M875" ca="1">IF(AND(J875="O",ISBLANK(INDIRECT(A875))),"Valeur obligatoire non renseignée","")</f>
        <v/>
      </c>
    </row>
    <row r="876" spans="1:13" x14ac:dyDescent="0.25">
      <c r="A876" s="91" t="s">
        <v>3851</v>
      </c>
      <c r="B876" cm="1">
        <f t="array" aca="1" ref="B876" ca="1">INDIRECT(A876)</f>
        <v>0</v>
      </c>
      <c r="C876">
        <f t="shared" ca="1" si="52"/>
        <v>5</v>
      </c>
      <c r="D876" t="str" cm="1">
        <f t="array" aca="1" ref="D876" ca="1">CELL("nomfichier",INDIRECT(A876))</f>
        <v>G:\SCPE\sdc\bq\6 - Mentions valorisantes\Certification environnementale\TEXTES_REGLEMENTATION_CE\Plans_contrôle et grilles\Grille audit niveau 3\Grille d'audit v1.11\[grille-audit-hvev4-v1.11-vf.xlsx]Surfaces_Horti</v>
      </c>
      <c r="E876">
        <f t="shared" ca="1" si="53"/>
        <v>200</v>
      </c>
      <c r="F876">
        <f t="shared" ca="1" si="54"/>
        <v>214</v>
      </c>
      <c r="G876" t="str">
        <f t="shared" ca="1" si="55"/>
        <v>Surfaces_Horti</v>
      </c>
      <c r="H876" cm="1">
        <f t="array" aca="1" ref="H876" ca="1">ROW(INDIRECT(A876))</f>
        <v>67</v>
      </c>
      <c r="I876" cm="1">
        <f t="array" aca="1" ref="I876" ca="1">COLUMN(INDIRECT(A876))</f>
        <v>13</v>
      </c>
      <c r="M876" t="str" cm="1">
        <f t="array" aca="1" ref="M876" ca="1">IF(AND(J876="O",ISBLANK(INDIRECT(A876))),"Valeur obligatoire non renseignée","")</f>
        <v/>
      </c>
    </row>
    <row r="877" spans="1:13" x14ac:dyDescent="0.25">
      <c r="A877" s="91" t="s">
        <v>3878</v>
      </c>
      <c r="B877" cm="1">
        <f t="array" aca="1" ref="B877" ca="1">INDIRECT(A877)</f>
        <v>0</v>
      </c>
      <c r="C877">
        <f t="shared" ca="1" si="52"/>
        <v>5</v>
      </c>
      <c r="D877" t="str" cm="1">
        <f t="array" aca="1" ref="D877" ca="1">CELL("nomfichier",INDIRECT(A877))</f>
        <v>G:\SCPE\sdc\bq\6 - Mentions valorisantes\Certification environnementale\TEXTES_REGLEMENTATION_CE\Plans_contrôle et grilles\Grille audit niveau 3\Grille d'audit v1.11\[grille-audit-hvev4-v1.11-vf.xlsx]Surfaces_Horti</v>
      </c>
      <c r="E877">
        <f t="shared" ca="1" si="53"/>
        <v>200</v>
      </c>
      <c r="F877">
        <f t="shared" ca="1" si="54"/>
        <v>214</v>
      </c>
      <c r="G877" t="str">
        <f t="shared" ca="1" si="55"/>
        <v>Surfaces_Horti</v>
      </c>
      <c r="H877" cm="1">
        <f t="array" aca="1" ref="H877" ca="1">ROW(INDIRECT(A877))</f>
        <v>67</v>
      </c>
      <c r="I877" cm="1">
        <f t="array" aca="1" ref="I877" ca="1">COLUMN(INDIRECT(A877))</f>
        <v>14</v>
      </c>
      <c r="M877" t="str" cm="1">
        <f t="array" aca="1" ref="M877" ca="1">IF(AND(J877="O",ISBLANK(INDIRECT(A877))),"Valeur obligatoire non renseignée","")</f>
        <v/>
      </c>
    </row>
    <row r="878" spans="1:13" x14ac:dyDescent="0.25">
      <c r="A878" s="91" t="s">
        <v>3555</v>
      </c>
      <c r="B878" cm="1">
        <f t="array" aca="1" ref="B878" ca="1">INDIRECT(A878)</f>
        <v>0</v>
      </c>
      <c r="C878">
        <f t="shared" ca="1" si="52"/>
        <v>5</v>
      </c>
      <c r="D878" t="str" cm="1">
        <f t="array" aca="1" ref="D878" ca="1">CELL("nomfichier",INDIRECT(A878))</f>
        <v>G:\SCPE\sdc\bq\6 - Mentions valorisantes\Certification environnementale\TEXTES_REGLEMENTATION_CE\Plans_contrôle et grilles\Grille audit niveau 3\Grille d'audit v1.11\[grille-audit-hvev4-v1.11-vf.xlsx]Surfaces_Horti</v>
      </c>
      <c r="E878">
        <f t="shared" ca="1" si="53"/>
        <v>200</v>
      </c>
      <c r="F878">
        <f t="shared" ca="1" si="54"/>
        <v>214</v>
      </c>
      <c r="G878" t="str">
        <f t="shared" ca="1" si="55"/>
        <v>Surfaces_Horti</v>
      </c>
      <c r="H878" cm="1">
        <f t="array" aca="1" ref="H878" ca="1">ROW(INDIRECT(A878))</f>
        <v>68</v>
      </c>
      <c r="I878" cm="1">
        <f t="array" aca="1" ref="I878" ca="1">COLUMN(INDIRECT(A878))</f>
        <v>2</v>
      </c>
      <c r="M878" t="str" cm="1">
        <f t="array" aca="1" ref="M878" ca="1">IF(AND(J878="O",ISBLANK(INDIRECT(A878))),"Valeur obligatoire non renseignée","")</f>
        <v/>
      </c>
    </row>
    <row r="879" spans="1:13" x14ac:dyDescent="0.25">
      <c r="A879" s="91" t="s">
        <v>3582</v>
      </c>
      <c r="B879" cm="1">
        <f t="array" aca="1" ref="B879" ca="1">INDIRECT(A879)</f>
        <v>0</v>
      </c>
      <c r="C879">
        <f t="shared" ca="1" si="52"/>
        <v>5</v>
      </c>
      <c r="D879" t="str" cm="1">
        <f t="array" aca="1" ref="D879" ca="1">CELL("nomfichier",INDIRECT(A879))</f>
        <v>G:\SCPE\sdc\bq\6 - Mentions valorisantes\Certification environnementale\TEXTES_REGLEMENTATION_CE\Plans_contrôle et grilles\Grille audit niveau 3\Grille d'audit v1.11\[grille-audit-hvev4-v1.11-vf.xlsx]Surfaces_Horti</v>
      </c>
      <c r="E879">
        <f t="shared" ca="1" si="53"/>
        <v>200</v>
      </c>
      <c r="F879">
        <f t="shared" ca="1" si="54"/>
        <v>214</v>
      </c>
      <c r="G879" t="str">
        <f t="shared" ca="1" si="55"/>
        <v>Surfaces_Horti</v>
      </c>
      <c r="H879" cm="1">
        <f t="array" aca="1" ref="H879" ca="1">ROW(INDIRECT(A879))</f>
        <v>68</v>
      </c>
      <c r="I879" cm="1">
        <f t="array" aca="1" ref="I879" ca="1">COLUMN(INDIRECT(A879))</f>
        <v>3</v>
      </c>
      <c r="M879" t="str" cm="1">
        <f t="array" aca="1" ref="M879" ca="1">IF(AND(J879="O",ISBLANK(INDIRECT(A879))),"Valeur obligatoire non renseignée","")</f>
        <v/>
      </c>
    </row>
    <row r="880" spans="1:13" x14ac:dyDescent="0.25">
      <c r="A880" s="91" t="s">
        <v>3609</v>
      </c>
      <c r="B880" cm="1">
        <f t="array" aca="1" ref="B880" ca="1">INDIRECT(A880)</f>
        <v>0</v>
      </c>
      <c r="C880">
        <f t="shared" ca="1" si="52"/>
        <v>5</v>
      </c>
      <c r="D880" t="str" cm="1">
        <f t="array" aca="1" ref="D880" ca="1">CELL("nomfichier",INDIRECT(A880))</f>
        <v>G:\SCPE\sdc\bq\6 - Mentions valorisantes\Certification environnementale\TEXTES_REGLEMENTATION_CE\Plans_contrôle et grilles\Grille audit niveau 3\Grille d'audit v1.11\[grille-audit-hvev4-v1.11-vf.xlsx]Surfaces_Horti</v>
      </c>
      <c r="E880">
        <f t="shared" ca="1" si="53"/>
        <v>200</v>
      </c>
      <c r="F880">
        <f t="shared" ca="1" si="54"/>
        <v>214</v>
      </c>
      <c r="G880" t="str">
        <f t="shared" ca="1" si="55"/>
        <v>Surfaces_Horti</v>
      </c>
      <c r="H880" cm="1">
        <f t="array" aca="1" ref="H880" ca="1">ROW(INDIRECT(A880))</f>
        <v>68</v>
      </c>
      <c r="I880" cm="1">
        <f t="array" aca="1" ref="I880" ca="1">COLUMN(INDIRECT(A880))</f>
        <v>4</v>
      </c>
      <c r="M880" t="str" cm="1">
        <f t="array" aca="1" ref="M880" ca="1">IF(AND(J880="O",ISBLANK(INDIRECT(A880))),"Valeur obligatoire non renseignée","")</f>
        <v/>
      </c>
    </row>
    <row r="881" spans="1:13" x14ac:dyDescent="0.25">
      <c r="A881" s="91" t="s">
        <v>3636</v>
      </c>
      <c r="B881" cm="1">
        <f t="array" aca="1" ref="B881" ca="1">INDIRECT(A881)</f>
        <v>0</v>
      </c>
      <c r="C881">
        <f t="shared" ca="1" si="52"/>
        <v>5</v>
      </c>
      <c r="D881" t="str" cm="1">
        <f t="array" aca="1" ref="D881" ca="1">CELL("nomfichier",INDIRECT(A881))</f>
        <v>G:\SCPE\sdc\bq\6 - Mentions valorisantes\Certification environnementale\TEXTES_REGLEMENTATION_CE\Plans_contrôle et grilles\Grille audit niveau 3\Grille d'audit v1.11\[grille-audit-hvev4-v1.11-vf.xlsx]Surfaces_Horti</v>
      </c>
      <c r="E881">
        <f t="shared" ca="1" si="53"/>
        <v>200</v>
      </c>
      <c r="F881">
        <f t="shared" ca="1" si="54"/>
        <v>214</v>
      </c>
      <c r="G881" t="str">
        <f t="shared" ca="1" si="55"/>
        <v>Surfaces_Horti</v>
      </c>
      <c r="H881" cm="1">
        <f t="array" aca="1" ref="H881" ca="1">ROW(INDIRECT(A881))</f>
        <v>68</v>
      </c>
      <c r="I881" cm="1">
        <f t="array" aca="1" ref="I881" ca="1">COLUMN(INDIRECT(A881))</f>
        <v>5</v>
      </c>
      <c r="M881" t="str" cm="1">
        <f t="array" aca="1" ref="M881" ca="1">IF(AND(J881="O",ISBLANK(INDIRECT(A881))),"Valeur obligatoire non renseignée","")</f>
        <v/>
      </c>
    </row>
    <row r="882" spans="1:13" x14ac:dyDescent="0.25">
      <c r="A882" s="91" t="s">
        <v>3663</v>
      </c>
      <c r="B882" cm="1">
        <f t="array" aca="1" ref="B882" ca="1">INDIRECT(A882)</f>
        <v>0</v>
      </c>
      <c r="C882">
        <f t="shared" ca="1" si="52"/>
        <v>5</v>
      </c>
      <c r="D882" t="str" cm="1">
        <f t="array" aca="1" ref="D882" ca="1">CELL("nomfichier",INDIRECT(A882))</f>
        <v>G:\SCPE\sdc\bq\6 - Mentions valorisantes\Certification environnementale\TEXTES_REGLEMENTATION_CE\Plans_contrôle et grilles\Grille audit niveau 3\Grille d'audit v1.11\[grille-audit-hvev4-v1.11-vf.xlsx]Surfaces_Horti</v>
      </c>
      <c r="E882">
        <f t="shared" ca="1" si="53"/>
        <v>200</v>
      </c>
      <c r="F882">
        <f t="shared" ca="1" si="54"/>
        <v>214</v>
      </c>
      <c r="G882" t="str">
        <f t="shared" ca="1" si="55"/>
        <v>Surfaces_Horti</v>
      </c>
      <c r="H882" cm="1">
        <f t="array" aca="1" ref="H882" ca="1">ROW(INDIRECT(A882))</f>
        <v>68</v>
      </c>
      <c r="I882" cm="1">
        <f t="array" aca="1" ref="I882" ca="1">COLUMN(INDIRECT(A882))</f>
        <v>6</v>
      </c>
      <c r="M882" t="str" cm="1">
        <f t="array" aca="1" ref="M882" ca="1">IF(AND(J882="O",ISBLANK(INDIRECT(A882))),"Valeur obligatoire non renseignée","")</f>
        <v/>
      </c>
    </row>
    <row r="883" spans="1:13" x14ac:dyDescent="0.25">
      <c r="A883" s="91" t="s">
        <v>3690</v>
      </c>
      <c r="B883" cm="1">
        <f t="array" aca="1" ref="B883" ca="1">INDIRECT(A883)</f>
        <v>0</v>
      </c>
      <c r="C883">
        <f t="shared" ca="1" si="52"/>
        <v>5</v>
      </c>
      <c r="D883" t="str" cm="1">
        <f t="array" aca="1" ref="D883" ca="1">CELL("nomfichier",INDIRECT(A883))</f>
        <v>G:\SCPE\sdc\bq\6 - Mentions valorisantes\Certification environnementale\TEXTES_REGLEMENTATION_CE\Plans_contrôle et grilles\Grille audit niveau 3\Grille d'audit v1.11\[grille-audit-hvev4-v1.11-vf.xlsx]Surfaces_Horti</v>
      </c>
      <c r="E883">
        <f t="shared" ca="1" si="53"/>
        <v>200</v>
      </c>
      <c r="F883">
        <f t="shared" ca="1" si="54"/>
        <v>214</v>
      </c>
      <c r="G883" t="str">
        <f t="shared" ca="1" si="55"/>
        <v>Surfaces_Horti</v>
      </c>
      <c r="H883" cm="1">
        <f t="array" aca="1" ref="H883" ca="1">ROW(INDIRECT(A883))</f>
        <v>68</v>
      </c>
      <c r="I883" cm="1">
        <f t="array" aca="1" ref="I883" ca="1">COLUMN(INDIRECT(A883))</f>
        <v>7</v>
      </c>
      <c r="M883" t="str" cm="1">
        <f t="array" aca="1" ref="M883" ca="1">IF(AND(J883="O",ISBLANK(INDIRECT(A883))),"Valeur obligatoire non renseignée","")</f>
        <v/>
      </c>
    </row>
    <row r="884" spans="1:13" x14ac:dyDescent="0.25">
      <c r="A884" s="91" t="s">
        <v>3717</v>
      </c>
      <c r="B884" cm="1">
        <f t="array" aca="1" ref="B884" ca="1">INDIRECT(A884)</f>
        <v>0</v>
      </c>
      <c r="C884">
        <f t="shared" ca="1" si="52"/>
        <v>5</v>
      </c>
      <c r="D884" t="str" cm="1">
        <f t="array" aca="1" ref="D884" ca="1">CELL("nomfichier",INDIRECT(A884))</f>
        <v>G:\SCPE\sdc\bq\6 - Mentions valorisantes\Certification environnementale\TEXTES_REGLEMENTATION_CE\Plans_contrôle et grilles\Grille audit niveau 3\Grille d'audit v1.11\[grille-audit-hvev4-v1.11-vf.xlsx]Surfaces_Horti</v>
      </c>
      <c r="E884">
        <f t="shared" ca="1" si="53"/>
        <v>200</v>
      </c>
      <c r="F884">
        <f t="shared" ca="1" si="54"/>
        <v>214</v>
      </c>
      <c r="G884" t="str">
        <f t="shared" ca="1" si="55"/>
        <v>Surfaces_Horti</v>
      </c>
      <c r="H884" cm="1">
        <f t="array" aca="1" ref="H884" ca="1">ROW(INDIRECT(A884))</f>
        <v>68</v>
      </c>
      <c r="I884" cm="1">
        <f t="array" aca="1" ref="I884" ca="1">COLUMN(INDIRECT(A884))</f>
        <v>8</v>
      </c>
      <c r="M884" t="str" cm="1">
        <f t="array" aca="1" ref="M884" ca="1">IF(AND(J884="O",ISBLANK(INDIRECT(A884))),"Valeur obligatoire non renseignée","")</f>
        <v/>
      </c>
    </row>
    <row r="885" spans="1:13" x14ac:dyDescent="0.25">
      <c r="A885" s="91" t="s">
        <v>3744</v>
      </c>
      <c r="B885" cm="1">
        <f t="array" aca="1" ref="B885" ca="1">INDIRECT(A885)</f>
        <v>0</v>
      </c>
      <c r="C885">
        <f t="shared" ca="1" si="52"/>
        <v>5</v>
      </c>
      <c r="D885" t="str" cm="1">
        <f t="array" aca="1" ref="D885" ca="1">CELL("nomfichier",INDIRECT(A885))</f>
        <v>G:\SCPE\sdc\bq\6 - Mentions valorisantes\Certification environnementale\TEXTES_REGLEMENTATION_CE\Plans_contrôle et grilles\Grille audit niveau 3\Grille d'audit v1.11\[grille-audit-hvev4-v1.11-vf.xlsx]Surfaces_Horti</v>
      </c>
      <c r="E885">
        <f t="shared" ca="1" si="53"/>
        <v>200</v>
      </c>
      <c r="F885">
        <f t="shared" ca="1" si="54"/>
        <v>214</v>
      </c>
      <c r="G885" t="str">
        <f t="shared" ca="1" si="55"/>
        <v>Surfaces_Horti</v>
      </c>
      <c r="H885" cm="1">
        <f t="array" aca="1" ref="H885" ca="1">ROW(INDIRECT(A885))</f>
        <v>68</v>
      </c>
      <c r="I885" cm="1">
        <f t="array" aca="1" ref="I885" ca="1">COLUMN(INDIRECT(A885))</f>
        <v>9</v>
      </c>
      <c r="M885" t="str" cm="1">
        <f t="array" aca="1" ref="M885" ca="1">IF(AND(J885="O",ISBLANK(INDIRECT(A885))),"Valeur obligatoire non renseignée","")</f>
        <v/>
      </c>
    </row>
    <row r="886" spans="1:13" x14ac:dyDescent="0.25">
      <c r="A886" s="91" t="s">
        <v>3771</v>
      </c>
      <c r="B886" cm="1">
        <f t="array" aca="1" ref="B886" ca="1">INDIRECT(A886)</f>
        <v>0</v>
      </c>
      <c r="C886">
        <f t="shared" ca="1" si="52"/>
        <v>5</v>
      </c>
      <c r="D886" t="str" cm="1">
        <f t="array" aca="1" ref="D886" ca="1">CELL("nomfichier",INDIRECT(A886))</f>
        <v>G:\SCPE\sdc\bq\6 - Mentions valorisantes\Certification environnementale\TEXTES_REGLEMENTATION_CE\Plans_contrôle et grilles\Grille audit niveau 3\Grille d'audit v1.11\[grille-audit-hvev4-v1.11-vf.xlsx]Surfaces_Horti</v>
      </c>
      <c r="E886">
        <f t="shared" ca="1" si="53"/>
        <v>200</v>
      </c>
      <c r="F886">
        <f t="shared" ca="1" si="54"/>
        <v>214</v>
      </c>
      <c r="G886" t="str">
        <f t="shared" ca="1" si="55"/>
        <v>Surfaces_Horti</v>
      </c>
      <c r="H886" cm="1">
        <f t="array" aca="1" ref="H886" ca="1">ROW(INDIRECT(A886))</f>
        <v>68</v>
      </c>
      <c r="I886" cm="1">
        <f t="array" aca="1" ref="I886" ca="1">COLUMN(INDIRECT(A886))</f>
        <v>10</v>
      </c>
      <c r="M886" t="str" cm="1">
        <f t="array" aca="1" ref="M886" ca="1">IF(AND(J886="O",ISBLANK(INDIRECT(A886))),"Valeur obligatoire non renseignée","")</f>
        <v/>
      </c>
    </row>
    <row r="887" spans="1:13" x14ac:dyDescent="0.25">
      <c r="A887" s="91" t="s">
        <v>3798</v>
      </c>
      <c r="B887" cm="1">
        <f t="array" aca="1" ref="B887" ca="1">INDIRECT(A887)</f>
        <v>0</v>
      </c>
      <c r="C887">
        <f t="shared" ca="1" si="52"/>
        <v>5</v>
      </c>
      <c r="D887" t="str" cm="1">
        <f t="array" aca="1" ref="D887" ca="1">CELL("nomfichier",INDIRECT(A887))</f>
        <v>G:\SCPE\sdc\bq\6 - Mentions valorisantes\Certification environnementale\TEXTES_REGLEMENTATION_CE\Plans_contrôle et grilles\Grille audit niveau 3\Grille d'audit v1.11\[grille-audit-hvev4-v1.11-vf.xlsx]Surfaces_Horti</v>
      </c>
      <c r="E887">
        <f t="shared" ca="1" si="53"/>
        <v>200</v>
      </c>
      <c r="F887">
        <f t="shared" ca="1" si="54"/>
        <v>214</v>
      </c>
      <c r="G887" t="str">
        <f t="shared" ca="1" si="55"/>
        <v>Surfaces_Horti</v>
      </c>
      <c r="H887" cm="1">
        <f t="array" aca="1" ref="H887" ca="1">ROW(INDIRECT(A887))</f>
        <v>68</v>
      </c>
      <c r="I887" cm="1">
        <f t="array" aca="1" ref="I887" ca="1">COLUMN(INDIRECT(A887))</f>
        <v>11</v>
      </c>
      <c r="M887" t="str" cm="1">
        <f t="array" aca="1" ref="M887" ca="1">IF(AND(J887="O",ISBLANK(INDIRECT(A887))),"Valeur obligatoire non renseignée","")</f>
        <v/>
      </c>
    </row>
    <row r="888" spans="1:13" x14ac:dyDescent="0.25">
      <c r="A888" s="91" t="s">
        <v>3825</v>
      </c>
      <c r="B888" cm="1">
        <f t="array" aca="1" ref="B888" ca="1">INDIRECT(A888)</f>
        <v>0</v>
      </c>
      <c r="C888">
        <f t="shared" ca="1" si="52"/>
        <v>5</v>
      </c>
      <c r="D888" t="str" cm="1">
        <f t="array" aca="1" ref="D888" ca="1">CELL("nomfichier",INDIRECT(A888))</f>
        <v>G:\SCPE\sdc\bq\6 - Mentions valorisantes\Certification environnementale\TEXTES_REGLEMENTATION_CE\Plans_contrôle et grilles\Grille audit niveau 3\Grille d'audit v1.11\[grille-audit-hvev4-v1.11-vf.xlsx]Surfaces_Horti</v>
      </c>
      <c r="E888">
        <f t="shared" ca="1" si="53"/>
        <v>200</v>
      </c>
      <c r="F888">
        <f t="shared" ca="1" si="54"/>
        <v>214</v>
      </c>
      <c r="G888" t="str">
        <f t="shared" ca="1" si="55"/>
        <v>Surfaces_Horti</v>
      </c>
      <c r="H888" cm="1">
        <f t="array" aca="1" ref="H888" ca="1">ROW(INDIRECT(A888))</f>
        <v>68</v>
      </c>
      <c r="I888" cm="1">
        <f t="array" aca="1" ref="I888" ca="1">COLUMN(INDIRECT(A888))</f>
        <v>12</v>
      </c>
      <c r="M888" t="str" cm="1">
        <f t="array" aca="1" ref="M888" ca="1">IF(AND(J888="O",ISBLANK(INDIRECT(A888))),"Valeur obligatoire non renseignée","")</f>
        <v/>
      </c>
    </row>
    <row r="889" spans="1:13" x14ac:dyDescent="0.25">
      <c r="A889" s="91" t="s">
        <v>3852</v>
      </c>
      <c r="B889" cm="1">
        <f t="array" aca="1" ref="B889" ca="1">INDIRECT(A889)</f>
        <v>0</v>
      </c>
      <c r="C889">
        <f t="shared" ca="1" si="52"/>
        <v>5</v>
      </c>
      <c r="D889" t="str" cm="1">
        <f t="array" aca="1" ref="D889" ca="1">CELL("nomfichier",INDIRECT(A889))</f>
        <v>G:\SCPE\sdc\bq\6 - Mentions valorisantes\Certification environnementale\TEXTES_REGLEMENTATION_CE\Plans_contrôle et grilles\Grille audit niveau 3\Grille d'audit v1.11\[grille-audit-hvev4-v1.11-vf.xlsx]Surfaces_Horti</v>
      </c>
      <c r="E889">
        <f t="shared" ca="1" si="53"/>
        <v>200</v>
      </c>
      <c r="F889">
        <f t="shared" ca="1" si="54"/>
        <v>214</v>
      </c>
      <c r="G889" t="str">
        <f t="shared" ca="1" si="55"/>
        <v>Surfaces_Horti</v>
      </c>
      <c r="H889" cm="1">
        <f t="array" aca="1" ref="H889" ca="1">ROW(INDIRECT(A889))</f>
        <v>68</v>
      </c>
      <c r="I889" cm="1">
        <f t="array" aca="1" ref="I889" ca="1">COLUMN(INDIRECT(A889))</f>
        <v>13</v>
      </c>
      <c r="M889" t="str" cm="1">
        <f t="array" aca="1" ref="M889" ca="1">IF(AND(J889="O",ISBLANK(INDIRECT(A889))),"Valeur obligatoire non renseignée","")</f>
        <v/>
      </c>
    </row>
    <row r="890" spans="1:13" x14ac:dyDescent="0.25">
      <c r="A890" s="91" t="s">
        <v>3879</v>
      </c>
      <c r="B890" cm="1">
        <f t="array" aca="1" ref="B890" ca="1">INDIRECT(A890)</f>
        <v>0</v>
      </c>
      <c r="C890">
        <f t="shared" ca="1" si="52"/>
        <v>5</v>
      </c>
      <c r="D890" t="str" cm="1">
        <f t="array" aca="1" ref="D890" ca="1">CELL("nomfichier",INDIRECT(A890))</f>
        <v>G:\SCPE\sdc\bq\6 - Mentions valorisantes\Certification environnementale\TEXTES_REGLEMENTATION_CE\Plans_contrôle et grilles\Grille audit niveau 3\Grille d'audit v1.11\[grille-audit-hvev4-v1.11-vf.xlsx]Surfaces_Horti</v>
      </c>
      <c r="E890">
        <f t="shared" ca="1" si="53"/>
        <v>200</v>
      </c>
      <c r="F890">
        <f t="shared" ca="1" si="54"/>
        <v>214</v>
      </c>
      <c r="G890" t="str">
        <f t="shared" ca="1" si="55"/>
        <v>Surfaces_Horti</v>
      </c>
      <c r="H890" cm="1">
        <f t="array" aca="1" ref="H890" ca="1">ROW(INDIRECT(A890))</f>
        <v>68</v>
      </c>
      <c r="I890" cm="1">
        <f t="array" aca="1" ref="I890" ca="1">COLUMN(INDIRECT(A890))</f>
        <v>14</v>
      </c>
      <c r="M890" t="str" cm="1">
        <f t="array" aca="1" ref="M890" ca="1">IF(AND(J890="O",ISBLANK(INDIRECT(A890))),"Valeur obligatoire non renseignée","")</f>
        <v/>
      </c>
    </row>
    <row r="891" spans="1:13" x14ac:dyDescent="0.25">
      <c r="A891" s="91" t="s">
        <v>3556</v>
      </c>
      <c r="B891" cm="1">
        <f t="array" aca="1" ref="B891" ca="1">INDIRECT(A891)</f>
        <v>0</v>
      </c>
      <c r="C891">
        <f t="shared" ca="1" si="52"/>
        <v>5</v>
      </c>
      <c r="D891" t="str" cm="1">
        <f t="array" aca="1" ref="D891" ca="1">CELL("nomfichier",INDIRECT(A891))</f>
        <v>G:\SCPE\sdc\bq\6 - Mentions valorisantes\Certification environnementale\TEXTES_REGLEMENTATION_CE\Plans_contrôle et grilles\Grille audit niveau 3\Grille d'audit v1.11\[grille-audit-hvev4-v1.11-vf.xlsx]Surfaces_Horti</v>
      </c>
      <c r="E891">
        <f t="shared" ca="1" si="53"/>
        <v>200</v>
      </c>
      <c r="F891">
        <f t="shared" ca="1" si="54"/>
        <v>214</v>
      </c>
      <c r="G891" t="str">
        <f t="shared" ca="1" si="55"/>
        <v>Surfaces_Horti</v>
      </c>
      <c r="H891" cm="1">
        <f t="array" aca="1" ref="H891" ca="1">ROW(INDIRECT(A891))</f>
        <v>69</v>
      </c>
      <c r="I891" cm="1">
        <f t="array" aca="1" ref="I891" ca="1">COLUMN(INDIRECT(A891))</f>
        <v>2</v>
      </c>
      <c r="M891" t="str" cm="1">
        <f t="array" aca="1" ref="M891" ca="1">IF(AND(J891="O",ISBLANK(INDIRECT(A891))),"Valeur obligatoire non renseignée","")</f>
        <v/>
      </c>
    </row>
    <row r="892" spans="1:13" x14ac:dyDescent="0.25">
      <c r="A892" s="91" t="s">
        <v>3583</v>
      </c>
      <c r="B892" cm="1">
        <f t="array" aca="1" ref="B892" ca="1">INDIRECT(A892)</f>
        <v>0</v>
      </c>
      <c r="C892">
        <f t="shared" ca="1" si="52"/>
        <v>5</v>
      </c>
      <c r="D892" t="str" cm="1">
        <f t="array" aca="1" ref="D892" ca="1">CELL("nomfichier",INDIRECT(A892))</f>
        <v>G:\SCPE\sdc\bq\6 - Mentions valorisantes\Certification environnementale\TEXTES_REGLEMENTATION_CE\Plans_contrôle et grilles\Grille audit niveau 3\Grille d'audit v1.11\[grille-audit-hvev4-v1.11-vf.xlsx]Surfaces_Horti</v>
      </c>
      <c r="E892">
        <f t="shared" ca="1" si="53"/>
        <v>200</v>
      </c>
      <c r="F892">
        <f t="shared" ca="1" si="54"/>
        <v>214</v>
      </c>
      <c r="G892" t="str">
        <f t="shared" ca="1" si="55"/>
        <v>Surfaces_Horti</v>
      </c>
      <c r="H892" cm="1">
        <f t="array" aca="1" ref="H892" ca="1">ROW(INDIRECT(A892))</f>
        <v>69</v>
      </c>
      <c r="I892" cm="1">
        <f t="array" aca="1" ref="I892" ca="1">COLUMN(INDIRECT(A892))</f>
        <v>3</v>
      </c>
      <c r="M892" t="str" cm="1">
        <f t="array" aca="1" ref="M892" ca="1">IF(AND(J892="O",ISBLANK(INDIRECT(A892))),"Valeur obligatoire non renseignée","")</f>
        <v/>
      </c>
    </row>
    <row r="893" spans="1:13" x14ac:dyDescent="0.25">
      <c r="A893" s="91" t="s">
        <v>3610</v>
      </c>
      <c r="B893" cm="1">
        <f t="array" aca="1" ref="B893" ca="1">INDIRECT(A893)</f>
        <v>0</v>
      </c>
      <c r="C893">
        <f t="shared" ca="1" si="52"/>
        <v>5</v>
      </c>
      <c r="D893" t="str" cm="1">
        <f t="array" aca="1" ref="D893" ca="1">CELL("nomfichier",INDIRECT(A893))</f>
        <v>G:\SCPE\sdc\bq\6 - Mentions valorisantes\Certification environnementale\TEXTES_REGLEMENTATION_CE\Plans_contrôle et grilles\Grille audit niveau 3\Grille d'audit v1.11\[grille-audit-hvev4-v1.11-vf.xlsx]Surfaces_Horti</v>
      </c>
      <c r="E893">
        <f t="shared" ca="1" si="53"/>
        <v>200</v>
      </c>
      <c r="F893">
        <f t="shared" ca="1" si="54"/>
        <v>214</v>
      </c>
      <c r="G893" t="str">
        <f t="shared" ca="1" si="55"/>
        <v>Surfaces_Horti</v>
      </c>
      <c r="H893" cm="1">
        <f t="array" aca="1" ref="H893" ca="1">ROW(INDIRECT(A893))</f>
        <v>69</v>
      </c>
      <c r="I893" cm="1">
        <f t="array" aca="1" ref="I893" ca="1">COLUMN(INDIRECT(A893))</f>
        <v>4</v>
      </c>
      <c r="M893" t="str" cm="1">
        <f t="array" aca="1" ref="M893" ca="1">IF(AND(J893="O",ISBLANK(INDIRECT(A893))),"Valeur obligatoire non renseignée","")</f>
        <v/>
      </c>
    </row>
    <row r="894" spans="1:13" x14ac:dyDescent="0.25">
      <c r="A894" s="91" t="s">
        <v>3637</v>
      </c>
      <c r="B894" cm="1">
        <f t="array" aca="1" ref="B894" ca="1">INDIRECT(A894)</f>
        <v>0</v>
      </c>
      <c r="C894">
        <f t="shared" ca="1" si="52"/>
        <v>5</v>
      </c>
      <c r="D894" t="str" cm="1">
        <f t="array" aca="1" ref="D894" ca="1">CELL("nomfichier",INDIRECT(A894))</f>
        <v>G:\SCPE\sdc\bq\6 - Mentions valorisantes\Certification environnementale\TEXTES_REGLEMENTATION_CE\Plans_contrôle et grilles\Grille audit niveau 3\Grille d'audit v1.11\[grille-audit-hvev4-v1.11-vf.xlsx]Surfaces_Horti</v>
      </c>
      <c r="E894">
        <f t="shared" ca="1" si="53"/>
        <v>200</v>
      </c>
      <c r="F894">
        <f t="shared" ca="1" si="54"/>
        <v>214</v>
      </c>
      <c r="G894" t="str">
        <f t="shared" ca="1" si="55"/>
        <v>Surfaces_Horti</v>
      </c>
      <c r="H894" cm="1">
        <f t="array" aca="1" ref="H894" ca="1">ROW(INDIRECT(A894))</f>
        <v>69</v>
      </c>
      <c r="I894" cm="1">
        <f t="array" aca="1" ref="I894" ca="1">COLUMN(INDIRECT(A894))</f>
        <v>5</v>
      </c>
      <c r="M894" t="str" cm="1">
        <f t="array" aca="1" ref="M894" ca="1">IF(AND(J894="O",ISBLANK(INDIRECT(A894))),"Valeur obligatoire non renseignée","")</f>
        <v/>
      </c>
    </row>
    <row r="895" spans="1:13" x14ac:dyDescent="0.25">
      <c r="A895" s="91" t="s">
        <v>3664</v>
      </c>
      <c r="B895" cm="1">
        <f t="array" aca="1" ref="B895" ca="1">INDIRECT(A895)</f>
        <v>0</v>
      </c>
      <c r="C895">
        <f t="shared" ca="1" si="52"/>
        <v>5</v>
      </c>
      <c r="D895" t="str" cm="1">
        <f t="array" aca="1" ref="D895" ca="1">CELL("nomfichier",INDIRECT(A895))</f>
        <v>G:\SCPE\sdc\bq\6 - Mentions valorisantes\Certification environnementale\TEXTES_REGLEMENTATION_CE\Plans_contrôle et grilles\Grille audit niveau 3\Grille d'audit v1.11\[grille-audit-hvev4-v1.11-vf.xlsx]Surfaces_Horti</v>
      </c>
      <c r="E895">
        <f t="shared" ca="1" si="53"/>
        <v>200</v>
      </c>
      <c r="F895">
        <f t="shared" ca="1" si="54"/>
        <v>214</v>
      </c>
      <c r="G895" t="str">
        <f t="shared" ca="1" si="55"/>
        <v>Surfaces_Horti</v>
      </c>
      <c r="H895" cm="1">
        <f t="array" aca="1" ref="H895" ca="1">ROW(INDIRECT(A895))</f>
        <v>69</v>
      </c>
      <c r="I895" cm="1">
        <f t="array" aca="1" ref="I895" ca="1">COLUMN(INDIRECT(A895))</f>
        <v>6</v>
      </c>
      <c r="M895" t="str" cm="1">
        <f t="array" aca="1" ref="M895" ca="1">IF(AND(J895="O",ISBLANK(INDIRECT(A895))),"Valeur obligatoire non renseignée","")</f>
        <v/>
      </c>
    </row>
    <row r="896" spans="1:13" x14ac:dyDescent="0.25">
      <c r="A896" s="91" t="s">
        <v>3691</v>
      </c>
      <c r="B896" cm="1">
        <f t="array" aca="1" ref="B896" ca="1">INDIRECT(A896)</f>
        <v>0</v>
      </c>
      <c r="C896">
        <f t="shared" ca="1" si="52"/>
        <v>5</v>
      </c>
      <c r="D896" t="str" cm="1">
        <f t="array" aca="1" ref="D896" ca="1">CELL("nomfichier",INDIRECT(A896))</f>
        <v>G:\SCPE\sdc\bq\6 - Mentions valorisantes\Certification environnementale\TEXTES_REGLEMENTATION_CE\Plans_contrôle et grilles\Grille audit niveau 3\Grille d'audit v1.11\[grille-audit-hvev4-v1.11-vf.xlsx]Surfaces_Horti</v>
      </c>
      <c r="E896">
        <f t="shared" ca="1" si="53"/>
        <v>200</v>
      </c>
      <c r="F896">
        <f t="shared" ca="1" si="54"/>
        <v>214</v>
      </c>
      <c r="G896" t="str">
        <f t="shared" ca="1" si="55"/>
        <v>Surfaces_Horti</v>
      </c>
      <c r="H896" cm="1">
        <f t="array" aca="1" ref="H896" ca="1">ROW(INDIRECT(A896))</f>
        <v>69</v>
      </c>
      <c r="I896" cm="1">
        <f t="array" aca="1" ref="I896" ca="1">COLUMN(INDIRECT(A896))</f>
        <v>7</v>
      </c>
      <c r="M896" t="str" cm="1">
        <f t="array" aca="1" ref="M896" ca="1">IF(AND(J896="O",ISBLANK(INDIRECT(A896))),"Valeur obligatoire non renseignée","")</f>
        <v/>
      </c>
    </row>
    <row r="897" spans="1:13" x14ac:dyDescent="0.25">
      <c r="A897" s="91" t="s">
        <v>3718</v>
      </c>
      <c r="B897" cm="1">
        <f t="array" aca="1" ref="B897" ca="1">INDIRECT(A897)</f>
        <v>0</v>
      </c>
      <c r="C897">
        <f t="shared" ca="1" si="52"/>
        <v>5</v>
      </c>
      <c r="D897" t="str" cm="1">
        <f t="array" aca="1" ref="D897" ca="1">CELL("nomfichier",INDIRECT(A897))</f>
        <v>G:\SCPE\sdc\bq\6 - Mentions valorisantes\Certification environnementale\TEXTES_REGLEMENTATION_CE\Plans_contrôle et grilles\Grille audit niveau 3\Grille d'audit v1.11\[grille-audit-hvev4-v1.11-vf.xlsx]Surfaces_Horti</v>
      </c>
      <c r="E897">
        <f t="shared" ca="1" si="53"/>
        <v>200</v>
      </c>
      <c r="F897">
        <f t="shared" ca="1" si="54"/>
        <v>214</v>
      </c>
      <c r="G897" t="str">
        <f t="shared" ca="1" si="55"/>
        <v>Surfaces_Horti</v>
      </c>
      <c r="H897" cm="1">
        <f t="array" aca="1" ref="H897" ca="1">ROW(INDIRECT(A897))</f>
        <v>69</v>
      </c>
      <c r="I897" cm="1">
        <f t="array" aca="1" ref="I897" ca="1">COLUMN(INDIRECT(A897))</f>
        <v>8</v>
      </c>
      <c r="M897" t="str" cm="1">
        <f t="array" aca="1" ref="M897" ca="1">IF(AND(J897="O",ISBLANK(INDIRECT(A897))),"Valeur obligatoire non renseignée","")</f>
        <v/>
      </c>
    </row>
    <row r="898" spans="1:13" x14ac:dyDescent="0.25">
      <c r="A898" s="91" t="s">
        <v>3745</v>
      </c>
      <c r="B898" cm="1">
        <f t="array" aca="1" ref="B898" ca="1">INDIRECT(A898)</f>
        <v>0</v>
      </c>
      <c r="C898">
        <f t="shared" ref="C898:C961" ca="1" si="56">_xlfn.SHEET(INDIRECT(A898))</f>
        <v>5</v>
      </c>
      <c r="D898" t="str" cm="1">
        <f t="array" aca="1" ref="D898" ca="1">CELL("nomfichier",INDIRECT(A898))</f>
        <v>G:\SCPE\sdc\bq\6 - Mentions valorisantes\Certification environnementale\TEXTES_REGLEMENTATION_CE\Plans_contrôle et grilles\Grille audit niveau 3\Grille d'audit v1.11\[grille-audit-hvev4-v1.11-vf.xlsx]Surfaces_Horti</v>
      </c>
      <c r="E898">
        <f t="shared" ref="E898:E961" ca="1" si="57">FIND("]",D898)</f>
        <v>200</v>
      </c>
      <c r="F898">
        <f t="shared" ref="F898:F961" ca="1" si="58">LEN(D898)</f>
        <v>214</v>
      </c>
      <c r="G898" t="str">
        <f t="shared" ref="G898:G961" ca="1" si="59">RIGHT(D898,F898-E898)</f>
        <v>Surfaces_Horti</v>
      </c>
      <c r="H898" cm="1">
        <f t="array" aca="1" ref="H898" ca="1">ROW(INDIRECT(A898))</f>
        <v>69</v>
      </c>
      <c r="I898" cm="1">
        <f t="array" aca="1" ref="I898" ca="1">COLUMN(INDIRECT(A898))</f>
        <v>9</v>
      </c>
      <c r="M898" t="str" cm="1">
        <f t="array" aca="1" ref="M898" ca="1">IF(AND(J898="O",ISBLANK(INDIRECT(A898))),"Valeur obligatoire non renseignée","")</f>
        <v/>
      </c>
    </row>
    <row r="899" spans="1:13" x14ac:dyDescent="0.25">
      <c r="A899" s="91" t="s">
        <v>3772</v>
      </c>
      <c r="B899" cm="1">
        <f t="array" aca="1" ref="B899" ca="1">INDIRECT(A899)</f>
        <v>0</v>
      </c>
      <c r="C899">
        <f t="shared" ca="1" si="56"/>
        <v>5</v>
      </c>
      <c r="D899" t="str" cm="1">
        <f t="array" aca="1" ref="D899" ca="1">CELL("nomfichier",INDIRECT(A899))</f>
        <v>G:\SCPE\sdc\bq\6 - Mentions valorisantes\Certification environnementale\TEXTES_REGLEMENTATION_CE\Plans_contrôle et grilles\Grille audit niveau 3\Grille d'audit v1.11\[grille-audit-hvev4-v1.11-vf.xlsx]Surfaces_Horti</v>
      </c>
      <c r="E899">
        <f t="shared" ca="1" si="57"/>
        <v>200</v>
      </c>
      <c r="F899">
        <f t="shared" ca="1" si="58"/>
        <v>214</v>
      </c>
      <c r="G899" t="str">
        <f t="shared" ca="1" si="59"/>
        <v>Surfaces_Horti</v>
      </c>
      <c r="H899" cm="1">
        <f t="array" aca="1" ref="H899" ca="1">ROW(INDIRECT(A899))</f>
        <v>69</v>
      </c>
      <c r="I899" cm="1">
        <f t="array" aca="1" ref="I899" ca="1">COLUMN(INDIRECT(A899))</f>
        <v>10</v>
      </c>
      <c r="M899" t="str" cm="1">
        <f t="array" aca="1" ref="M899" ca="1">IF(AND(J899="O",ISBLANK(INDIRECT(A899))),"Valeur obligatoire non renseignée","")</f>
        <v/>
      </c>
    </row>
    <row r="900" spans="1:13" x14ac:dyDescent="0.25">
      <c r="A900" s="91" t="s">
        <v>3799</v>
      </c>
      <c r="B900" cm="1">
        <f t="array" aca="1" ref="B900" ca="1">INDIRECT(A900)</f>
        <v>0</v>
      </c>
      <c r="C900">
        <f t="shared" ca="1" si="56"/>
        <v>5</v>
      </c>
      <c r="D900" t="str" cm="1">
        <f t="array" aca="1" ref="D900" ca="1">CELL("nomfichier",INDIRECT(A900))</f>
        <v>G:\SCPE\sdc\bq\6 - Mentions valorisantes\Certification environnementale\TEXTES_REGLEMENTATION_CE\Plans_contrôle et grilles\Grille audit niveau 3\Grille d'audit v1.11\[grille-audit-hvev4-v1.11-vf.xlsx]Surfaces_Horti</v>
      </c>
      <c r="E900">
        <f t="shared" ca="1" si="57"/>
        <v>200</v>
      </c>
      <c r="F900">
        <f t="shared" ca="1" si="58"/>
        <v>214</v>
      </c>
      <c r="G900" t="str">
        <f t="shared" ca="1" si="59"/>
        <v>Surfaces_Horti</v>
      </c>
      <c r="H900" cm="1">
        <f t="array" aca="1" ref="H900" ca="1">ROW(INDIRECT(A900))</f>
        <v>69</v>
      </c>
      <c r="I900" cm="1">
        <f t="array" aca="1" ref="I900" ca="1">COLUMN(INDIRECT(A900))</f>
        <v>11</v>
      </c>
      <c r="M900" t="str" cm="1">
        <f t="array" aca="1" ref="M900" ca="1">IF(AND(J900="O",ISBLANK(INDIRECT(A900))),"Valeur obligatoire non renseignée","")</f>
        <v/>
      </c>
    </row>
    <row r="901" spans="1:13" x14ac:dyDescent="0.25">
      <c r="A901" s="91" t="s">
        <v>3826</v>
      </c>
      <c r="B901" cm="1">
        <f t="array" aca="1" ref="B901" ca="1">INDIRECT(A901)</f>
        <v>0</v>
      </c>
      <c r="C901">
        <f t="shared" ca="1" si="56"/>
        <v>5</v>
      </c>
      <c r="D901" t="str" cm="1">
        <f t="array" aca="1" ref="D901" ca="1">CELL("nomfichier",INDIRECT(A901))</f>
        <v>G:\SCPE\sdc\bq\6 - Mentions valorisantes\Certification environnementale\TEXTES_REGLEMENTATION_CE\Plans_contrôle et grilles\Grille audit niveau 3\Grille d'audit v1.11\[grille-audit-hvev4-v1.11-vf.xlsx]Surfaces_Horti</v>
      </c>
      <c r="E901">
        <f t="shared" ca="1" si="57"/>
        <v>200</v>
      </c>
      <c r="F901">
        <f t="shared" ca="1" si="58"/>
        <v>214</v>
      </c>
      <c r="G901" t="str">
        <f t="shared" ca="1" si="59"/>
        <v>Surfaces_Horti</v>
      </c>
      <c r="H901" cm="1">
        <f t="array" aca="1" ref="H901" ca="1">ROW(INDIRECT(A901))</f>
        <v>69</v>
      </c>
      <c r="I901" cm="1">
        <f t="array" aca="1" ref="I901" ca="1">COLUMN(INDIRECT(A901))</f>
        <v>12</v>
      </c>
      <c r="M901" t="str" cm="1">
        <f t="array" aca="1" ref="M901" ca="1">IF(AND(J901="O",ISBLANK(INDIRECT(A901))),"Valeur obligatoire non renseignée","")</f>
        <v/>
      </c>
    </row>
    <row r="902" spans="1:13" x14ac:dyDescent="0.25">
      <c r="A902" s="91" t="s">
        <v>3853</v>
      </c>
      <c r="B902" cm="1">
        <f t="array" aca="1" ref="B902" ca="1">INDIRECT(A902)</f>
        <v>0</v>
      </c>
      <c r="C902">
        <f t="shared" ca="1" si="56"/>
        <v>5</v>
      </c>
      <c r="D902" t="str" cm="1">
        <f t="array" aca="1" ref="D902" ca="1">CELL("nomfichier",INDIRECT(A902))</f>
        <v>G:\SCPE\sdc\bq\6 - Mentions valorisantes\Certification environnementale\TEXTES_REGLEMENTATION_CE\Plans_contrôle et grilles\Grille audit niveau 3\Grille d'audit v1.11\[grille-audit-hvev4-v1.11-vf.xlsx]Surfaces_Horti</v>
      </c>
      <c r="E902">
        <f t="shared" ca="1" si="57"/>
        <v>200</v>
      </c>
      <c r="F902">
        <f t="shared" ca="1" si="58"/>
        <v>214</v>
      </c>
      <c r="G902" t="str">
        <f t="shared" ca="1" si="59"/>
        <v>Surfaces_Horti</v>
      </c>
      <c r="H902" cm="1">
        <f t="array" aca="1" ref="H902" ca="1">ROW(INDIRECT(A902))</f>
        <v>69</v>
      </c>
      <c r="I902" cm="1">
        <f t="array" aca="1" ref="I902" ca="1">COLUMN(INDIRECT(A902))</f>
        <v>13</v>
      </c>
      <c r="M902" t="str" cm="1">
        <f t="array" aca="1" ref="M902" ca="1">IF(AND(J902="O",ISBLANK(INDIRECT(A902))),"Valeur obligatoire non renseignée","")</f>
        <v/>
      </c>
    </row>
    <row r="903" spans="1:13" x14ac:dyDescent="0.25">
      <c r="A903" s="91" t="s">
        <v>3880</v>
      </c>
      <c r="B903" cm="1">
        <f t="array" aca="1" ref="B903" ca="1">INDIRECT(A903)</f>
        <v>0</v>
      </c>
      <c r="C903">
        <f t="shared" ca="1" si="56"/>
        <v>5</v>
      </c>
      <c r="D903" t="str" cm="1">
        <f t="array" aca="1" ref="D903" ca="1">CELL("nomfichier",INDIRECT(A903))</f>
        <v>G:\SCPE\sdc\bq\6 - Mentions valorisantes\Certification environnementale\TEXTES_REGLEMENTATION_CE\Plans_contrôle et grilles\Grille audit niveau 3\Grille d'audit v1.11\[grille-audit-hvev4-v1.11-vf.xlsx]Surfaces_Horti</v>
      </c>
      <c r="E903">
        <f t="shared" ca="1" si="57"/>
        <v>200</v>
      </c>
      <c r="F903">
        <f t="shared" ca="1" si="58"/>
        <v>214</v>
      </c>
      <c r="G903" t="str">
        <f t="shared" ca="1" si="59"/>
        <v>Surfaces_Horti</v>
      </c>
      <c r="H903" cm="1">
        <f t="array" aca="1" ref="H903" ca="1">ROW(INDIRECT(A903))</f>
        <v>69</v>
      </c>
      <c r="I903" cm="1">
        <f t="array" aca="1" ref="I903" ca="1">COLUMN(INDIRECT(A903))</f>
        <v>14</v>
      </c>
      <c r="M903" t="str" cm="1">
        <f t="array" aca="1" ref="M903" ca="1">IF(AND(J903="O",ISBLANK(INDIRECT(A903))),"Valeur obligatoire non renseignée","")</f>
        <v/>
      </c>
    </row>
    <row r="904" spans="1:13" x14ac:dyDescent="0.25">
      <c r="A904" s="91" t="s">
        <v>3557</v>
      </c>
      <c r="B904" cm="1">
        <f t="array" aca="1" ref="B904" ca="1">INDIRECT(A904)</f>
        <v>0</v>
      </c>
      <c r="C904">
        <f t="shared" ca="1" si="56"/>
        <v>5</v>
      </c>
      <c r="D904" t="str" cm="1">
        <f t="array" aca="1" ref="D904" ca="1">CELL("nomfichier",INDIRECT(A904))</f>
        <v>G:\SCPE\sdc\bq\6 - Mentions valorisantes\Certification environnementale\TEXTES_REGLEMENTATION_CE\Plans_contrôle et grilles\Grille audit niveau 3\Grille d'audit v1.11\[grille-audit-hvev4-v1.11-vf.xlsx]Surfaces_Horti</v>
      </c>
      <c r="E904">
        <f t="shared" ca="1" si="57"/>
        <v>200</v>
      </c>
      <c r="F904">
        <f t="shared" ca="1" si="58"/>
        <v>214</v>
      </c>
      <c r="G904" t="str">
        <f t="shared" ca="1" si="59"/>
        <v>Surfaces_Horti</v>
      </c>
      <c r="H904" cm="1">
        <f t="array" aca="1" ref="H904" ca="1">ROW(INDIRECT(A904))</f>
        <v>70</v>
      </c>
      <c r="I904" cm="1">
        <f t="array" aca="1" ref="I904" ca="1">COLUMN(INDIRECT(A904))</f>
        <v>2</v>
      </c>
      <c r="M904" t="str" cm="1">
        <f t="array" aca="1" ref="M904" ca="1">IF(AND(J904="O",ISBLANK(INDIRECT(A904))),"Valeur obligatoire non renseignée","")</f>
        <v/>
      </c>
    </row>
    <row r="905" spans="1:13" x14ac:dyDescent="0.25">
      <c r="A905" s="91" t="s">
        <v>3584</v>
      </c>
      <c r="B905" cm="1">
        <f t="array" aca="1" ref="B905" ca="1">INDIRECT(A905)</f>
        <v>0</v>
      </c>
      <c r="C905">
        <f t="shared" ca="1" si="56"/>
        <v>5</v>
      </c>
      <c r="D905" t="str" cm="1">
        <f t="array" aca="1" ref="D905" ca="1">CELL("nomfichier",INDIRECT(A905))</f>
        <v>G:\SCPE\sdc\bq\6 - Mentions valorisantes\Certification environnementale\TEXTES_REGLEMENTATION_CE\Plans_contrôle et grilles\Grille audit niveau 3\Grille d'audit v1.11\[grille-audit-hvev4-v1.11-vf.xlsx]Surfaces_Horti</v>
      </c>
      <c r="E905">
        <f t="shared" ca="1" si="57"/>
        <v>200</v>
      </c>
      <c r="F905">
        <f t="shared" ca="1" si="58"/>
        <v>214</v>
      </c>
      <c r="G905" t="str">
        <f t="shared" ca="1" si="59"/>
        <v>Surfaces_Horti</v>
      </c>
      <c r="H905" cm="1">
        <f t="array" aca="1" ref="H905" ca="1">ROW(INDIRECT(A905))</f>
        <v>70</v>
      </c>
      <c r="I905" cm="1">
        <f t="array" aca="1" ref="I905" ca="1">COLUMN(INDIRECT(A905))</f>
        <v>3</v>
      </c>
      <c r="M905" t="str" cm="1">
        <f t="array" aca="1" ref="M905" ca="1">IF(AND(J905="O",ISBLANK(INDIRECT(A905))),"Valeur obligatoire non renseignée","")</f>
        <v/>
      </c>
    </row>
    <row r="906" spans="1:13" x14ac:dyDescent="0.25">
      <c r="A906" s="91" t="s">
        <v>3611</v>
      </c>
      <c r="B906" cm="1">
        <f t="array" aca="1" ref="B906" ca="1">INDIRECT(A906)</f>
        <v>0</v>
      </c>
      <c r="C906">
        <f t="shared" ca="1" si="56"/>
        <v>5</v>
      </c>
      <c r="D906" t="str" cm="1">
        <f t="array" aca="1" ref="D906" ca="1">CELL("nomfichier",INDIRECT(A906))</f>
        <v>G:\SCPE\sdc\bq\6 - Mentions valorisantes\Certification environnementale\TEXTES_REGLEMENTATION_CE\Plans_contrôle et grilles\Grille audit niveau 3\Grille d'audit v1.11\[grille-audit-hvev4-v1.11-vf.xlsx]Surfaces_Horti</v>
      </c>
      <c r="E906">
        <f t="shared" ca="1" si="57"/>
        <v>200</v>
      </c>
      <c r="F906">
        <f t="shared" ca="1" si="58"/>
        <v>214</v>
      </c>
      <c r="G906" t="str">
        <f t="shared" ca="1" si="59"/>
        <v>Surfaces_Horti</v>
      </c>
      <c r="H906" cm="1">
        <f t="array" aca="1" ref="H906" ca="1">ROW(INDIRECT(A906))</f>
        <v>70</v>
      </c>
      <c r="I906" cm="1">
        <f t="array" aca="1" ref="I906" ca="1">COLUMN(INDIRECT(A906))</f>
        <v>4</v>
      </c>
      <c r="M906" t="str" cm="1">
        <f t="array" aca="1" ref="M906" ca="1">IF(AND(J906="O",ISBLANK(INDIRECT(A906))),"Valeur obligatoire non renseignée","")</f>
        <v/>
      </c>
    </row>
    <row r="907" spans="1:13" x14ac:dyDescent="0.25">
      <c r="A907" s="91" t="s">
        <v>3638</v>
      </c>
      <c r="B907" cm="1">
        <f t="array" aca="1" ref="B907" ca="1">INDIRECT(A907)</f>
        <v>0</v>
      </c>
      <c r="C907">
        <f t="shared" ca="1" si="56"/>
        <v>5</v>
      </c>
      <c r="D907" t="str" cm="1">
        <f t="array" aca="1" ref="D907" ca="1">CELL("nomfichier",INDIRECT(A907))</f>
        <v>G:\SCPE\sdc\bq\6 - Mentions valorisantes\Certification environnementale\TEXTES_REGLEMENTATION_CE\Plans_contrôle et grilles\Grille audit niveau 3\Grille d'audit v1.11\[grille-audit-hvev4-v1.11-vf.xlsx]Surfaces_Horti</v>
      </c>
      <c r="E907">
        <f t="shared" ca="1" si="57"/>
        <v>200</v>
      </c>
      <c r="F907">
        <f t="shared" ca="1" si="58"/>
        <v>214</v>
      </c>
      <c r="G907" t="str">
        <f t="shared" ca="1" si="59"/>
        <v>Surfaces_Horti</v>
      </c>
      <c r="H907" cm="1">
        <f t="array" aca="1" ref="H907" ca="1">ROW(INDIRECT(A907))</f>
        <v>70</v>
      </c>
      <c r="I907" cm="1">
        <f t="array" aca="1" ref="I907" ca="1">COLUMN(INDIRECT(A907))</f>
        <v>5</v>
      </c>
      <c r="M907" t="str" cm="1">
        <f t="array" aca="1" ref="M907" ca="1">IF(AND(J907="O",ISBLANK(INDIRECT(A907))),"Valeur obligatoire non renseignée","")</f>
        <v/>
      </c>
    </row>
    <row r="908" spans="1:13" x14ac:dyDescent="0.25">
      <c r="A908" s="91" t="s">
        <v>3665</v>
      </c>
      <c r="B908" cm="1">
        <f t="array" aca="1" ref="B908" ca="1">INDIRECT(A908)</f>
        <v>0</v>
      </c>
      <c r="C908">
        <f t="shared" ca="1" si="56"/>
        <v>5</v>
      </c>
      <c r="D908" t="str" cm="1">
        <f t="array" aca="1" ref="D908" ca="1">CELL("nomfichier",INDIRECT(A908))</f>
        <v>G:\SCPE\sdc\bq\6 - Mentions valorisantes\Certification environnementale\TEXTES_REGLEMENTATION_CE\Plans_contrôle et grilles\Grille audit niveau 3\Grille d'audit v1.11\[grille-audit-hvev4-v1.11-vf.xlsx]Surfaces_Horti</v>
      </c>
      <c r="E908">
        <f t="shared" ca="1" si="57"/>
        <v>200</v>
      </c>
      <c r="F908">
        <f t="shared" ca="1" si="58"/>
        <v>214</v>
      </c>
      <c r="G908" t="str">
        <f t="shared" ca="1" si="59"/>
        <v>Surfaces_Horti</v>
      </c>
      <c r="H908" cm="1">
        <f t="array" aca="1" ref="H908" ca="1">ROW(INDIRECT(A908))</f>
        <v>70</v>
      </c>
      <c r="I908" cm="1">
        <f t="array" aca="1" ref="I908" ca="1">COLUMN(INDIRECT(A908))</f>
        <v>6</v>
      </c>
      <c r="M908" t="str" cm="1">
        <f t="array" aca="1" ref="M908" ca="1">IF(AND(J908="O",ISBLANK(INDIRECT(A908))),"Valeur obligatoire non renseignée","")</f>
        <v/>
      </c>
    </row>
    <row r="909" spans="1:13" x14ac:dyDescent="0.25">
      <c r="A909" s="91" t="s">
        <v>3692</v>
      </c>
      <c r="B909" cm="1">
        <f t="array" aca="1" ref="B909" ca="1">INDIRECT(A909)</f>
        <v>0</v>
      </c>
      <c r="C909">
        <f t="shared" ca="1" si="56"/>
        <v>5</v>
      </c>
      <c r="D909" t="str" cm="1">
        <f t="array" aca="1" ref="D909" ca="1">CELL("nomfichier",INDIRECT(A909))</f>
        <v>G:\SCPE\sdc\bq\6 - Mentions valorisantes\Certification environnementale\TEXTES_REGLEMENTATION_CE\Plans_contrôle et grilles\Grille audit niveau 3\Grille d'audit v1.11\[grille-audit-hvev4-v1.11-vf.xlsx]Surfaces_Horti</v>
      </c>
      <c r="E909">
        <f t="shared" ca="1" si="57"/>
        <v>200</v>
      </c>
      <c r="F909">
        <f t="shared" ca="1" si="58"/>
        <v>214</v>
      </c>
      <c r="G909" t="str">
        <f t="shared" ca="1" si="59"/>
        <v>Surfaces_Horti</v>
      </c>
      <c r="H909" cm="1">
        <f t="array" aca="1" ref="H909" ca="1">ROW(INDIRECT(A909))</f>
        <v>70</v>
      </c>
      <c r="I909" cm="1">
        <f t="array" aca="1" ref="I909" ca="1">COLUMN(INDIRECT(A909))</f>
        <v>7</v>
      </c>
      <c r="M909" t="str" cm="1">
        <f t="array" aca="1" ref="M909" ca="1">IF(AND(J909="O",ISBLANK(INDIRECT(A909))),"Valeur obligatoire non renseignée","")</f>
        <v/>
      </c>
    </row>
    <row r="910" spans="1:13" x14ac:dyDescent="0.25">
      <c r="A910" s="91" t="s">
        <v>3719</v>
      </c>
      <c r="B910" cm="1">
        <f t="array" aca="1" ref="B910" ca="1">INDIRECT(A910)</f>
        <v>0</v>
      </c>
      <c r="C910">
        <f t="shared" ca="1" si="56"/>
        <v>5</v>
      </c>
      <c r="D910" t="str" cm="1">
        <f t="array" aca="1" ref="D910" ca="1">CELL("nomfichier",INDIRECT(A910))</f>
        <v>G:\SCPE\sdc\bq\6 - Mentions valorisantes\Certification environnementale\TEXTES_REGLEMENTATION_CE\Plans_contrôle et grilles\Grille audit niveau 3\Grille d'audit v1.11\[grille-audit-hvev4-v1.11-vf.xlsx]Surfaces_Horti</v>
      </c>
      <c r="E910">
        <f t="shared" ca="1" si="57"/>
        <v>200</v>
      </c>
      <c r="F910">
        <f t="shared" ca="1" si="58"/>
        <v>214</v>
      </c>
      <c r="G910" t="str">
        <f t="shared" ca="1" si="59"/>
        <v>Surfaces_Horti</v>
      </c>
      <c r="H910" cm="1">
        <f t="array" aca="1" ref="H910" ca="1">ROW(INDIRECT(A910))</f>
        <v>70</v>
      </c>
      <c r="I910" cm="1">
        <f t="array" aca="1" ref="I910" ca="1">COLUMN(INDIRECT(A910))</f>
        <v>8</v>
      </c>
      <c r="M910" t="str" cm="1">
        <f t="array" aca="1" ref="M910" ca="1">IF(AND(J910="O",ISBLANK(INDIRECT(A910))),"Valeur obligatoire non renseignée","")</f>
        <v/>
      </c>
    </row>
    <row r="911" spans="1:13" x14ac:dyDescent="0.25">
      <c r="A911" s="91" t="s">
        <v>3746</v>
      </c>
      <c r="B911" cm="1">
        <f t="array" aca="1" ref="B911" ca="1">INDIRECT(A911)</f>
        <v>0</v>
      </c>
      <c r="C911">
        <f t="shared" ca="1" si="56"/>
        <v>5</v>
      </c>
      <c r="D911" t="str" cm="1">
        <f t="array" aca="1" ref="D911" ca="1">CELL("nomfichier",INDIRECT(A911))</f>
        <v>G:\SCPE\sdc\bq\6 - Mentions valorisantes\Certification environnementale\TEXTES_REGLEMENTATION_CE\Plans_contrôle et grilles\Grille audit niveau 3\Grille d'audit v1.11\[grille-audit-hvev4-v1.11-vf.xlsx]Surfaces_Horti</v>
      </c>
      <c r="E911">
        <f t="shared" ca="1" si="57"/>
        <v>200</v>
      </c>
      <c r="F911">
        <f t="shared" ca="1" si="58"/>
        <v>214</v>
      </c>
      <c r="G911" t="str">
        <f t="shared" ca="1" si="59"/>
        <v>Surfaces_Horti</v>
      </c>
      <c r="H911" cm="1">
        <f t="array" aca="1" ref="H911" ca="1">ROW(INDIRECT(A911))</f>
        <v>70</v>
      </c>
      <c r="I911" cm="1">
        <f t="array" aca="1" ref="I911" ca="1">COLUMN(INDIRECT(A911))</f>
        <v>9</v>
      </c>
      <c r="M911" t="str" cm="1">
        <f t="array" aca="1" ref="M911" ca="1">IF(AND(J911="O",ISBLANK(INDIRECT(A911))),"Valeur obligatoire non renseignée","")</f>
        <v/>
      </c>
    </row>
    <row r="912" spans="1:13" x14ac:dyDescent="0.25">
      <c r="A912" s="91" t="s">
        <v>3773</v>
      </c>
      <c r="B912" cm="1">
        <f t="array" aca="1" ref="B912" ca="1">INDIRECT(A912)</f>
        <v>0</v>
      </c>
      <c r="C912">
        <f t="shared" ca="1" si="56"/>
        <v>5</v>
      </c>
      <c r="D912" t="str" cm="1">
        <f t="array" aca="1" ref="D912" ca="1">CELL("nomfichier",INDIRECT(A912))</f>
        <v>G:\SCPE\sdc\bq\6 - Mentions valorisantes\Certification environnementale\TEXTES_REGLEMENTATION_CE\Plans_contrôle et grilles\Grille audit niveau 3\Grille d'audit v1.11\[grille-audit-hvev4-v1.11-vf.xlsx]Surfaces_Horti</v>
      </c>
      <c r="E912">
        <f t="shared" ca="1" si="57"/>
        <v>200</v>
      </c>
      <c r="F912">
        <f t="shared" ca="1" si="58"/>
        <v>214</v>
      </c>
      <c r="G912" t="str">
        <f t="shared" ca="1" si="59"/>
        <v>Surfaces_Horti</v>
      </c>
      <c r="H912" cm="1">
        <f t="array" aca="1" ref="H912" ca="1">ROW(INDIRECT(A912))</f>
        <v>70</v>
      </c>
      <c r="I912" cm="1">
        <f t="array" aca="1" ref="I912" ca="1">COLUMN(INDIRECT(A912))</f>
        <v>10</v>
      </c>
      <c r="M912" t="str" cm="1">
        <f t="array" aca="1" ref="M912" ca="1">IF(AND(J912="O",ISBLANK(INDIRECT(A912))),"Valeur obligatoire non renseignée","")</f>
        <v/>
      </c>
    </row>
    <row r="913" spans="1:13" x14ac:dyDescent="0.25">
      <c r="A913" s="91" t="s">
        <v>3800</v>
      </c>
      <c r="B913" cm="1">
        <f t="array" aca="1" ref="B913" ca="1">INDIRECT(A913)</f>
        <v>0</v>
      </c>
      <c r="C913">
        <f t="shared" ca="1" si="56"/>
        <v>5</v>
      </c>
      <c r="D913" t="str" cm="1">
        <f t="array" aca="1" ref="D913" ca="1">CELL("nomfichier",INDIRECT(A913))</f>
        <v>G:\SCPE\sdc\bq\6 - Mentions valorisantes\Certification environnementale\TEXTES_REGLEMENTATION_CE\Plans_contrôle et grilles\Grille audit niveau 3\Grille d'audit v1.11\[grille-audit-hvev4-v1.11-vf.xlsx]Surfaces_Horti</v>
      </c>
      <c r="E913">
        <f t="shared" ca="1" si="57"/>
        <v>200</v>
      </c>
      <c r="F913">
        <f t="shared" ca="1" si="58"/>
        <v>214</v>
      </c>
      <c r="G913" t="str">
        <f t="shared" ca="1" si="59"/>
        <v>Surfaces_Horti</v>
      </c>
      <c r="H913" cm="1">
        <f t="array" aca="1" ref="H913" ca="1">ROW(INDIRECT(A913))</f>
        <v>70</v>
      </c>
      <c r="I913" cm="1">
        <f t="array" aca="1" ref="I913" ca="1">COLUMN(INDIRECT(A913))</f>
        <v>11</v>
      </c>
      <c r="M913" t="str" cm="1">
        <f t="array" aca="1" ref="M913" ca="1">IF(AND(J913="O",ISBLANK(INDIRECT(A913))),"Valeur obligatoire non renseignée","")</f>
        <v/>
      </c>
    </row>
    <row r="914" spans="1:13" x14ac:dyDescent="0.25">
      <c r="A914" s="91" t="s">
        <v>3827</v>
      </c>
      <c r="B914" cm="1">
        <f t="array" aca="1" ref="B914" ca="1">INDIRECT(A914)</f>
        <v>0</v>
      </c>
      <c r="C914">
        <f t="shared" ca="1" si="56"/>
        <v>5</v>
      </c>
      <c r="D914" t="str" cm="1">
        <f t="array" aca="1" ref="D914" ca="1">CELL("nomfichier",INDIRECT(A914))</f>
        <v>G:\SCPE\sdc\bq\6 - Mentions valorisantes\Certification environnementale\TEXTES_REGLEMENTATION_CE\Plans_contrôle et grilles\Grille audit niveau 3\Grille d'audit v1.11\[grille-audit-hvev4-v1.11-vf.xlsx]Surfaces_Horti</v>
      </c>
      <c r="E914">
        <f t="shared" ca="1" si="57"/>
        <v>200</v>
      </c>
      <c r="F914">
        <f t="shared" ca="1" si="58"/>
        <v>214</v>
      </c>
      <c r="G914" t="str">
        <f t="shared" ca="1" si="59"/>
        <v>Surfaces_Horti</v>
      </c>
      <c r="H914" cm="1">
        <f t="array" aca="1" ref="H914" ca="1">ROW(INDIRECT(A914))</f>
        <v>70</v>
      </c>
      <c r="I914" cm="1">
        <f t="array" aca="1" ref="I914" ca="1">COLUMN(INDIRECT(A914))</f>
        <v>12</v>
      </c>
      <c r="M914" t="str" cm="1">
        <f t="array" aca="1" ref="M914" ca="1">IF(AND(J914="O",ISBLANK(INDIRECT(A914))),"Valeur obligatoire non renseignée","")</f>
        <v/>
      </c>
    </row>
    <row r="915" spans="1:13" x14ac:dyDescent="0.25">
      <c r="A915" s="91" t="s">
        <v>3854</v>
      </c>
      <c r="B915" cm="1">
        <f t="array" aca="1" ref="B915" ca="1">INDIRECT(A915)</f>
        <v>0</v>
      </c>
      <c r="C915">
        <f t="shared" ca="1" si="56"/>
        <v>5</v>
      </c>
      <c r="D915" t="str" cm="1">
        <f t="array" aca="1" ref="D915" ca="1">CELL("nomfichier",INDIRECT(A915))</f>
        <v>G:\SCPE\sdc\bq\6 - Mentions valorisantes\Certification environnementale\TEXTES_REGLEMENTATION_CE\Plans_contrôle et grilles\Grille audit niveau 3\Grille d'audit v1.11\[grille-audit-hvev4-v1.11-vf.xlsx]Surfaces_Horti</v>
      </c>
      <c r="E915">
        <f t="shared" ca="1" si="57"/>
        <v>200</v>
      </c>
      <c r="F915">
        <f t="shared" ca="1" si="58"/>
        <v>214</v>
      </c>
      <c r="G915" t="str">
        <f t="shared" ca="1" si="59"/>
        <v>Surfaces_Horti</v>
      </c>
      <c r="H915" cm="1">
        <f t="array" aca="1" ref="H915" ca="1">ROW(INDIRECT(A915))</f>
        <v>70</v>
      </c>
      <c r="I915" cm="1">
        <f t="array" aca="1" ref="I915" ca="1">COLUMN(INDIRECT(A915))</f>
        <v>13</v>
      </c>
      <c r="M915" t="str" cm="1">
        <f t="array" aca="1" ref="M915" ca="1">IF(AND(J915="O",ISBLANK(INDIRECT(A915))),"Valeur obligatoire non renseignée","")</f>
        <v/>
      </c>
    </row>
    <row r="916" spans="1:13" x14ac:dyDescent="0.25">
      <c r="A916" s="91" t="s">
        <v>3881</v>
      </c>
      <c r="B916" cm="1">
        <f t="array" aca="1" ref="B916" ca="1">INDIRECT(A916)</f>
        <v>0</v>
      </c>
      <c r="C916">
        <f t="shared" ca="1" si="56"/>
        <v>5</v>
      </c>
      <c r="D916" t="str" cm="1">
        <f t="array" aca="1" ref="D916" ca="1">CELL("nomfichier",INDIRECT(A916))</f>
        <v>G:\SCPE\sdc\bq\6 - Mentions valorisantes\Certification environnementale\TEXTES_REGLEMENTATION_CE\Plans_contrôle et grilles\Grille audit niveau 3\Grille d'audit v1.11\[grille-audit-hvev4-v1.11-vf.xlsx]Surfaces_Horti</v>
      </c>
      <c r="E916">
        <f t="shared" ca="1" si="57"/>
        <v>200</v>
      </c>
      <c r="F916">
        <f t="shared" ca="1" si="58"/>
        <v>214</v>
      </c>
      <c r="G916" t="str">
        <f t="shared" ca="1" si="59"/>
        <v>Surfaces_Horti</v>
      </c>
      <c r="H916" cm="1">
        <f t="array" aca="1" ref="H916" ca="1">ROW(INDIRECT(A916))</f>
        <v>70</v>
      </c>
      <c r="I916" cm="1">
        <f t="array" aca="1" ref="I916" ca="1">COLUMN(INDIRECT(A916))</f>
        <v>14</v>
      </c>
      <c r="M916" t="str" cm="1">
        <f t="array" aca="1" ref="M916" ca="1">IF(AND(J916="O",ISBLANK(INDIRECT(A916))),"Valeur obligatoire non renseignée","")</f>
        <v/>
      </c>
    </row>
    <row r="917" spans="1:13" x14ac:dyDescent="0.25">
      <c r="A917" s="91" t="s">
        <v>3558</v>
      </c>
      <c r="B917" cm="1">
        <f t="array" aca="1" ref="B917" ca="1">INDIRECT(A917)</f>
        <v>0</v>
      </c>
      <c r="C917">
        <f t="shared" ca="1" si="56"/>
        <v>5</v>
      </c>
      <c r="D917" t="str" cm="1">
        <f t="array" aca="1" ref="D917" ca="1">CELL("nomfichier",INDIRECT(A917))</f>
        <v>G:\SCPE\sdc\bq\6 - Mentions valorisantes\Certification environnementale\TEXTES_REGLEMENTATION_CE\Plans_contrôle et grilles\Grille audit niveau 3\Grille d'audit v1.11\[grille-audit-hvev4-v1.11-vf.xlsx]Surfaces_Horti</v>
      </c>
      <c r="E917">
        <f t="shared" ca="1" si="57"/>
        <v>200</v>
      </c>
      <c r="F917">
        <f t="shared" ca="1" si="58"/>
        <v>214</v>
      </c>
      <c r="G917" t="str">
        <f t="shared" ca="1" si="59"/>
        <v>Surfaces_Horti</v>
      </c>
      <c r="H917" cm="1">
        <f t="array" aca="1" ref="H917" ca="1">ROW(INDIRECT(A917))</f>
        <v>72</v>
      </c>
      <c r="I917" cm="1">
        <f t="array" aca="1" ref="I917" ca="1">COLUMN(INDIRECT(A917))</f>
        <v>2</v>
      </c>
      <c r="M917" t="str" cm="1">
        <f t="array" aca="1" ref="M917" ca="1">IF(AND(J917="O",ISBLANK(INDIRECT(A917))),"Valeur obligatoire non renseignée","")</f>
        <v/>
      </c>
    </row>
    <row r="918" spans="1:13" x14ac:dyDescent="0.25">
      <c r="A918" s="91" t="s">
        <v>3585</v>
      </c>
      <c r="B918" cm="1">
        <f t="array" aca="1" ref="B918" ca="1">INDIRECT(A918)</f>
        <v>0</v>
      </c>
      <c r="C918">
        <f t="shared" ca="1" si="56"/>
        <v>5</v>
      </c>
      <c r="D918" t="str" cm="1">
        <f t="array" aca="1" ref="D918" ca="1">CELL("nomfichier",INDIRECT(A918))</f>
        <v>G:\SCPE\sdc\bq\6 - Mentions valorisantes\Certification environnementale\TEXTES_REGLEMENTATION_CE\Plans_contrôle et grilles\Grille audit niveau 3\Grille d'audit v1.11\[grille-audit-hvev4-v1.11-vf.xlsx]Surfaces_Horti</v>
      </c>
      <c r="E918">
        <f t="shared" ca="1" si="57"/>
        <v>200</v>
      </c>
      <c r="F918">
        <f t="shared" ca="1" si="58"/>
        <v>214</v>
      </c>
      <c r="G918" t="str">
        <f t="shared" ca="1" si="59"/>
        <v>Surfaces_Horti</v>
      </c>
      <c r="H918" cm="1">
        <f t="array" aca="1" ref="H918" ca="1">ROW(INDIRECT(A918))</f>
        <v>72</v>
      </c>
      <c r="I918" cm="1">
        <f t="array" aca="1" ref="I918" ca="1">COLUMN(INDIRECT(A918))</f>
        <v>3</v>
      </c>
      <c r="M918" t="str" cm="1">
        <f t="array" aca="1" ref="M918" ca="1">IF(AND(J918="O",ISBLANK(INDIRECT(A918))),"Valeur obligatoire non renseignée","")</f>
        <v/>
      </c>
    </row>
    <row r="919" spans="1:13" x14ac:dyDescent="0.25">
      <c r="A919" s="91" t="s">
        <v>3612</v>
      </c>
      <c r="B919" cm="1">
        <f t="array" aca="1" ref="B919" ca="1">INDIRECT(A919)</f>
        <v>0</v>
      </c>
      <c r="C919">
        <f t="shared" ca="1" si="56"/>
        <v>5</v>
      </c>
      <c r="D919" t="str" cm="1">
        <f t="array" aca="1" ref="D919" ca="1">CELL("nomfichier",INDIRECT(A919))</f>
        <v>G:\SCPE\sdc\bq\6 - Mentions valorisantes\Certification environnementale\TEXTES_REGLEMENTATION_CE\Plans_contrôle et grilles\Grille audit niveau 3\Grille d'audit v1.11\[grille-audit-hvev4-v1.11-vf.xlsx]Surfaces_Horti</v>
      </c>
      <c r="E919">
        <f t="shared" ca="1" si="57"/>
        <v>200</v>
      </c>
      <c r="F919">
        <f t="shared" ca="1" si="58"/>
        <v>214</v>
      </c>
      <c r="G919" t="str">
        <f t="shared" ca="1" si="59"/>
        <v>Surfaces_Horti</v>
      </c>
      <c r="H919" cm="1">
        <f t="array" aca="1" ref="H919" ca="1">ROW(INDIRECT(A919))</f>
        <v>72</v>
      </c>
      <c r="I919" cm="1">
        <f t="array" aca="1" ref="I919" ca="1">COLUMN(INDIRECT(A919))</f>
        <v>4</v>
      </c>
      <c r="M919" t="str" cm="1">
        <f t="array" aca="1" ref="M919" ca="1">IF(AND(J919="O",ISBLANK(INDIRECT(A919))),"Valeur obligatoire non renseignée","")</f>
        <v/>
      </c>
    </row>
    <row r="920" spans="1:13" x14ac:dyDescent="0.25">
      <c r="A920" s="91" t="s">
        <v>3639</v>
      </c>
      <c r="B920" cm="1">
        <f t="array" aca="1" ref="B920" ca="1">INDIRECT(A920)</f>
        <v>0</v>
      </c>
      <c r="C920">
        <f t="shared" ca="1" si="56"/>
        <v>5</v>
      </c>
      <c r="D920" t="str" cm="1">
        <f t="array" aca="1" ref="D920" ca="1">CELL("nomfichier",INDIRECT(A920))</f>
        <v>G:\SCPE\sdc\bq\6 - Mentions valorisantes\Certification environnementale\TEXTES_REGLEMENTATION_CE\Plans_contrôle et grilles\Grille audit niveau 3\Grille d'audit v1.11\[grille-audit-hvev4-v1.11-vf.xlsx]Surfaces_Horti</v>
      </c>
      <c r="E920">
        <f t="shared" ca="1" si="57"/>
        <v>200</v>
      </c>
      <c r="F920">
        <f t="shared" ca="1" si="58"/>
        <v>214</v>
      </c>
      <c r="G920" t="str">
        <f t="shared" ca="1" si="59"/>
        <v>Surfaces_Horti</v>
      </c>
      <c r="H920" cm="1">
        <f t="array" aca="1" ref="H920" ca="1">ROW(INDIRECT(A920))</f>
        <v>72</v>
      </c>
      <c r="I920" cm="1">
        <f t="array" aca="1" ref="I920" ca="1">COLUMN(INDIRECT(A920))</f>
        <v>5</v>
      </c>
      <c r="M920" t="str" cm="1">
        <f t="array" aca="1" ref="M920" ca="1">IF(AND(J920="O",ISBLANK(INDIRECT(A920))),"Valeur obligatoire non renseignée","")</f>
        <v/>
      </c>
    </row>
    <row r="921" spans="1:13" x14ac:dyDescent="0.25">
      <c r="A921" s="91" t="s">
        <v>3666</v>
      </c>
      <c r="B921" cm="1">
        <f t="array" aca="1" ref="B921" ca="1">INDIRECT(A921)</f>
        <v>0</v>
      </c>
      <c r="C921">
        <f t="shared" ca="1" si="56"/>
        <v>5</v>
      </c>
      <c r="D921" t="str" cm="1">
        <f t="array" aca="1" ref="D921" ca="1">CELL("nomfichier",INDIRECT(A921))</f>
        <v>G:\SCPE\sdc\bq\6 - Mentions valorisantes\Certification environnementale\TEXTES_REGLEMENTATION_CE\Plans_contrôle et grilles\Grille audit niveau 3\Grille d'audit v1.11\[grille-audit-hvev4-v1.11-vf.xlsx]Surfaces_Horti</v>
      </c>
      <c r="E921">
        <f t="shared" ca="1" si="57"/>
        <v>200</v>
      </c>
      <c r="F921">
        <f t="shared" ca="1" si="58"/>
        <v>214</v>
      </c>
      <c r="G921" t="str">
        <f t="shared" ca="1" si="59"/>
        <v>Surfaces_Horti</v>
      </c>
      <c r="H921" cm="1">
        <f t="array" aca="1" ref="H921" ca="1">ROW(INDIRECT(A921))</f>
        <v>72</v>
      </c>
      <c r="I921" cm="1">
        <f t="array" aca="1" ref="I921" ca="1">COLUMN(INDIRECT(A921))</f>
        <v>6</v>
      </c>
      <c r="M921" t="str" cm="1">
        <f t="array" aca="1" ref="M921" ca="1">IF(AND(J921="O",ISBLANK(INDIRECT(A921))),"Valeur obligatoire non renseignée","")</f>
        <v/>
      </c>
    </row>
    <row r="922" spans="1:13" x14ac:dyDescent="0.25">
      <c r="A922" s="91" t="s">
        <v>3693</v>
      </c>
      <c r="B922" cm="1">
        <f t="array" aca="1" ref="B922" ca="1">INDIRECT(A922)</f>
        <v>0</v>
      </c>
      <c r="C922">
        <f t="shared" ca="1" si="56"/>
        <v>5</v>
      </c>
      <c r="D922" t="str" cm="1">
        <f t="array" aca="1" ref="D922" ca="1">CELL("nomfichier",INDIRECT(A922))</f>
        <v>G:\SCPE\sdc\bq\6 - Mentions valorisantes\Certification environnementale\TEXTES_REGLEMENTATION_CE\Plans_contrôle et grilles\Grille audit niveau 3\Grille d'audit v1.11\[grille-audit-hvev4-v1.11-vf.xlsx]Surfaces_Horti</v>
      </c>
      <c r="E922">
        <f t="shared" ca="1" si="57"/>
        <v>200</v>
      </c>
      <c r="F922">
        <f t="shared" ca="1" si="58"/>
        <v>214</v>
      </c>
      <c r="G922" t="str">
        <f t="shared" ca="1" si="59"/>
        <v>Surfaces_Horti</v>
      </c>
      <c r="H922" cm="1">
        <f t="array" aca="1" ref="H922" ca="1">ROW(INDIRECT(A922))</f>
        <v>72</v>
      </c>
      <c r="I922" cm="1">
        <f t="array" aca="1" ref="I922" ca="1">COLUMN(INDIRECT(A922))</f>
        <v>7</v>
      </c>
      <c r="M922" t="str" cm="1">
        <f t="array" aca="1" ref="M922" ca="1">IF(AND(J922="O",ISBLANK(INDIRECT(A922))),"Valeur obligatoire non renseignée","")</f>
        <v/>
      </c>
    </row>
    <row r="923" spans="1:13" x14ac:dyDescent="0.25">
      <c r="A923" s="91" t="s">
        <v>3720</v>
      </c>
      <c r="B923" cm="1">
        <f t="array" aca="1" ref="B923" ca="1">INDIRECT(A923)</f>
        <v>0</v>
      </c>
      <c r="C923">
        <f t="shared" ca="1" si="56"/>
        <v>5</v>
      </c>
      <c r="D923" t="str" cm="1">
        <f t="array" aca="1" ref="D923" ca="1">CELL("nomfichier",INDIRECT(A923))</f>
        <v>G:\SCPE\sdc\bq\6 - Mentions valorisantes\Certification environnementale\TEXTES_REGLEMENTATION_CE\Plans_contrôle et grilles\Grille audit niveau 3\Grille d'audit v1.11\[grille-audit-hvev4-v1.11-vf.xlsx]Surfaces_Horti</v>
      </c>
      <c r="E923">
        <f t="shared" ca="1" si="57"/>
        <v>200</v>
      </c>
      <c r="F923">
        <f t="shared" ca="1" si="58"/>
        <v>214</v>
      </c>
      <c r="G923" t="str">
        <f t="shared" ca="1" si="59"/>
        <v>Surfaces_Horti</v>
      </c>
      <c r="H923" cm="1">
        <f t="array" aca="1" ref="H923" ca="1">ROW(INDIRECT(A923))</f>
        <v>72</v>
      </c>
      <c r="I923" cm="1">
        <f t="array" aca="1" ref="I923" ca="1">COLUMN(INDIRECT(A923))</f>
        <v>8</v>
      </c>
      <c r="M923" t="str" cm="1">
        <f t="array" aca="1" ref="M923" ca="1">IF(AND(J923="O",ISBLANK(INDIRECT(A923))),"Valeur obligatoire non renseignée","")</f>
        <v/>
      </c>
    </row>
    <row r="924" spans="1:13" x14ac:dyDescent="0.25">
      <c r="A924" s="91" t="s">
        <v>3747</v>
      </c>
      <c r="B924" cm="1">
        <f t="array" aca="1" ref="B924" ca="1">INDIRECT(A924)</f>
        <v>0</v>
      </c>
      <c r="C924">
        <f t="shared" ca="1" si="56"/>
        <v>5</v>
      </c>
      <c r="D924" t="str" cm="1">
        <f t="array" aca="1" ref="D924" ca="1">CELL("nomfichier",INDIRECT(A924))</f>
        <v>G:\SCPE\sdc\bq\6 - Mentions valorisantes\Certification environnementale\TEXTES_REGLEMENTATION_CE\Plans_contrôle et grilles\Grille audit niveau 3\Grille d'audit v1.11\[grille-audit-hvev4-v1.11-vf.xlsx]Surfaces_Horti</v>
      </c>
      <c r="E924">
        <f t="shared" ca="1" si="57"/>
        <v>200</v>
      </c>
      <c r="F924">
        <f t="shared" ca="1" si="58"/>
        <v>214</v>
      </c>
      <c r="G924" t="str">
        <f t="shared" ca="1" si="59"/>
        <v>Surfaces_Horti</v>
      </c>
      <c r="H924" cm="1">
        <f t="array" aca="1" ref="H924" ca="1">ROW(INDIRECT(A924))</f>
        <v>72</v>
      </c>
      <c r="I924" cm="1">
        <f t="array" aca="1" ref="I924" ca="1">COLUMN(INDIRECT(A924))</f>
        <v>9</v>
      </c>
      <c r="M924" t="str" cm="1">
        <f t="array" aca="1" ref="M924" ca="1">IF(AND(J924="O",ISBLANK(INDIRECT(A924))),"Valeur obligatoire non renseignée","")</f>
        <v/>
      </c>
    </row>
    <row r="925" spans="1:13" x14ac:dyDescent="0.25">
      <c r="A925" s="91" t="s">
        <v>3774</v>
      </c>
      <c r="B925" cm="1">
        <f t="array" aca="1" ref="B925" ca="1">INDIRECT(A925)</f>
        <v>0</v>
      </c>
      <c r="C925">
        <f t="shared" ca="1" si="56"/>
        <v>5</v>
      </c>
      <c r="D925" t="str" cm="1">
        <f t="array" aca="1" ref="D925" ca="1">CELL("nomfichier",INDIRECT(A925))</f>
        <v>G:\SCPE\sdc\bq\6 - Mentions valorisantes\Certification environnementale\TEXTES_REGLEMENTATION_CE\Plans_contrôle et grilles\Grille audit niveau 3\Grille d'audit v1.11\[grille-audit-hvev4-v1.11-vf.xlsx]Surfaces_Horti</v>
      </c>
      <c r="E925">
        <f t="shared" ca="1" si="57"/>
        <v>200</v>
      </c>
      <c r="F925">
        <f t="shared" ca="1" si="58"/>
        <v>214</v>
      </c>
      <c r="G925" t="str">
        <f t="shared" ca="1" si="59"/>
        <v>Surfaces_Horti</v>
      </c>
      <c r="H925" cm="1">
        <f t="array" aca="1" ref="H925" ca="1">ROW(INDIRECT(A925))</f>
        <v>72</v>
      </c>
      <c r="I925" cm="1">
        <f t="array" aca="1" ref="I925" ca="1">COLUMN(INDIRECT(A925))</f>
        <v>10</v>
      </c>
      <c r="M925" t="str" cm="1">
        <f t="array" aca="1" ref="M925" ca="1">IF(AND(J925="O",ISBLANK(INDIRECT(A925))),"Valeur obligatoire non renseignée","")</f>
        <v/>
      </c>
    </row>
    <row r="926" spans="1:13" x14ac:dyDescent="0.25">
      <c r="A926" s="91" t="s">
        <v>3801</v>
      </c>
      <c r="B926" cm="1">
        <f t="array" aca="1" ref="B926" ca="1">INDIRECT(A926)</f>
        <v>0</v>
      </c>
      <c r="C926">
        <f t="shared" ca="1" si="56"/>
        <v>5</v>
      </c>
      <c r="D926" t="str" cm="1">
        <f t="array" aca="1" ref="D926" ca="1">CELL("nomfichier",INDIRECT(A926))</f>
        <v>G:\SCPE\sdc\bq\6 - Mentions valorisantes\Certification environnementale\TEXTES_REGLEMENTATION_CE\Plans_contrôle et grilles\Grille audit niveau 3\Grille d'audit v1.11\[grille-audit-hvev4-v1.11-vf.xlsx]Surfaces_Horti</v>
      </c>
      <c r="E926">
        <f t="shared" ca="1" si="57"/>
        <v>200</v>
      </c>
      <c r="F926">
        <f t="shared" ca="1" si="58"/>
        <v>214</v>
      </c>
      <c r="G926" t="str">
        <f t="shared" ca="1" si="59"/>
        <v>Surfaces_Horti</v>
      </c>
      <c r="H926" cm="1">
        <f t="array" aca="1" ref="H926" ca="1">ROW(INDIRECT(A926))</f>
        <v>72</v>
      </c>
      <c r="I926" cm="1">
        <f t="array" aca="1" ref="I926" ca="1">COLUMN(INDIRECT(A926))</f>
        <v>11</v>
      </c>
      <c r="M926" t="str" cm="1">
        <f t="array" aca="1" ref="M926" ca="1">IF(AND(J926="O",ISBLANK(INDIRECT(A926))),"Valeur obligatoire non renseignée","")</f>
        <v/>
      </c>
    </row>
    <row r="927" spans="1:13" x14ac:dyDescent="0.25">
      <c r="A927" s="91" t="s">
        <v>3828</v>
      </c>
      <c r="B927" cm="1">
        <f t="array" aca="1" ref="B927" ca="1">INDIRECT(A927)</f>
        <v>0</v>
      </c>
      <c r="C927">
        <f t="shared" ca="1" si="56"/>
        <v>5</v>
      </c>
      <c r="D927" t="str" cm="1">
        <f t="array" aca="1" ref="D927" ca="1">CELL("nomfichier",INDIRECT(A927))</f>
        <v>G:\SCPE\sdc\bq\6 - Mentions valorisantes\Certification environnementale\TEXTES_REGLEMENTATION_CE\Plans_contrôle et grilles\Grille audit niveau 3\Grille d'audit v1.11\[grille-audit-hvev4-v1.11-vf.xlsx]Surfaces_Horti</v>
      </c>
      <c r="E927">
        <f t="shared" ca="1" si="57"/>
        <v>200</v>
      </c>
      <c r="F927">
        <f t="shared" ca="1" si="58"/>
        <v>214</v>
      </c>
      <c r="G927" t="str">
        <f t="shared" ca="1" si="59"/>
        <v>Surfaces_Horti</v>
      </c>
      <c r="H927" cm="1">
        <f t="array" aca="1" ref="H927" ca="1">ROW(INDIRECT(A927))</f>
        <v>72</v>
      </c>
      <c r="I927" cm="1">
        <f t="array" aca="1" ref="I927" ca="1">COLUMN(INDIRECT(A927))</f>
        <v>12</v>
      </c>
      <c r="M927" t="str" cm="1">
        <f t="array" aca="1" ref="M927" ca="1">IF(AND(J927="O",ISBLANK(INDIRECT(A927))),"Valeur obligatoire non renseignée","")</f>
        <v/>
      </c>
    </row>
    <row r="928" spans="1:13" x14ac:dyDescent="0.25">
      <c r="A928" s="91" t="s">
        <v>3855</v>
      </c>
      <c r="B928" cm="1">
        <f t="array" aca="1" ref="B928" ca="1">INDIRECT(A928)</f>
        <v>0</v>
      </c>
      <c r="C928">
        <f t="shared" ca="1" si="56"/>
        <v>5</v>
      </c>
      <c r="D928" t="str" cm="1">
        <f t="array" aca="1" ref="D928" ca="1">CELL("nomfichier",INDIRECT(A928))</f>
        <v>G:\SCPE\sdc\bq\6 - Mentions valorisantes\Certification environnementale\TEXTES_REGLEMENTATION_CE\Plans_contrôle et grilles\Grille audit niveau 3\Grille d'audit v1.11\[grille-audit-hvev4-v1.11-vf.xlsx]Surfaces_Horti</v>
      </c>
      <c r="E928">
        <f t="shared" ca="1" si="57"/>
        <v>200</v>
      </c>
      <c r="F928">
        <f t="shared" ca="1" si="58"/>
        <v>214</v>
      </c>
      <c r="G928" t="str">
        <f t="shared" ca="1" si="59"/>
        <v>Surfaces_Horti</v>
      </c>
      <c r="H928" cm="1">
        <f t="array" aca="1" ref="H928" ca="1">ROW(INDIRECT(A928))</f>
        <v>72</v>
      </c>
      <c r="I928" cm="1">
        <f t="array" aca="1" ref="I928" ca="1">COLUMN(INDIRECT(A928))</f>
        <v>13</v>
      </c>
      <c r="M928" t="str" cm="1">
        <f t="array" aca="1" ref="M928" ca="1">IF(AND(J928="O",ISBLANK(INDIRECT(A928))),"Valeur obligatoire non renseignée","")</f>
        <v/>
      </c>
    </row>
    <row r="929" spans="1:13" x14ac:dyDescent="0.25">
      <c r="A929" s="91" t="s">
        <v>3882</v>
      </c>
      <c r="B929" cm="1">
        <f t="array" aca="1" ref="B929" ca="1">INDIRECT(A929)</f>
        <v>0</v>
      </c>
      <c r="C929">
        <f t="shared" ca="1" si="56"/>
        <v>5</v>
      </c>
      <c r="D929" t="str" cm="1">
        <f t="array" aca="1" ref="D929" ca="1">CELL("nomfichier",INDIRECT(A929))</f>
        <v>G:\SCPE\sdc\bq\6 - Mentions valorisantes\Certification environnementale\TEXTES_REGLEMENTATION_CE\Plans_contrôle et grilles\Grille audit niveau 3\Grille d'audit v1.11\[grille-audit-hvev4-v1.11-vf.xlsx]Surfaces_Horti</v>
      </c>
      <c r="E929">
        <f t="shared" ca="1" si="57"/>
        <v>200</v>
      </c>
      <c r="F929">
        <f t="shared" ca="1" si="58"/>
        <v>214</v>
      </c>
      <c r="G929" t="str">
        <f t="shared" ca="1" si="59"/>
        <v>Surfaces_Horti</v>
      </c>
      <c r="H929" cm="1">
        <f t="array" aca="1" ref="H929" ca="1">ROW(INDIRECT(A929))</f>
        <v>72</v>
      </c>
      <c r="I929" cm="1">
        <f t="array" aca="1" ref="I929" ca="1">COLUMN(INDIRECT(A929))</f>
        <v>14</v>
      </c>
      <c r="M929" t="str" cm="1">
        <f t="array" aca="1" ref="M929" ca="1">IF(AND(J929="O",ISBLANK(INDIRECT(A929))),"Valeur obligatoire non renseignée","")</f>
        <v/>
      </c>
    </row>
    <row r="930" spans="1:13" x14ac:dyDescent="0.25">
      <c r="A930" s="91" t="s">
        <v>3559</v>
      </c>
      <c r="B930" cm="1">
        <f t="array" aca="1" ref="B930" ca="1">INDIRECT(A930)</f>
        <v>0</v>
      </c>
      <c r="C930">
        <f t="shared" ca="1" si="56"/>
        <v>5</v>
      </c>
      <c r="D930" t="str" cm="1">
        <f t="array" aca="1" ref="D930" ca="1">CELL("nomfichier",INDIRECT(A930))</f>
        <v>G:\SCPE\sdc\bq\6 - Mentions valorisantes\Certification environnementale\TEXTES_REGLEMENTATION_CE\Plans_contrôle et grilles\Grille audit niveau 3\Grille d'audit v1.11\[grille-audit-hvev4-v1.11-vf.xlsx]Surfaces_Horti</v>
      </c>
      <c r="E930">
        <f t="shared" ca="1" si="57"/>
        <v>200</v>
      </c>
      <c r="F930">
        <f t="shared" ca="1" si="58"/>
        <v>214</v>
      </c>
      <c r="G930" t="str">
        <f t="shared" ca="1" si="59"/>
        <v>Surfaces_Horti</v>
      </c>
      <c r="H930" cm="1">
        <f t="array" aca="1" ref="H930" ca="1">ROW(INDIRECT(A930))</f>
        <v>73</v>
      </c>
      <c r="I930" cm="1">
        <f t="array" aca="1" ref="I930" ca="1">COLUMN(INDIRECT(A930))</f>
        <v>2</v>
      </c>
      <c r="M930" t="str" cm="1">
        <f t="array" aca="1" ref="M930" ca="1">IF(AND(J930="O",ISBLANK(INDIRECT(A930))),"Valeur obligatoire non renseignée","")</f>
        <v/>
      </c>
    </row>
    <row r="931" spans="1:13" x14ac:dyDescent="0.25">
      <c r="A931" s="91" t="s">
        <v>3586</v>
      </c>
      <c r="B931" cm="1">
        <f t="array" aca="1" ref="B931" ca="1">INDIRECT(A931)</f>
        <v>0</v>
      </c>
      <c r="C931">
        <f t="shared" ca="1" si="56"/>
        <v>5</v>
      </c>
      <c r="D931" t="str" cm="1">
        <f t="array" aca="1" ref="D931" ca="1">CELL("nomfichier",INDIRECT(A931))</f>
        <v>G:\SCPE\sdc\bq\6 - Mentions valorisantes\Certification environnementale\TEXTES_REGLEMENTATION_CE\Plans_contrôle et grilles\Grille audit niveau 3\Grille d'audit v1.11\[grille-audit-hvev4-v1.11-vf.xlsx]Surfaces_Horti</v>
      </c>
      <c r="E931">
        <f t="shared" ca="1" si="57"/>
        <v>200</v>
      </c>
      <c r="F931">
        <f t="shared" ca="1" si="58"/>
        <v>214</v>
      </c>
      <c r="G931" t="str">
        <f t="shared" ca="1" si="59"/>
        <v>Surfaces_Horti</v>
      </c>
      <c r="H931" cm="1">
        <f t="array" aca="1" ref="H931" ca="1">ROW(INDIRECT(A931))</f>
        <v>73</v>
      </c>
      <c r="I931" cm="1">
        <f t="array" aca="1" ref="I931" ca="1">COLUMN(INDIRECT(A931))</f>
        <v>3</v>
      </c>
      <c r="M931" t="str" cm="1">
        <f t="array" aca="1" ref="M931" ca="1">IF(AND(J931="O",ISBLANK(INDIRECT(A931))),"Valeur obligatoire non renseignée","")</f>
        <v/>
      </c>
    </row>
    <row r="932" spans="1:13" x14ac:dyDescent="0.25">
      <c r="A932" s="91" t="s">
        <v>3613</v>
      </c>
      <c r="B932" cm="1">
        <f t="array" aca="1" ref="B932" ca="1">INDIRECT(A932)</f>
        <v>0</v>
      </c>
      <c r="C932">
        <f t="shared" ca="1" si="56"/>
        <v>5</v>
      </c>
      <c r="D932" t="str" cm="1">
        <f t="array" aca="1" ref="D932" ca="1">CELL("nomfichier",INDIRECT(A932))</f>
        <v>G:\SCPE\sdc\bq\6 - Mentions valorisantes\Certification environnementale\TEXTES_REGLEMENTATION_CE\Plans_contrôle et grilles\Grille audit niveau 3\Grille d'audit v1.11\[grille-audit-hvev4-v1.11-vf.xlsx]Surfaces_Horti</v>
      </c>
      <c r="E932">
        <f t="shared" ca="1" si="57"/>
        <v>200</v>
      </c>
      <c r="F932">
        <f t="shared" ca="1" si="58"/>
        <v>214</v>
      </c>
      <c r="G932" t="str">
        <f t="shared" ca="1" si="59"/>
        <v>Surfaces_Horti</v>
      </c>
      <c r="H932" cm="1">
        <f t="array" aca="1" ref="H932" ca="1">ROW(INDIRECT(A932))</f>
        <v>73</v>
      </c>
      <c r="I932" cm="1">
        <f t="array" aca="1" ref="I932" ca="1">COLUMN(INDIRECT(A932))</f>
        <v>4</v>
      </c>
      <c r="M932" t="str" cm="1">
        <f t="array" aca="1" ref="M932" ca="1">IF(AND(J932="O",ISBLANK(INDIRECT(A932))),"Valeur obligatoire non renseignée","")</f>
        <v/>
      </c>
    </row>
    <row r="933" spans="1:13" x14ac:dyDescent="0.25">
      <c r="A933" s="91" t="s">
        <v>3640</v>
      </c>
      <c r="B933" cm="1">
        <f t="array" aca="1" ref="B933" ca="1">INDIRECT(A933)</f>
        <v>0</v>
      </c>
      <c r="C933">
        <f t="shared" ca="1" si="56"/>
        <v>5</v>
      </c>
      <c r="D933" t="str" cm="1">
        <f t="array" aca="1" ref="D933" ca="1">CELL("nomfichier",INDIRECT(A933))</f>
        <v>G:\SCPE\sdc\bq\6 - Mentions valorisantes\Certification environnementale\TEXTES_REGLEMENTATION_CE\Plans_contrôle et grilles\Grille audit niveau 3\Grille d'audit v1.11\[grille-audit-hvev4-v1.11-vf.xlsx]Surfaces_Horti</v>
      </c>
      <c r="E933">
        <f t="shared" ca="1" si="57"/>
        <v>200</v>
      </c>
      <c r="F933">
        <f t="shared" ca="1" si="58"/>
        <v>214</v>
      </c>
      <c r="G933" t="str">
        <f t="shared" ca="1" si="59"/>
        <v>Surfaces_Horti</v>
      </c>
      <c r="H933" cm="1">
        <f t="array" aca="1" ref="H933" ca="1">ROW(INDIRECT(A933))</f>
        <v>73</v>
      </c>
      <c r="I933" cm="1">
        <f t="array" aca="1" ref="I933" ca="1">COLUMN(INDIRECT(A933))</f>
        <v>5</v>
      </c>
      <c r="M933" t="str" cm="1">
        <f t="array" aca="1" ref="M933" ca="1">IF(AND(J933="O",ISBLANK(INDIRECT(A933))),"Valeur obligatoire non renseignée","")</f>
        <v/>
      </c>
    </row>
    <row r="934" spans="1:13" x14ac:dyDescent="0.25">
      <c r="A934" s="91" t="s">
        <v>3667</v>
      </c>
      <c r="B934" cm="1">
        <f t="array" aca="1" ref="B934" ca="1">INDIRECT(A934)</f>
        <v>0</v>
      </c>
      <c r="C934">
        <f t="shared" ca="1" si="56"/>
        <v>5</v>
      </c>
      <c r="D934" t="str" cm="1">
        <f t="array" aca="1" ref="D934" ca="1">CELL("nomfichier",INDIRECT(A934))</f>
        <v>G:\SCPE\sdc\bq\6 - Mentions valorisantes\Certification environnementale\TEXTES_REGLEMENTATION_CE\Plans_contrôle et grilles\Grille audit niveau 3\Grille d'audit v1.11\[grille-audit-hvev4-v1.11-vf.xlsx]Surfaces_Horti</v>
      </c>
      <c r="E934">
        <f t="shared" ca="1" si="57"/>
        <v>200</v>
      </c>
      <c r="F934">
        <f t="shared" ca="1" si="58"/>
        <v>214</v>
      </c>
      <c r="G934" t="str">
        <f t="shared" ca="1" si="59"/>
        <v>Surfaces_Horti</v>
      </c>
      <c r="H934" cm="1">
        <f t="array" aca="1" ref="H934" ca="1">ROW(INDIRECT(A934))</f>
        <v>73</v>
      </c>
      <c r="I934" cm="1">
        <f t="array" aca="1" ref="I934" ca="1">COLUMN(INDIRECT(A934))</f>
        <v>6</v>
      </c>
      <c r="M934" t="str" cm="1">
        <f t="array" aca="1" ref="M934" ca="1">IF(AND(J934="O",ISBLANK(INDIRECT(A934))),"Valeur obligatoire non renseignée","")</f>
        <v/>
      </c>
    </row>
    <row r="935" spans="1:13" x14ac:dyDescent="0.25">
      <c r="A935" s="91" t="s">
        <v>3694</v>
      </c>
      <c r="B935" cm="1">
        <f t="array" aca="1" ref="B935" ca="1">INDIRECT(A935)</f>
        <v>0</v>
      </c>
      <c r="C935">
        <f t="shared" ca="1" si="56"/>
        <v>5</v>
      </c>
      <c r="D935" t="str" cm="1">
        <f t="array" aca="1" ref="D935" ca="1">CELL("nomfichier",INDIRECT(A935))</f>
        <v>G:\SCPE\sdc\bq\6 - Mentions valorisantes\Certification environnementale\TEXTES_REGLEMENTATION_CE\Plans_contrôle et grilles\Grille audit niveau 3\Grille d'audit v1.11\[grille-audit-hvev4-v1.11-vf.xlsx]Surfaces_Horti</v>
      </c>
      <c r="E935">
        <f t="shared" ca="1" si="57"/>
        <v>200</v>
      </c>
      <c r="F935">
        <f t="shared" ca="1" si="58"/>
        <v>214</v>
      </c>
      <c r="G935" t="str">
        <f t="shared" ca="1" si="59"/>
        <v>Surfaces_Horti</v>
      </c>
      <c r="H935" cm="1">
        <f t="array" aca="1" ref="H935" ca="1">ROW(INDIRECT(A935))</f>
        <v>73</v>
      </c>
      <c r="I935" cm="1">
        <f t="array" aca="1" ref="I935" ca="1">COLUMN(INDIRECT(A935))</f>
        <v>7</v>
      </c>
      <c r="M935" t="str" cm="1">
        <f t="array" aca="1" ref="M935" ca="1">IF(AND(J935="O",ISBLANK(INDIRECT(A935))),"Valeur obligatoire non renseignée","")</f>
        <v/>
      </c>
    </row>
    <row r="936" spans="1:13" x14ac:dyDescent="0.25">
      <c r="A936" s="91" t="s">
        <v>3721</v>
      </c>
      <c r="B936" cm="1">
        <f t="array" aca="1" ref="B936" ca="1">INDIRECT(A936)</f>
        <v>0</v>
      </c>
      <c r="C936">
        <f t="shared" ca="1" si="56"/>
        <v>5</v>
      </c>
      <c r="D936" t="str" cm="1">
        <f t="array" aca="1" ref="D936" ca="1">CELL("nomfichier",INDIRECT(A936))</f>
        <v>G:\SCPE\sdc\bq\6 - Mentions valorisantes\Certification environnementale\TEXTES_REGLEMENTATION_CE\Plans_contrôle et grilles\Grille audit niveau 3\Grille d'audit v1.11\[grille-audit-hvev4-v1.11-vf.xlsx]Surfaces_Horti</v>
      </c>
      <c r="E936">
        <f t="shared" ca="1" si="57"/>
        <v>200</v>
      </c>
      <c r="F936">
        <f t="shared" ca="1" si="58"/>
        <v>214</v>
      </c>
      <c r="G936" t="str">
        <f t="shared" ca="1" si="59"/>
        <v>Surfaces_Horti</v>
      </c>
      <c r="H936" cm="1">
        <f t="array" aca="1" ref="H936" ca="1">ROW(INDIRECT(A936))</f>
        <v>73</v>
      </c>
      <c r="I936" cm="1">
        <f t="array" aca="1" ref="I936" ca="1">COLUMN(INDIRECT(A936))</f>
        <v>8</v>
      </c>
      <c r="M936" t="str" cm="1">
        <f t="array" aca="1" ref="M936" ca="1">IF(AND(J936="O",ISBLANK(INDIRECT(A936))),"Valeur obligatoire non renseignée","")</f>
        <v/>
      </c>
    </row>
    <row r="937" spans="1:13" x14ac:dyDescent="0.25">
      <c r="A937" s="91" t="s">
        <v>3748</v>
      </c>
      <c r="B937" cm="1">
        <f t="array" aca="1" ref="B937" ca="1">INDIRECT(A937)</f>
        <v>0</v>
      </c>
      <c r="C937">
        <f t="shared" ca="1" si="56"/>
        <v>5</v>
      </c>
      <c r="D937" t="str" cm="1">
        <f t="array" aca="1" ref="D937" ca="1">CELL("nomfichier",INDIRECT(A937))</f>
        <v>G:\SCPE\sdc\bq\6 - Mentions valorisantes\Certification environnementale\TEXTES_REGLEMENTATION_CE\Plans_contrôle et grilles\Grille audit niveau 3\Grille d'audit v1.11\[grille-audit-hvev4-v1.11-vf.xlsx]Surfaces_Horti</v>
      </c>
      <c r="E937">
        <f t="shared" ca="1" si="57"/>
        <v>200</v>
      </c>
      <c r="F937">
        <f t="shared" ca="1" si="58"/>
        <v>214</v>
      </c>
      <c r="G937" t="str">
        <f t="shared" ca="1" si="59"/>
        <v>Surfaces_Horti</v>
      </c>
      <c r="H937" cm="1">
        <f t="array" aca="1" ref="H937" ca="1">ROW(INDIRECT(A937))</f>
        <v>73</v>
      </c>
      <c r="I937" cm="1">
        <f t="array" aca="1" ref="I937" ca="1">COLUMN(INDIRECT(A937))</f>
        <v>9</v>
      </c>
      <c r="M937" t="str" cm="1">
        <f t="array" aca="1" ref="M937" ca="1">IF(AND(J937="O",ISBLANK(INDIRECT(A937))),"Valeur obligatoire non renseignée","")</f>
        <v/>
      </c>
    </row>
    <row r="938" spans="1:13" x14ac:dyDescent="0.25">
      <c r="A938" s="91" t="s">
        <v>3775</v>
      </c>
      <c r="B938" cm="1">
        <f t="array" aca="1" ref="B938" ca="1">INDIRECT(A938)</f>
        <v>0</v>
      </c>
      <c r="C938">
        <f t="shared" ca="1" si="56"/>
        <v>5</v>
      </c>
      <c r="D938" t="str" cm="1">
        <f t="array" aca="1" ref="D938" ca="1">CELL("nomfichier",INDIRECT(A938))</f>
        <v>G:\SCPE\sdc\bq\6 - Mentions valorisantes\Certification environnementale\TEXTES_REGLEMENTATION_CE\Plans_contrôle et grilles\Grille audit niveau 3\Grille d'audit v1.11\[grille-audit-hvev4-v1.11-vf.xlsx]Surfaces_Horti</v>
      </c>
      <c r="E938">
        <f t="shared" ca="1" si="57"/>
        <v>200</v>
      </c>
      <c r="F938">
        <f t="shared" ca="1" si="58"/>
        <v>214</v>
      </c>
      <c r="G938" t="str">
        <f t="shared" ca="1" si="59"/>
        <v>Surfaces_Horti</v>
      </c>
      <c r="H938" cm="1">
        <f t="array" aca="1" ref="H938" ca="1">ROW(INDIRECT(A938))</f>
        <v>73</v>
      </c>
      <c r="I938" cm="1">
        <f t="array" aca="1" ref="I938" ca="1">COLUMN(INDIRECT(A938))</f>
        <v>10</v>
      </c>
      <c r="M938" t="str" cm="1">
        <f t="array" aca="1" ref="M938" ca="1">IF(AND(J938="O",ISBLANK(INDIRECT(A938))),"Valeur obligatoire non renseignée","")</f>
        <v/>
      </c>
    </row>
    <row r="939" spans="1:13" x14ac:dyDescent="0.25">
      <c r="A939" s="91" t="s">
        <v>3802</v>
      </c>
      <c r="B939" cm="1">
        <f t="array" aca="1" ref="B939" ca="1">INDIRECT(A939)</f>
        <v>0</v>
      </c>
      <c r="C939">
        <f t="shared" ca="1" si="56"/>
        <v>5</v>
      </c>
      <c r="D939" t="str" cm="1">
        <f t="array" aca="1" ref="D939" ca="1">CELL("nomfichier",INDIRECT(A939))</f>
        <v>G:\SCPE\sdc\bq\6 - Mentions valorisantes\Certification environnementale\TEXTES_REGLEMENTATION_CE\Plans_contrôle et grilles\Grille audit niveau 3\Grille d'audit v1.11\[grille-audit-hvev4-v1.11-vf.xlsx]Surfaces_Horti</v>
      </c>
      <c r="E939">
        <f t="shared" ca="1" si="57"/>
        <v>200</v>
      </c>
      <c r="F939">
        <f t="shared" ca="1" si="58"/>
        <v>214</v>
      </c>
      <c r="G939" t="str">
        <f t="shared" ca="1" si="59"/>
        <v>Surfaces_Horti</v>
      </c>
      <c r="H939" cm="1">
        <f t="array" aca="1" ref="H939" ca="1">ROW(INDIRECT(A939))</f>
        <v>73</v>
      </c>
      <c r="I939" cm="1">
        <f t="array" aca="1" ref="I939" ca="1">COLUMN(INDIRECT(A939))</f>
        <v>11</v>
      </c>
      <c r="M939" t="str" cm="1">
        <f t="array" aca="1" ref="M939" ca="1">IF(AND(J939="O",ISBLANK(INDIRECT(A939))),"Valeur obligatoire non renseignée","")</f>
        <v/>
      </c>
    </row>
    <row r="940" spans="1:13" x14ac:dyDescent="0.25">
      <c r="A940" s="91" t="s">
        <v>3829</v>
      </c>
      <c r="B940" cm="1">
        <f t="array" aca="1" ref="B940" ca="1">INDIRECT(A940)</f>
        <v>0</v>
      </c>
      <c r="C940">
        <f t="shared" ca="1" si="56"/>
        <v>5</v>
      </c>
      <c r="D940" t="str" cm="1">
        <f t="array" aca="1" ref="D940" ca="1">CELL("nomfichier",INDIRECT(A940))</f>
        <v>G:\SCPE\sdc\bq\6 - Mentions valorisantes\Certification environnementale\TEXTES_REGLEMENTATION_CE\Plans_contrôle et grilles\Grille audit niveau 3\Grille d'audit v1.11\[grille-audit-hvev4-v1.11-vf.xlsx]Surfaces_Horti</v>
      </c>
      <c r="E940">
        <f t="shared" ca="1" si="57"/>
        <v>200</v>
      </c>
      <c r="F940">
        <f t="shared" ca="1" si="58"/>
        <v>214</v>
      </c>
      <c r="G940" t="str">
        <f t="shared" ca="1" si="59"/>
        <v>Surfaces_Horti</v>
      </c>
      <c r="H940" cm="1">
        <f t="array" aca="1" ref="H940" ca="1">ROW(INDIRECT(A940))</f>
        <v>73</v>
      </c>
      <c r="I940" cm="1">
        <f t="array" aca="1" ref="I940" ca="1">COLUMN(INDIRECT(A940))</f>
        <v>12</v>
      </c>
      <c r="M940" t="str" cm="1">
        <f t="array" aca="1" ref="M940" ca="1">IF(AND(J940="O",ISBLANK(INDIRECT(A940))),"Valeur obligatoire non renseignée","")</f>
        <v/>
      </c>
    </row>
    <row r="941" spans="1:13" x14ac:dyDescent="0.25">
      <c r="A941" s="91" t="s">
        <v>3856</v>
      </c>
      <c r="B941" cm="1">
        <f t="array" aca="1" ref="B941" ca="1">INDIRECT(A941)</f>
        <v>0</v>
      </c>
      <c r="C941">
        <f t="shared" ca="1" si="56"/>
        <v>5</v>
      </c>
      <c r="D941" t="str" cm="1">
        <f t="array" aca="1" ref="D941" ca="1">CELL("nomfichier",INDIRECT(A941))</f>
        <v>G:\SCPE\sdc\bq\6 - Mentions valorisantes\Certification environnementale\TEXTES_REGLEMENTATION_CE\Plans_contrôle et grilles\Grille audit niveau 3\Grille d'audit v1.11\[grille-audit-hvev4-v1.11-vf.xlsx]Surfaces_Horti</v>
      </c>
      <c r="E941">
        <f t="shared" ca="1" si="57"/>
        <v>200</v>
      </c>
      <c r="F941">
        <f t="shared" ca="1" si="58"/>
        <v>214</v>
      </c>
      <c r="G941" t="str">
        <f t="shared" ca="1" si="59"/>
        <v>Surfaces_Horti</v>
      </c>
      <c r="H941" cm="1">
        <f t="array" aca="1" ref="H941" ca="1">ROW(INDIRECT(A941))</f>
        <v>73</v>
      </c>
      <c r="I941" cm="1">
        <f t="array" aca="1" ref="I941" ca="1">COLUMN(INDIRECT(A941))</f>
        <v>13</v>
      </c>
      <c r="M941" t="str" cm="1">
        <f t="array" aca="1" ref="M941" ca="1">IF(AND(J941="O",ISBLANK(INDIRECT(A941))),"Valeur obligatoire non renseignée","")</f>
        <v/>
      </c>
    </row>
    <row r="942" spans="1:13" x14ac:dyDescent="0.25">
      <c r="A942" s="91" t="s">
        <v>3883</v>
      </c>
      <c r="B942" cm="1">
        <f t="array" aca="1" ref="B942" ca="1">INDIRECT(A942)</f>
        <v>0</v>
      </c>
      <c r="C942">
        <f t="shared" ca="1" si="56"/>
        <v>5</v>
      </c>
      <c r="D942" t="str" cm="1">
        <f t="array" aca="1" ref="D942" ca="1">CELL("nomfichier",INDIRECT(A942))</f>
        <v>G:\SCPE\sdc\bq\6 - Mentions valorisantes\Certification environnementale\TEXTES_REGLEMENTATION_CE\Plans_contrôle et grilles\Grille audit niveau 3\Grille d'audit v1.11\[grille-audit-hvev4-v1.11-vf.xlsx]Surfaces_Horti</v>
      </c>
      <c r="E942">
        <f t="shared" ca="1" si="57"/>
        <v>200</v>
      </c>
      <c r="F942">
        <f t="shared" ca="1" si="58"/>
        <v>214</v>
      </c>
      <c r="G942" t="str">
        <f t="shared" ca="1" si="59"/>
        <v>Surfaces_Horti</v>
      </c>
      <c r="H942" cm="1">
        <f t="array" aca="1" ref="H942" ca="1">ROW(INDIRECT(A942))</f>
        <v>73</v>
      </c>
      <c r="I942" cm="1">
        <f t="array" aca="1" ref="I942" ca="1">COLUMN(INDIRECT(A942))</f>
        <v>14</v>
      </c>
      <c r="M942" t="str" cm="1">
        <f t="array" aca="1" ref="M942" ca="1">IF(AND(J942="O",ISBLANK(INDIRECT(A942))),"Valeur obligatoire non renseignée","")</f>
        <v/>
      </c>
    </row>
    <row r="943" spans="1:13" x14ac:dyDescent="0.25">
      <c r="A943" s="91" t="s">
        <v>3560</v>
      </c>
      <c r="B943" cm="1">
        <f t="array" aca="1" ref="B943" ca="1">INDIRECT(A943)</f>
        <v>0</v>
      </c>
      <c r="C943">
        <f t="shared" ca="1" si="56"/>
        <v>5</v>
      </c>
      <c r="D943" t="str" cm="1">
        <f t="array" aca="1" ref="D943" ca="1">CELL("nomfichier",INDIRECT(A943))</f>
        <v>G:\SCPE\sdc\bq\6 - Mentions valorisantes\Certification environnementale\TEXTES_REGLEMENTATION_CE\Plans_contrôle et grilles\Grille audit niveau 3\Grille d'audit v1.11\[grille-audit-hvev4-v1.11-vf.xlsx]Surfaces_Horti</v>
      </c>
      <c r="E943">
        <f t="shared" ca="1" si="57"/>
        <v>200</v>
      </c>
      <c r="F943">
        <f t="shared" ca="1" si="58"/>
        <v>214</v>
      </c>
      <c r="G943" t="str">
        <f t="shared" ca="1" si="59"/>
        <v>Surfaces_Horti</v>
      </c>
      <c r="H943" cm="1">
        <f t="array" aca="1" ref="H943" ca="1">ROW(INDIRECT(A943))</f>
        <v>75</v>
      </c>
      <c r="I943" cm="1">
        <f t="array" aca="1" ref="I943" ca="1">COLUMN(INDIRECT(A943))</f>
        <v>2</v>
      </c>
      <c r="M943" t="str" cm="1">
        <f t="array" aca="1" ref="M943" ca="1">IF(AND(J943="O",ISBLANK(INDIRECT(A943))),"Valeur obligatoire non renseignée","")</f>
        <v/>
      </c>
    </row>
    <row r="944" spans="1:13" x14ac:dyDescent="0.25">
      <c r="A944" s="91" t="s">
        <v>3587</v>
      </c>
      <c r="B944" cm="1">
        <f t="array" aca="1" ref="B944" ca="1">INDIRECT(A944)</f>
        <v>0</v>
      </c>
      <c r="C944">
        <f t="shared" ca="1" si="56"/>
        <v>5</v>
      </c>
      <c r="D944" t="str" cm="1">
        <f t="array" aca="1" ref="D944" ca="1">CELL("nomfichier",INDIRECT(A944))</f>
        <v>G:\SCPE\sdc\bq\6 - Mentions valorisantes\Certification environnementale\TEXTES_REGLEMENTATION_CE\Plans_contrôle et grilles\Grille audit niveau 3\Grille d'audit v1.11\[grille-audit-hvev4-v1.11-vf.xlsx]Surfaces_Horti</v>
      </c>
      <c r="E944">
        <f t="shared" ca="1" si="57"/>
        <v>200</v>
      </c>
      <c r="F944">
        <f t="shared" ca="1" si="58"/>
        <v>214</v>
      </c>
      <c r="G944" t="str">
        <f t="shared" ca="1" si="59"/>
        <v>Surfaces_Horti</v>
      </c>
      <c r="H944" cm="1">
        <f t="array" aca="1" ref="H944" ca="1">ROW(INDIRECT(A944))</f>
        <v>75</v>
      </c>
      <c r="I944" cm="1">
        <f t="array" aca="1" ref="I944" ca="1">COLUMN(INDIRECT(A944))</f>
        <v>3</v>
      </c>
      <c r="M944" t="str" cm="1">
        <f t="array" aca="1" ref="M944" ca="1">IF(AND(J944="O",ISBLANK(INDIRECT(A944))),"Valeur obligatoire non renseignée","")</f>
        <v/>
      </c>
    </row>
    <row r="945" spans="1:13" x14ac:dyDescent="0.25">
      <c r="A945" s="91" t="s">
        <v>3614</v>
      </c>
      <c r="B945" cm="1">
        <f t="array" aca="1" ref="B945" ca="1">INDIRECT(A945)</f>
        <v>0</v>
      </c>
      <c r="C945">
        <f t="shared" ca="1" si="56"/>
        <v>5</v>
      </c>
      <c r="D945" t="str" cm="1">
        <f t="array" aca="1" ref="D945" ca="1">CELL("nomfichier",INDIRECT(A945))</f>
        <v>G:\SCPE\sdc\bq\6 - Mentions valorisantes\Certification environnementale\TEXTES_REGLEMENTATION_CE\Plans_contrôle et grilles\Grille audit niveau 3\Grille d'audit v1.11\[grille-audit-hvev4-v1.11-vf.xlsx]Surfaces_Horti</v>
      </c>
      <c r="E945">
        <f t="shared" ca="1" si="57"/>
        <v>200</v>
      </c>
      <c r="F945">
        <f t="shared" ca="1" si="58"/>
        <v>214</v>
      </c>
      <c r="G945" t="str">
        <f t="shared" ca="1" si="59"/>
        <v>Surfaces_Horti</v>
      </c>
      <c r="H945" cm="1">
        <f t="array" aca="1" ref="H945" ca="1">ROW(INDIRECT(A945))</f>
        <v>75</v>
      </c>
      <c r="I945" cm="1">
        <f t="array" aca="1" ref="I945" ca="1">COLUMN(INDIRECT(A945))</f>
        <v>4</v>
      </c>
      <c r="M945" t="str" cm="1">
        <f t="array" aca="1" ref="M945" ca="1">IF(AND(J945="O",ISBLANK(INDIRECT(A945))),"Valeur obligatoire non renseignée","")</f>
        <v/>
      </c>
    </row>
    <row r="946" spans="1:13" x14ac:dyDescent="0.25">
      <c r="A946" s="91" t="s">
        <v>3641</v>
      </c>
      <c r="B946" cm="1">
        <f t="array" aca="1" ref="B946" ca="1">INDIRECT(A946)</f>
        <v>0</v>
      </c>
      <c r="C946">
        <f t="shared" ca="1" si="56"/>
        <v>5</v>
      </c>
      <c r="D946" t="str" cm="1">
        <f t="array" aca="1" ref="D946" ca="1">CELL("nomfichier",INDIRECT(A946))</f>
        <v>G:\SCPE\sdc\bq\6 - Mentions valorisantes\Certification environnementale\TEXTES_REGLEMENTATION_CE\Plans_contrôle et grilles\Grille audit niveau 3\Grille d'audit v1.11\[grille-audit-hvev4-v1.11-vf.xlsx]Surfaces_Horti</v>
      </c>
      <c r="E946">
        <f t="shared" ca="1" si="57"/>
        <v>200</v>
      </c>
      <c r="F946">
        <f t="shared" ca="1" si="58"/>
        <v>214</v>
      </c>
      <c r="G946" t="str">
        <f t="shared" ca="1" si="59"/>
        <v>Surfaces_Horti</v>
      </c>
      <c r="H946" cm="1">
        <f t="array" aca="1" ref="H946" ca="1">ROW(INDIRECT(A946))</f>
        <v>75</v>
      </c>
      <c r="I946" cm="1">
        <f t="array" aca="1" ref="I946" ca="1">COLUMN(INDIRECT(A946))</f>
        <v>5</v>
      </c>
      <c r="M946" t="str" cm="1">
        <f t="array" aca="1" ref="M946" ca="1">IF(AND(J946="O",ISBLANK(INDIRECT(A946))),"Valeur obligatoire non renseignée","")</f>
        <v/>
      </c>
    </row>
    <row r="947" spans="1:13" x14ac:dyDescent="0.25">
      <c r="A947" s="91" t="s">
        <v>3668</v>
      </c>
      <c r="B947" cm="1">
        <f t="array" aca="1" ref="B947" ca="1">INDIRECT(A947)</f>
        <v>0</v>
      </c>
      <c r="C947">
        <f t="shared" ca="1" si="56"/>
        <v>5</v>
      </c>
      <c r="D947" t="str" cm="1">
        <f t="array" aca="1" ref="D947" ca="1">CELL("nomfichier",INDIRECT(A947))</f>
        <v>G:\SCPE\sdc\bq\6 - Mentions valorisantes\Certification environnementale\TEXTES_REGLEMENTATION_CE\Plans_contrôle et grilles\Grille audit niveau 3\Grille d'audit v1.11\[grille-audit-hvev4-v1.11-vf.xlsx]Surfaces_Horti</v>
      </c>
      <c r="E947">
        <f t="shared" ca="1" si="57"/>
        <v>200</v>
      </c>
      <c r="F947">
        <f t="shared" ca="1" si="58"/>
        <v>214</v>
      </c>
      <c r="G947" t="str">
        <f t="shared" ca="1" si="59"/>
        <v>Surfaces_Horti</v>
      </c>
      <c r="H947" cm="1">
        <f t="array" aca="1" ref="H947" ca="1">ROW(INDIRECT(A947))</f>
        <v>75</v>
      </c>
      <c r="I947" cm="1">
        <f t="array" aca="1" ref="I947" ca="1">COLUMN(INDIRECT(A947))</f>
        <v>6</v>
      </c>
      <c r="M947" t="str" cm="1">
        <f t="array" aca="1" ref="M947" ca="1">IF(AND(J947="O",ISBLANK(INDIRECT(A947))),"Valeur obligatoire non renseignée","")</f>
        <v/>
      </c>
    </row>
    <row r="948" spans="1:13" x14ac:dyDescent="0.25">
      <c r="A948" s="91" t="s">
        <v>3695</v>
      </c>
      <c r="B948" cm="1">
        <f t="array" aca="1" ref="B948" ca="1">INDIRECT(A948)</f>
        <v>0</v>
      </c>
      <c r="C948">
        <f t="shared" ca="1" si="56"/>
        <v>5</v>
      </c>
      <c r="D948" t="str" cm="1">
        <f t="array" aca="1" ref="D948" ca="1">CELL("nomfichier",INDIRECT(A948))</f>
        <v>G:\SCPE\sdc\bq\6 - Mentions valorisantes\Certification environnementale\TEXTES_REGLEMENTATION_CE\Plans_contrôle et grilles\Grille audit niveau 3\Grille d'audit v1.11\[grille-audit-hvev4-v1.11-vf.xlsx]Surfaces_Horti</v>
      </c>
      <c r="E948">
        <f t="shared" ca="1" si="57"/>
        <v>200</v>
      </c>
      <c r="F948">
        <f t="shared" ca="1" si="58"/>
        <v>214</v>
      </c>
      <c r="G948" t="str">
        <f t="shared" ca="1" si="59"/>
        <v>Surfaces_Horti</v>
      </c>
      <c r="H948" cm="1">
        <f t="array" aca="1" ref="H948" ca="1">ROW(INDIRECT(A948))</f>
        <v>75</v>
      </c>
      <c r="I948" cm="1">
        <f t="array" aca="1" ref="I948" ca="1">COLUMN(INDIRECT(A948))</f>
        <v>7</v>
      </c>
      <c r="M948" t="str" cm="1">
        <f t="array" aca="1" ref="M948" ca="1">IF(AND(J948="O",ISBLANK(INDIRECT(A948))),"Valeur obligatoire non renseignée","")</f>
        <v/>
      </c>
    </row>
    <row r="949" spans="1:13" x14ac:dyDescent="0.25">
      <c r="A949" s="91" t="s">
        <v>3722</v>
      </c>
      <c r="B949" cm="1">
        <f t="array" aca="1" ref="B949" ca="1">INDIRECT(A949)</f>
        <v>0</v>
      </c>
      <c r="C949">
        <f t="shared" ca="1" si="56"/>
        <v>5</v>
      </c>
      <c r="D949" t="str" cm="1">
        <f t="array" aca="1" ref="D949" ca="1">CELL("nomfichier",INDIRECT(A949))</f>
        <v>G:\SCPE\sdc\bq\6 - Mentions valorisantes\Certification environnementale\TEXTES_REGLEMENTATION_CE\Plans_contrôle et grilles\Grille audit niveau 3\Grille d'audit v1.11\[grille-audit-hvev4-v1.11-vf.xlsx]Surfaces_Horti</v>
      </c>
      <c r="E949">
        <f t="shared" ca="1" si="57"/>
        <v>200</v>
      </c>
      <c r="F949">
        <f t="shared" ca="1" si="58"/>
        <v>214</v>
      </c>
      <c r="G949" t="str">
        <f t="shared" ca="1" si="59"/>
        <v>Surfaces_Horti</v>
      </c>
      <c r="H949" cm="1">
        <f t="array" aca="1" ref="H949" ca="1">ROW(INDIRECT(A949))</f>
        <v>75</v>
      </c>
      <c r="I949" cm="1">
        <f t="array" aca="1" ref="I949" ca="1">COLUMN(INDIRECT(A949))</f>
        <v>8</v>
      </c>
      <c r="M949" t="str" cm="1">
        <f t="array" aca="1" ref="M949" ca="1">IF(AND(J949="O",ISBLANK(INDIRECT(A949))),"Valeur obligatoire non renseignée","")</f>
        <v/>
      </c>
    </row>
    <row r="950" spans="1:13" x14ac:dyDescent="0.25">
      <c r="A950" s="91" t="s">
        <v>3749</v>
      </c>
      <c r="B950" cm="1">
        <f t="array" aca="1" ref="B950" ca="1">INDIRECT(A950)</f>
        <v>0</v>
      </c>
      <c r="C950">
        <f t="shared" ca="1" si="56"/>
        <v>5</v>
      </c>
      <c r="D950" t="str" cm="1">
        <f t="array" aca="1" ref="D950" ca="1">CELL("nomfichier",INDIRECT(A950))</f>
        <v>G:\SCPE\sdc\bq\6 - Mentions valorisantes\Certification environnementale\TEXTES_REGLEMENTATION_CE\Plans_contrôle et grilles\Grille audit niveau 3\Grille d'audit v1.11\[grille-audit-hvev4-v1.11-vf.xlsx]Surfaces_Horti</v>
      </c>
      <c r="E950">
        <f t="shared" ca="1" si="57"/>
        <v>200</v>
      </c>
      <c r="F950">
        <f t="shared" ca="1" si="58"/>
        <v>214</v>
      </c>
      <c r="G950" t="str">
        <f t="shared" ca="1" si="59"/>
        <v>Surfaces_Horti</v>
      </c>
      <c r="H950" cm="1">
        <f t="array" aca="1" ref="H950" ca="1">ROW(INDIRECT(A950))</f>
        <v>75</v>
      </c>
      <c r="I950" cm="1">
        <f t="array" aca="1" ref="I950" ca="1">COLUMN(INDIRECT(A950))</f>
        <v>9</v>
      </c>
      <c r="M950" t="str" cm="1">
        <f t="array" aca="1" ref="M950" ca="1">IF(AND(J950="O",ISBLANK(INDIRECT(A950))),"Valeur obligatoire non renseignée","")</f>
        <v/>
      </c>
    </row>
    <row r="951" spans="1:13" x14ac:dyDescent="0.25">
      <c r="A951" s="91" t="s">
        <v>3776</v>
      </c>
      <c r="B951" cm="1">
        <f t="array" aca="1" ref="B951" ca="1">INDIRECT(A951)</f>
        <v>0</v>
      </c>
      <c r="C951">
        <f t="shared" ca="1" si="56"/>
        <v>5</v>
      </c>
      <c r="D951" t="str" cm="1">
        <f t="array" aca="1" ref="D951" ca="1">CELL("nomfichier",INDIRECT(A951))</f>
        <v>G:\SCPE\sdc\bq\6 - Mentions valorisantes\Certification environnementale\TEXTES_REGLEMENTATION_CE\Plans_contrôle et grilles\Grille audit niveau 3\Grille d'audit v1.11\[grille-audit-hvev4-v1.11-vf.xlsx]Surfaces_Horti</v>
      </c>
      <c r="E951">
        <f t="shared" ca="1" si="57"/>
        <v>200</v>
      </c>
      <c r="F951">
        <f t="shared" ca="1" si="58"/>
        <v>214</v>
      </c>
      <c r="G951" t="str">
        <f t="shared" ca="1" si="59"/>
        <v>Surfaces_Horti</v>
      </c>
      <c r="H951" cm="1">
        <f t="array" aca="1" ref="H951" ca="1">ROW(INDIRECT(A951))</f>
        <v>75</v>
      </c>
      <c r="I951" cm="1">
        <f t="array" aca="1" ref="I951" ca="1">COLUMN(INDIRECT(A951))</f>
        <v>10</v>
      </c>
      <c r="M951" t="str" cm="1">
        <f t="array" aca="1" ref="M951" ca="1">IF(AND(J951="O",ISBLANK(INDIRECT(A951))),"Valeur obligatoire non renseignée","")</f>
        <v/>
      </c>
    </row>
    <row r="952" spans="1:13" x14ac:dyDescent="0.25">
      <c r="A952" s="91" t="s">
        <v>3803</v>
      </c>
      <c r="B952" cm="1">
        <f t="array" aca="1" ref="B952" ca="1">INDIRECT(A952)</f>
        <v>0</v>
      </c>
      <c r="C952">
        <f t="shared" ca="1" si="56"/>
        <v>5</v>
      </c>
      <c r="D952" t="str" cm="1">
        <f t="array" aca="1" ref="D952" ca="1">CELL("nomfichier",INDIRECT(A952))</f>
        <v>G:\SCPE\sdc\bq\6 - Mentions valorisantes\Certification environnementale\TEXTES_REGLEMENTATION_CE\Plans_contrôle et grilles\Grille audit niveau 3\Grille d'audit v1.11\[grille-audit-hvev4-v1.11-vf.xlsx]Surfaces_Horti</v>
      </c>
      <c r="E952">
        <f t="shared" ca="1" si="57"/>
        <v>200</v>
      </c>
      <c r="F952">
        <f t="shared" ca="1" si="58"/>
        <v>214</v>
      </c>
      <c r="G952" t="str">
        <f t="shared" ca="1" si="59"/>
        <v>Surfaces_Horti</v>
      </c>
      <c r="H952" cm="1">
        <f t="array" aca="1" ref="H952" ca="1">ROW(INDIRECT(A952))</f>
        <v>75</v>
      </c>
      <c r="I952" cm="1">
        <f t="array" aca="1" ref="I952" ca="1">COLUMN(INDIRECT(A952))</f>
        <v>11</v>
      </c>
      <c r="M952" t="str" cm="1">
        <f t="array" aca="1" ref="M952" ca="1">IF(AND(J952="O",ISBLANK(INDIRECT(A952))),"Valeur obligatoire non renseignée","")</f>
        <v/>
      </c>
    </row>
    <row r="953" spans="1:13" x14ac:dyDescent="0.25">
      <c r="A953" s="91" t="s">
        <v>3830</v>
      </c>
      <c r="B953" cm="1">
        <f t="array" aca="1" ref="B953" ca="1">INDIRECT(A953)</f>
        <v>0</v>
      </c>
      <c r="C953">
        <f t="shared" ca="1" si="56"/>
        <v>5</v>
      </c>
      <c r="D953" t="str" cm="1">
        <f t="array" aca="1" ref="D953" ca="1">CELL("nomfichier",INDIRECT(A953))</f>
        <v>G:\SCPE\sdc\bq\6 - Mentions valorisantes\Certification environnementale\TEXTES_REGLEMENTATION_CE\Plans_contrôle et grilles\Grille audit niveau 3\Grille d'audit v1.11\[grille-audit-hvev4-v1.11-vf.xlsx]Surfaces_Horti</v>
      </c>
      <c r="E953">
        <f t="shared" ca="1" si="57"/>
        <v>200</v>
      </c>
      <c r="F953">
        <f t="shared" ca="1" si="58"/>
        <v>214</v>
      </c>
      <c r="G953" t="str">
        <f t="shared" ca="1" si="59"/>
        <v>Surfaces_Horti</v>
      </c>
      <c r="H953" cm="1">
        <f t="array" aca="1" ref="H953" ca="1">ROW(INDIRECT(A953))</f>
        <v>75</v>
      </c>
      <c r="I953" cm="1">
        <f t="array" aca="1" ref="I953" ca="1">COLUMN(INDIRECT(A953))</f>
        <v>12</v>
      </c>
      <c r="M953" t="str" cm="1">
        <f t="array" aca="1" ref="M953" ca="1">IF(AND(J953="O",ISBLANK(INDIRECT(A953))),"Valeur obligatoire non renseignée","")</f>
        <v/>
      </c>
    </row>
    <row r="954" spans="1:13" x14ac:dyDescent="0.25">
      <c r="A954" s="91" t="s">
        <v>3857</v>
      </c>
      <c r="B954" cm="1">
        <f t="array" aca="1" ref="B954" ca="1">INDIRECT(A954)</f>
        <v>0</v>
      </c>
      <c r="C954">
        <f t="shared" ca="1" si="56"/>
        <v>5</v>
      </c>
      <c r="D954" t="str" cm="1">
        <f t="array" aca="1" ref="D954" ca="1">CELL("nomfichier",INDIRECT(A954))</f>
        <v>G:\SCPE\sdc\bq\6 - Mentions valorisantes\Certification environnementale\TEXTES_REGLEMENTATION_CE\Plans_contrôle et grilles\Grille audit niveau 3\Grille d'audit v1.11\[grille-audit-hvev4-v1.11-vf.xlsx]Surfaces_Horti</v>
      </c>
      <c r="E954">
        <f t="shared" ca="1" si="57"/>
        <v>200</v>
      </c>
      <c r="F954">
        <f t="shared" ca="1" si="58"/>
        <v>214</v>
      </c>
      <c r="G954" t="str">
        <f t="shared" ca="1" si="59"/>
        <v>Surfaces_Horti</v>
      </c>
      <c r="H954" cm="1">
        <f t="array" aca="1" ref="H954" ca="1">ROW(INDIRECT(A954))</f>
        <v>75</v>
      </c>
      <c r="I954" cm="1">
        <f t="array" aca="1" ref="I954" ca="1">COLUMN(INDIRECT(A954))</f>
        <v>13</v>
      </c>
      <c r="M954" t="str" cm="1">
        <f t="array" aca="1" ref="M954" ca="1">IF(AND(J954="O",ISBLANK(INDIRECT(A954))),"Valeur obligatoire non renseignée","")</f>
        <v/>
      </c>
    </row>
    <row r="955" spans="1:13" x14ac:dyDescent="0.25">
      <c r="A955" s="91" t="s">
        <v>3884</v>
      </c>
      <c r="B955" cm="1">
        <f t="array" aca="1" ref="B955" ca="1">INDIRECT(A955)</f>
        <v>0</v>
      </c>
      <c r="C955">
        <f t="shared" ca="1" si="56"/>
        <v>5</v>
      </c>
      <c r="D955" t="str" cm="1">
        <f t="array" aca="1" ref="D955" ca="1">CELL("nomfichier",INDIRECT(A955))</f>
        <v>G:\SCPE\sdc\bq\6 - Mentions valorisantes\Certification environnementale\TEXTES_REGLEMENTATION_CE\Plans_contrôle et grilles\Grille audit niveau 3\Grille d'audit v1.11\[grille-audit-hvev4-v1.11-vf.xlsx]Surfaces_Horti</v>
      </c>
      <c r="E955">
        <f t="shared" ca="1" si="57"/>
        <v>200</v>
      </c>
      <c r="F955">
        <f t="shared" ca="1" si="58"/>
        <v>214</v>
      </c>
      <c r="G955" t="str">
        <f t="shared" ca="1" si="59"/>
        <v>Surfaces_Horti</v>
      </c>
      <c r="H955" cm="1">
        <f t="array" aca="1" ref="H955" ca="1">ROW(INDIRECT(A955))</f>
        <v>75</v>
      </c>
      <c r="I955" cm="1">
        <f t="array" aca="1" ref="I955" ca="1">COLUMN(INDIRECT(A955))</f>
        <v>14</v>
      </c>
      <c r="M955" t="str" cm="1">
        <f t="array" aca="1" ref="M955" ca="1">IF(AND(J955="O",ISBLANK(INDIRECT(A955))),"Valeur obligatoire non renseignée","")</f>
        <v/>
      </c>
    </row>
    <row r="956" spans="1:13" x14ac:dyDescent="0.25">
      <c r="A956" s="91" t="s">
        <v>3561</v>
      </c>
      <c r="B956" cm="1">
        <f t="array" aca="1" ref="B956" ca="1">INDIRECT(A956)</f>
        <v>0</v>
      </c>
      <c r="C956">
        <f t="shared" ca="1" si="56"/>
        <v>5</v>
      </c>
      <c r="D956" t="str" cm="1">
        <f t="array" aca="1" ref="D956" ca="1">CELL("nomfichier",INDIRECT(A956))</f>
        <v>G:\SCPE\sdc\bq\6 - Mentions valorisantes\Certification environnementale\TEXTES_REGLEMENTATION_CE\Plans_contrôle et grilles\Grille audit niveau 3\Grille d'audit v1.11\[grille-audit-hvev4-v1.11-vf.xlsx]Surfaces_Horti</v>
      </c>
      <c r="E956">
        <f t="shared" ca="1" si="57"/>
        <v>200</v>
      </c>
      <c r="F956">
        <f t="shared" ca="1" si="58"/>
        <v>214</v>
      </c>
      <c r="G956" t="str">
        <f t="shared" ca="1" si="59"/>
        <v>Surfaces_Horti</v>
      </c>
      <c r="H956" cm="1">
        <f t="array" aca="1" ref="H956" ca="1">ROW(INDIRECT(A956))</f>
        <v>76</v>
      </c>
      <c r="I956" cm="1">
        <f t="array" aca="1" ref="I956" ca="1">COLUMN(INDIRECT(A956))</f>
        <v>2</v>
      </c>
      <c r="M956" t="str" cm="1">
        <f t="array" aca="1" ref="M956" ca="1">IF(AND(J956="O",ISBLANK(INDIRECT(A956))),"Valeur obligatoire non renseignée","")</f>
        <v/>
      </c>
    </row>
    <row r="957" spans="1:13" x14ac:dyDescent="0.25">
      <c r="A957" s="91" t="s">
        <v>3588</v>
      </c>
      <c r="B957" cm="1">
        <f t="array" aca="1" ref="B957" ca="1">INDIRECT(A957)</f>
        <v>0</v>
      </c>
      <c r="C957">
        <f t="shared" ca="1" si="56"/>
        <v>5</v>
      </c>
      <c r="D957" t="str" cm="1">
        <f t="array" aca="1" ref="D957" ca="1">CELL("nomfichier",INDIRECT(A957))</f>
        <v>G:\SCPE\sdc\bq\6 - Mentions valorisantes\Certification environnementale\TEXTES_REGLEMENTATION_CE\Plans_contrôle et grilles\Grille audit niveau 3\Grille d'audit v1.11\[grille-audit-hvev4-v1.11-vf.xlsx]Surfaces_Horti</v>
      </c>
      <c r="E957">
        <f t="shared" ca="1" si="57"/>
        <v>200</v>
      </c>
      <c r="F957">
        <f t="shared" ca="1" si="58"/>
        <v>214</v>
      </c>
      <c r="G957" t="str">
        <f t="shared" ca="1" si="59"/>
        <v>Surfaces_Horti</v>
      </c>
      <c r="H957" cm="1">
        <f t="array" aca="1" ref="H957" ca="1">ROW(INDIRECT(A957))</f>
        <v>76</v>
      </c>
      <c r="I957" cm="1">
        <f t="array" aca="1" ref="I957" ca="1">COLUMN(INDIRECT(A957))</f>
        <v>3</v>
      </c>
      <c r="M957" t="str" cm="1">
        <f t="array" aca="1" ref="M957" ca="1">IF(AND(J957="O",ISBLANK(INDIRECT(A957))),"Valeur obligatoire non renseignée","")</f>
        <v/>
      </c>
    </row>
    <row r="958" spans="1:13" x14ac:dyDescent="0.25">
      <c r="A958" s="91" t="s">
        <v>3615</v>
      </c>
      <c r="B958" cm="1">
        <f t="array" aca="1" ref="B958" ca="1">INDIRECT(A958)</f>
        <v>0</v>
      </c>
      <c r="C958">
        <f t="shared" ca="1" si="56"/>
        <v>5</v>
      </c>
      <c r="D958" t="str" cm="1">
        <f t="array" aca="1" ref="D958" ca="1">CELL("nomfichier",INDIRECT(A958))</f>
        <v>G:\SCPE\sdc\bq\6 - Mentions valorisantes\Certification environnementale\TEXTES_REGLEMENTATION_CE\Plans_contrôle et grilles\Grille audit niveau 3\Grille d'audit v1.11\[grille-audit-hvev4-v1.11-vf.xlsx]Surfaces_Horti</v>
      </c>
      <c r="E958">
        <f t="shared" ca="1" si="57"/>
        <v>200</v>
      </c>
      <c r="F958">
        <f t="shared" ca="1" si="58"/>
        <v>214</v>
      </c>
      <c r="G958" t="str">
        <f t="shared" ca="1" si="59"/>
        <v>Surfaces_Horti</v>
      </c>
      <c r="H958" cm="1">
        <f t="array" aca="1" ref="H958" ca="1">ROW(INDIRECT(A958))</f>
        <v>76</v>
      </c>
      <c r="I958" cm="1">
        <f t="array" aca="1" ref="I958" ca="1">COLUMN(INDIRECT(A958))</f>
        <v>4</v>
      </c>
      <c r="M958" t="str" cm="1">
        <f t="array" aca="1" ref="M958" ca="1">IF(AND(J958="O",ISBLANK(INDIRECT(A958))),"Valeur obligatoire non renseignée","")</f>
        <v/>
      </c>
    </row>
    <row r="959" spans="1:13" x14ac:dyDescent="0.25">
      <c r="A959" s="91" t="s">
        <v>3642</v>
      </c>
      <c r="B959" cm="1">
        <f t="array" aca="1" ref="B959" ca="1">INDIRECT(A959)</f>
        <v>0</v>
      </c>
      <c r="C959">
        <f t="shared" ca="1" si="56"/>
        <v>5</v>
      </c>
      <c r="D959" t="str" cm="1">
        <f t="array" aca="1" ref="D959" ca="1">CELL("nomfichier",INDIRECT(A959))</f>
        <v>G:\SCPE\sdc\bq\6 - Mentions valorisantes\Certification environnementale\TEXTES_REGLEMENTATION_CE\Plans_contrôle et grilles\Grille audit niveau 3\Grille d'audit v1.11\[grille-audit-hvev4-v1.11-vf.xlsx]Surfaces_Horti</v>
      </c>
      <c r="E959">
        <f t="shared" ca="1" si="57"/>
        <v>200</v>
      </c>
      <c r="F959">
        <f t="shared" ca="1" si="58"/>
        <v>214</v>
      </c>
      <c r="G959" t="str">
        <f t="shared" ca="1" si="59"/>
        <v>Surfaces_Horti</v>
      </c>
      <c r="H959" cm="1">
        <f t="array" aca="1" ref="H959" ca="1">ROW(INDIRECT(A959))</f>
        <v>76</v>
      </c>
      <c r="I959" cm="1">
        <f t="array" aca="1" ref="I959" ca="1">COLUMN(INDIRECT(A959))</f>
        <v>5</v>
      </c>
      <c r="M959" t="str" cm="1">
        <f t="array" aca="1" ref="M959" ca="1">IF(AND(J959="O",ISBLANK(INDIRECT(A959))),"Valeur obligatoire non renseignée","")</f>
        <v/>
      </c>
    </row>
    <row r="960" spans="1:13" x14ac:dyDescent="0.25">
      <c r="A960" s="91" t="s">
        <v>3669</v>
      </c>
      <c r="B960" cm="1">
        <f t="array" aca="1" ref="B960" ca="1">INDIRECT(A960)</f>
        <v>0</v>
      </c>
      <c r="C960">
        <f t="shared" ca="1" si="56"/>
        <v>5</v>
      </c>
      <c r="D960" t="str" cm="1">
        <f t="array" aca="1" ref="D960" ca="1">CELL("nomfichier",INDIRECT(A960))</f>
        <v>G:\SCPE\sdc\bq\6 - Mentions valorisantes\Certification environnementale\TEXTES_REGLEMENTATION_CE\Plans_contrôle et grilles\Grille audit niveau 3\Grille d'audit v1.11\[grille-audit-hvev4-v1.11-vf.xlsx]Surfaces_Horti</v>
      </c>
      <c r="E960">
        <f t="shared" ca="1" si="57"/>
        <v>200</v>
      </c>
      <c r="F960">
        <f t="shared" ca="1" si="58"/>
        <v>214</v>
      </c>
      <c r="G960" t="str">
        <f t="shared" ca="1" si="59"/>
        <v>Surfaces_Horti</v>
      </c>
      <c r="H960" cm="1">
        <f t="array" aca="1" ref="H960" ca="1">ROW(INDIRECT(A960))</f>
        <v>76</v>
      </c>
      <c r="I960" cm="1">
        <f t="array" aca="1" ref="I960" ca="1">COLUMN(INDIRECT(A960))</f>
        <v>6</v>
      </c>
      <c r="M960" t="str" cm="1">
        <f t="array" aca="1" ref="M960" ca="1">IF(AND(J960="O",ISBLANK(INDIRECT(A960))),"Valeur obligatoire non renseignée","")</f>
        <v/>
      </c>
    </row>
    <row r="961" spans="1:13" x14ac:dyDescent="0.25">
      <c r="A961" s="91" t="s">
        <v>3696</v>
      </c>
      <c r="B961" cm="1">
        <f t="array" aca="1" ref="B961" ca="1">INDIRECT(A961)</f>
        <v>0</v>
      </c>
      <c r="C961">
        <f t="shared" ca="1" si="56"/>
        <v>5</v>
      </c>
      <c r="D961" t="str" cm="1">
        <f t="array" aca="1" ref="D961" ca="1">CELL("nomfichier",INDIRECT(A961))</f>
        <v>G:\SCPE\sdc\bq\6 - Mentions valorisantes\Certification environnementale\TEXTES_REGLEMENTATION_CE\Plans_contrôle et grilles\Grille audit niveau 3\Grille d'audit v1.11\[grille-audit-hvev4-v1.11-vf.xlsx]Surfaces_Horti</v>
      </c>
      <c r="E961">
        <f t="shared" ca="1" si="57"/>
        <v>200</v>
      </c>
      <c r="F961">
        <f t="shared" ca="1" si="58"/>
        <v>214</v>
      </c>
      <c r="G961" t="str">
        <f t="shared" ca="1" si="59"/>
        <v>Surfaces_Horti</v>
      </c>
      <c r="H961" cm="1">
        <f t="array" aca="1" ref="H961" ca="1">ROW(INDIRECT(A961))</f>
        <v>76</v>
      </c>
      <c r="I961" cm="1">
        <f t="array" aca="1" ref="I961" ca="1">COLUMN(INDIRECT(A961))</f>
        <v>7</v>
      </c>
      <c r="M961" t="str" cm="1">
        <f t="array" aca="1" ref="M961" ca="1">IF(AND(J961="O",ISBLANK(INDIRECT(A961))),"Valeur obligatoire non renseignée","")</f>
        <v/>
      </c>
    </row>
    <row r="962" spans="1:13" x14ac:dyDescent="0.25">
      <c r="A962" s="91" t="s">
        <v>3723</v>
      </c>
      <c r="B962" cm="1">
        <f t="array" aca="1" ref="B962" ca="1">INDIRECT(A962)</f>
        <v>0</v>
      </c>
      <c r="C962">
        <f t="shared" ref="C962:C1025" ca="1" si="60">_xlfn.SHEET(INDIRECT(A962))</f>
        <v>5</v>
      </c>
      <c r="D962" t="str" cm="1">
        <f t="array" aca="1" ref="D962" ca="1">CELL("nomfichier",INDIRECT(A962))</f>
        <v>G:\SCPE\sdc\bq\6 - Mentions valorisantes\Certification environnementale\TEXTES_REGLEMENTATION_CE\Plans_contrôle et grilles\Grille audit niveau 3\Grille d'audit v1.11\[grille-audit-hvev4-v1.11-vf.xlsx]Surfaces_Horti</v>
      </c>
      <c r="E962">
        <f t="shared" ref="E962:E1025" ca="1" si="61">FIND("]",D962)</f>
        <v>200</v>
      </c>
      <c r="F962">
        <f t="shared" ref="F962:F1025" ca="1" si="62">LEN(D962)</f>
        <v>214</v>
      </c>
      <c r="G962" t="str">
        <f t="shared" ref="G962:G1025" ca="1" si="63">RIGHT(D962,F962-E962)</f>
        <v>Surfaces_Horti</v>
      </c>
      <c r="H962" cm="1">
        <f t="array" aca="1" ref="H962" ca="1">ROW(INDIRECT(A962))</f>
        <v>76</v>
      </c>
      <c r="I962" cm="1">
        <f t="array" aca="1" ref="I962" ca="1">COLUMN(INDIRECT(A962))</f>
        <v>8</v>
      </c>
      <c r="M962" t="str" cm="1">
        <f t="array" aca="1" ref="M962" ca="1">IF(AND(J962="O",ISBLANK(INDIRECT(A962))),"Valeur obligatoire non renseignée","")</f>
        <v/>
      </c>
    </row>
    <row r="963" spans="1:13" x14ac:dyDescent="0.25">
      <c r="A963" s="91" t="s">
        <v>3750</v>
      </c>
      <c r="B963" cm="1">
        <f t="array" aca="1" ref="B963" ca="1">INDIRECT(A963)</f>
        <v>0</v>
      </c>
      <c r="C963">
        <f t="shared" ca="1" si="60"/>
        <v>5</v>
      </c>
      <c r="D963" t="str" cm="1">
        <f t="array" aca="1" ref="D963" ca="1">CELL("nomfichier",INDIRECT(A963))</f>
        <v>G:\SCPE\sdc\bq\6 - Mentions valorisantes\Certification environnementale\TEXTES_REGLEMENTATION_CE\Plans_contrôle et grilles\Grille audit niveau 3\Grille d'audit v1.11\[grille-audit-hvev4-v1.11-vf.xlsx]Surfaces_Horti</v>
      </c>
      <c r="E963">
        <f t="shared" ca="1" si="61"/>
        <v>200</v>
      </c>
      <c r="F963">
        <f t="shared" ca="1" si="62"/>
        <v>214</v>
      </c>
      <c r="G963" t="str">
        <f t="shared" ca="1" si="63"/>
        <v>Surfaces_Horti</v>
      </c>
      <c r="H963" cm="1">
        <f t="array" aca="1" ref="H963" ca="1">ROW(INDIRECT(A963))</f>
        <v>76</v>
      </c>
      <c r="I963" cm="1">
        <f t="array" aca="1" ref="I963" ca="1">COLUMN(INDIRECT(A963))</f>
        <v>9</v>
      </c>
      <c r="M963" t="str" cm="1">
        <f t="array" aca="1" ref="M963" ca="1">IF(AND(J963="O",ISBLANK(INDIRECT(A963))),"Valeur obligatoire non renseignée","")</f>
        <v/>
      </c>
    </row>
    <row r="964" spans="1:13" x14ac:dyDescent="0.25">
      <c r="A964" s="91" t="s">
        <v>3777</v>
      </c>
      <c r="B964" cm="1">
        <f t="array" aca="1" ref="B964" ca="1">INDIRECT(A964)</f>
        <v>0</v>
      </c>
      <c r="C964">
        <f t="shared" ca="1" si="60"/>
        <v>5</v>
      </c>
      <c r="D964" t="str" cm="1">
        <f t="array" aca="1" ref="D964" ca="1">CELL("nomfichier",INDIRECT(A964))</f>
        <v>G:\SCPE\sdc\bq\6 - Mentions valorisantes\Certification environnementale\TEXTES_REGLEMENTATION_CE\Plans_contrôle et grilles\Grille audit niveau 3\Grille d'audit v1.11\[grille-audit-hvev4-v1.11-vf.xlsx]Surfaces_Horti</v>
      </c>
      <c r="E964">
        <f t="shared" ca="1" si="61"/>
        <v>200</v>
      </c>
      <c r="F964">
        <f t="shared" ca="1" si="62"/>
        <v>214</v>
      </c>
      <c r="G964" t="str">
        <f t="shared" ca="1" si="63"/>
        <v>Surfaces_Horti</v>
      </c>
      <c r="H964" cm="1">
        <f t="array" aca="1" ref="H964" ca="1">ROW(INDIRECT(A964))</f>
        <v>76</v>
      </c>
      <c r="I964" cm="1">
        <f t="array" aca="1" ref="I964" ca="1">COLUMN(INDIRECT(A964))</f>
        <v>10</v>
      </c>
      <c r="M964" t="str" cm="1">
        <f t="array" aca="1" ref="M964" ca="1">IF(AND(J964="O",ISBLANK(INDIRECT(A964))),"Valeur obligatoire non renseignée","")</f>
        <v/>
      </c>
    </row>
    <row r="965" spans="1:13" x14ac:dyDescent="0.25">
      <c r="A965" s="91" t="s">
        <v>3804</v>
      </c>
      <c r="B965" cm="1">
        <f t="array" aca="1" ref="B965" ca="1">INDIRECT(A965)</f>
        <v>0</v>
      </c>
      <c r="C965">
        <f t="shared" ca="1" si="60"/>
        <v>5</v>
      </c>
      <c r="D965" t="str" cm="1">
        <f t="array" aca="1" ref="D965" ca="1">CELL("nomfichier",INDIRECT(A965))</f>
        <v>G:\SCPE\sdc\bq\6 - Mentions valorisantes\Certification environnementale\TEXTES_REGLEMENTATION_CE\Plans_contrôle et grilles\Grille audit niveau 3\Grille d'audit v1.11\[grille-audit-hvev4-v1.11-vf.xlsx]Surfaces_Horti</v>
      </c>
      <c r="E965">
        <f t="shared" ca="1" si="61"/>
        <v>200</v>
      </c>
      <c r="F965">
        <f t="shared" ca="1" si="62"/>
        <v>214</v>
      </c>
      <c r="G965" t="str">
        <f t="shared" ca="1" si="63"/>
        <v>Surfaces_Horti</v>
      </c>
      <c r="H965" cm="1">
        <f t="array" aca="1" ref="H965" ca="1">ROW(INDIRECT(A965))</f>
        <v>76</v>
      </c>
      <c r="I965" cm="1">
        <f t="array" aca="1" ref="I965" ca="1">COLUMN(INDIRECT(A965))</f>
        <v>11</v>
      </c>
      <c r="M965" t="str" cm="1">
        <f t="array" aca="1" ref="M965" ca="1">IF(AND(J965="O",ISBLANK(INDIRECT(A965))),"Valeur obligatoire non renseignée","")</f>
        <v/>
      </c>
    </row>
    <row r="966" spans="1:13" x14ac:dyDescent="0.25">
      <c r="A966" s="91" t="s">
        <v>3831</v>
      </c>
      <c r="B966" cm="1">
        <f t="array" aca="1" ref="B966" ca="1">INDIRECT(A966)</f>
        <v>0</v>
      </c>
      <c r="C966">
        <f t="shared" ca="1" si="60"/>
        <v>5</v>
      </c>
      <c r="D966" t="str" cm="1">
        <f t="array" aca="1" ref="D966" ca="1">CELL("nomfichier",INDIRECT(A966))</f>
        <v>G:\SCPE\sdc\bq\6 - Mentions valorisantes\Certification environnementale\TEXTES_REGLEMENTATION_CE\Plans_contrôle et grilles\Grille audit niveau 3\Grille d'audit v1.11\[grille-audit-hvev4-v1.11-vf.xlsx]Surfaces_Horti</v>
      </c>
      <c r="E966">
        <f t="shared" ca="1" si="61"/>
        <v>200</v>
      </c>
      <c r="F966">
        <f t="shared" ca="1" si="62"/>
        <v>214</v>
      </c>
      <c r="G966" t="str">
        <f t="shared" ca="1" si="63"/>
        <v>Surfaces_Horti</v>
      </c>
      <c r="H966" cm="1">
        <f t="array" aca="1" ref="H966" ca="1">ROW(INDIRECT(A966))</f>
        <v>76</v>
      </c>
      <c r="I966" cm="1">
        <f t="array" aca="1" ref="I966" ca="1">COLUMN(INDIRECT(A966))</f>
        <v>12</v>
      </c>
      <c r="M966" t="str" cm="1">
        <f t="array" aca="1" ref="M966" ca="1">IF(AND(J966="O",ISBLANK(INDIRECT(A966))),"Valeur obligatoire non renseignée","")</f>
        <v/>
      </c>
    </row>
    <row r="967" spans="1:13" x14ac:dyDescent="0.25">
      <c r="A967" s="91" t="s">
        <v>3858</v>
      </c>
      <c r="B967" cm="1">
        <f t="array" aca="1" ref="B967" ca="1">INDIRECT(A967)</f>
        <v>0</v>
      </c>
      <c r="C967">
        <f t="shared" ca="1" si="60"/>
        <v>5</v>
      </c>
      <c r="D967" t="str" cm="1">
        <f t="array" aca="1" ref="D967" ca="1">CELL("nomfichier",INDIRECT(A967))</f>
        <v>G:\SCPE\sdc\bq\6 - Mentions valorisantes\Certification environnementale\TEXTES_REGLEMENTATION_CE\Plans_contrôle et grilles\Grille audit niveau 3\Grille d'audit v1.11\[grille-audit-hvev4-v1.11-vf.xlsx]Surfaces_Horti</v>
      </c>
      <c r="E967">
        <f t="shared" ca="1" si="61"/>
        <v>200</v>
      </c>
      <c r="F967">
        <f t="shared" ca="1" si="62"/>
        <v>214</v>
      </c>
      <c r="G967" t="str">
        <f t="shared" ca="1" si="63"/>
        <v>Surfaces_Horti</v>
      </c>
      <c r="H967" cm="1">
        <f t="array" aca="1" ref="H967" ca="1">ROW(INDIRECT(A967))</f>
        <v>76</v>
      </c>
      <c r="I967" cm="1">
        <f t="array" aca="1" ref="I967" ca="1">COLUMN(INDIRECT(A967))</f>
        <v>13</v>
      </c>
      <c r="M967" t="str" cm="1">
        <f t="array" aca="1" ref="M967" ca="1">IF(AND(J967="O",ISBLANK(INDIRECT(A967))),"Valeur obligatoire non renseignée","")</f>
        <v/>
      </c>
    </row>
    <row r="968" spans="1:13" x14ac:dyDescent="0.25">
      <c r="A968" s="91" t="s">
        <v>3885</v>
      </c>
      <c r="B968" cm="1">
        <f t="array" aca="1" ref="B968" ca="1">INDIRECT(A968)</f>
        <v>0</v>
      </c>
      <c r="C968">
        <f t="shared" ca="1" si="60"/>
        <v>5</v>
      </c>
      <c r="D968" t="str" cm="1">
        <f t="array" aca="1" ref="D968" ca="1">CELL("nomfichier",INDIRECT(A968))</f>
        <v>G:\SCPE\sdc\bq\6 - Mentions valorisantes\Certification environnementale\TEXTES_REGLEMENTATION_CE\Plans_contrôle et grilles\Grille audit niveau 3\Grille d'audit v1.11\[grille-audit-hvev4-v1.11-vf.xlsx]Surfaces_Horti</v>
      </c>
      <c r="E968">
        <f t="shared" ca="1" si="61"/>
        <v>200</v>
      </c>
      <c r="F968">
        <f t="shared" ca="1" si="62"/>
        <v>214</v>
      </c>
      <c r="G968" t="str">
        <f t="shared" ca="1" si="63"/>
        <v>Surfaces_Horti</v>
      </c>
      <c r="H968" cm="1">
        <f t="array" aca="1" ref="H968" ca="1">ROW(INDIRECT(A968))</f>
        <v>76</v>
      </c>
      <c r="I968" cm="1">
        <f t="array" aca="1" ref="I968" ca="1">COLUMN(INDIRECT(A968))</f>
        <v>14</v>
      </c>
      <c r="M968" t="str" cm="1">
        <f t="array" aca="1" ref="M968" ca="1">IF(AND(J968="O",ISBLANK(INDIRECT(A968))),"Valeur obligatoire non renseignée","")</f>
        <v/>
      </c>
    </row>
    <row r="969" spans="1:13" x14ac:dyDescent="0.25">
      <c r="A969" s="91" t="s">
        <v>3562</v>
      </c>
      <c r="B969" cm="1">
        <f t="array" aca="1" ref="B969" ca="1">INDIRECT(A969)</f>
        <v>0</v>
      </c>
      <c r="C969">
        <f t="shared" ca="1" si="60"/>
        <v>5</v>
      </c>
      <c r="D969" t="str" cm="1">
        <f t="array" aca="1" ref="D969" ca="1">CELL("nomfichier",INDIRECT(A969))</f>
        <v>G:\SCPE\sdc\bq\6 - Mentions valorisantes\Certification environnementale\TEXTES_REGLEMENTATION_CE\Plans_contrôle et grilles\Grille audit niveau 3\Grille d'audit v1.11\[grille-audit-hvev4-v1.11-vf.xlsx]Surfaces_Horti</v>
      </c>
      <c r="E969">
        <f t="shared" ca="1" si="61"/>
        <v>200</v>
      </c>
      <c r="F969">
        <f t="shared" ca="1" si="62"/>
        <v>214</v>
      </c>
      <c r="G969" t="str">
        <f t="shared" ca="1" si="63"/>
        <v>Surfaces_Horti</v>
      </c>
      <c r="H969" cm="1">
        <f t="array" aca="1" ref="H969" ca="1">ROW(INDIRECT(A969))</f>
        <v>77</v>
      </c>
      <c r="I969" cm="1">
        <f t="array" aca="1" ref="I969" ca="1">COLUMN(INDIRECT(A969))</f>
        <v>2</v>
      </c>
      <c r="M969" t="str" cm="1">
        <f t="array" aca="1" ref="M969" ca="1">IF(AND(J969="O",ISBLANK(INDIRECT(A969))),"Valeur obligatoire non renseignée","")</f>
        <v/>
      </c>
    </row>
    <row r="970" spans="1:13" x14ac:dyDescent="0.25">
      <c r="A970" s="91" t="s">
        <v>3589</v>
      </c>
      <c r="B970" cm="1">
        <f t="array" aca="1" ref="B970" ca="1">INDIRECT(A970)</f>
        <v>0</v>
      </c>
      <c r="C970">
        <f t="shared" ca="1" si="60"/>
        <v>5</v>
      </c>
      <c r="D970" t="str" cm="1">
        <f t="array" aca="1" ref="D970" ca="1">CELL("nomfichier",INDIRECT(A970))</f>
        <v>G:\SCPE\sdc\bq\6 - Mentions valorisantes\Certification environnementale\TEXTES_REGLEMENTATION_CE\Plans_contrôle et grilles\Grille audit niveau 3\Grille d'audit v1.11\[grille-audit-hvev4-v1.11-vf.xlsx]Surfaces_Horti</v>
      </c>
      <c r="E970">
        <f t="shared" ca="1" si="61"/>
        <v>200</v>
      </c>
      <c r="F970">
        <f t="shared" ca="1" si="62"/>
        <v>214</v>
      </c>
      <c r="G970" t="str">
        <f t="shared" ca="1" si="63"/>
        <v>Surfaces_Horti</v>
      </c>
      <c r="H970" cm="1">
        <f t="array" aca="1" ref="H970" ca="1">ROW(INDIRECT(A970))</f>
        <v>77</v>
      </c>
      <c r="I970" cm="1">
        <f t="array" aca="1" ref="I970" ca="1">COLUMN(INDIRECT(A970))</f>
        <v>3</v>
      </c>
      <c r="M970" t="str" cm="1">
        <f t="array" aca="1" ref="M970" ca="1">IF(AND(J970="O",ISBLANK(INDIRECT(A970))),"Valeur obligatoire non renseignée","")</f>
        <v/>
      </c>
    </row>
    <row r="971" spans="1:13" x14ac:dyDescent="0.25">
      <c r="A971" s="91" t="s">
        <v>3616</v>
      </c>
      <c r="B971" cm="1">
        <f t="array" aca="1" ref="B971" ca="1">INDIRECT(A971)</f>
        <v>0</v>
      </c>
      <c r="C971">
        <f t="shared" ca="1" si="60"/>
        <v>5</v>
      </c>
      <c r="D971" t="str" cm="1">
        <f t="array" aca="1" ref="D971" ca="1">CELL("nomfichier",INDIRECT(A971))</f>
        <v>G:\SCPE\sdc\bq\6 - Mentions valorisantes\Certification environnementale\TEXTES_REGLEMENTATION_CE\Plans_contrôle et grilles\Grille audit niveau 3\Grille d'audit v1.11\[grille-audit-hvev4-v1.11-vf.xlsx]Surfaces_Horti</v>
      </c>
      <c r="E971">
        <f t="shared" ca="1" si="61"/>
        <v>200</v>
      </c>
      <c r="F971">
        <f t="shared" ca="1" si="62"/>
        <v>214</v>
      </c>
      <c r="G971" t="str">
        <f t="shared" ca="1" si="63"/>
        <v>Surfaces_Horti</v>
      </c>
      <c r="H971" cm="1">
        <f t="array" aca="1" ref="H971" ca="1">ROW(INDIRECT(A971))</f>
        <v>77</v>
      </c>
      <c r="I971" cm="1">
        <f t="array" aca="1" ref="I971" ca="1">COLUMN(INDIRECT(A971))</f>
        <v>4</v>
      </c>
      <c r="M971" t="str" cm="1">
        <f t="array" aca="1" ref="M971" ca="1">IF(AND(J971="O",ISBLANK(INDIRECT(A971))),"Valeur obligatoire non renseignée","")</f>
        <v/>
      </c>
    </row>
    <row r="972" spans="1:13" x14ac:dyDescent="0.25">
      <c r="A972" s="91" t="s">
        <v>3643</v>
      </c>
      <c r="B972" cm="1">
        <f t="array" aca="1" ref="B972" ca="1">INDIRECT(A972)</f>
        <v>0</v>
      </c>
      <c r="C972">
        <f t="shared" ca="1" si="60"/>
        <v>5</v>
      </c>
      <c r="D972" t="str" cm="1">
        <f t="array" aca="1" ref="D972" ca="1">CELL("nomfichier",INDIRECT(A972))</f>
        <v>G:\SCPE\sdc\bq\6 - Mentions valorisantes\Certification environnementale\TEXTES_REGLEMENTATION_CE\Plans_contrôle et grilles\Grille audit niveau 3\Grille d'audit v1.11\[grille-audit-hvev4-v1.11-vf.xlsx]Surfaces_Horti</v>
      </c>
      <c r="E972">
        <f t="shared" ca="1" si="61"/>
        <v>200</v>
      </c>
      <c r="F972">
        <f t="shared" ca="1" si="62"/>
        <v>214</v>
      </c>
      <c r="G972" t="str">
        <f t="shared" ca="1" si="63"/>
        <v>Surfaces_Horti</v>
      </c>
      <c r="H972" cm="1">
        <f t="array" aca="1" ref="H972" ca="1">ROW(INDIRECT(A972))</f>
        <v>77</v>
      </c>
      <c r="I972" cm="1">
        <f t="array" aca="1" ref="I972" ca="1">COLUMN(INDIRECT(A972))</f>
        <v>5</v>
      </c>
      <c r="M972" t="str" cm="1">
        <f t="array" aca="1" ref="M972" ca="1">IF(AND(J972="O",ISBLANK(INDIRECT(A972))),"Valeur obligatoire non renseignée","")</f>
        <v/>
      </c>
    </row>
    <row r="973" spans="1:13" x14ac:dyDescent="0.25">
      <c r="A973" s="91" t="s">
        <v>3670</v>
      </c>
      <c r="B973" cm="1">
        <f t="array" aca="1" ref="B973" ca="1">INDIRECT(A973)</f>
        <v>0</v>
      </c>
      <c r="C973">
        <f t="shared" ca="1" si="60"/>
        <v>5</v>
      </c>
      <c r="D973" t="str" cm="1">
        <f t="array" aca="1" ref="D973" ca="1">CELL("nomfichier",INDIRECT(A973))</f>
        <v>G:\SCPE\sdc\bq\6 - Mentions valorisantes\Certification environnementale\TEXTES_REGLEMENTATION_CE\Plans_contrôle et grilles\Grille audit niveau 3\Grille d'audit v1.11\[grille-audit-hvev4-v1.11-vf.xlsx]Surfaces_Horti</v>
      </c>
      <c r="E973">
        <f t="shared" ca="1" si="61"/>
        <v>200</v>
      </c>
      <c r="F973">
        <f t="shared" ca="1" si="62"/>
        <v>214</v>
      </c>
      <c r="G973" t="str">
        <f t="shared" ca="1" si="63"/>
        <v>Surfaces_Horti</v>
      </c>
      <c r="H973" cm="1">
        <f t="array" aca="1" ref="H973" ca="1">ROW(INDIRECT(A973))</f>
        <v>77</v>
      </c>
      <c r="I973" cm="1">
        <f t="array" aca="1" ref="I973" ca="1">COLUMN(INDIRECT(A973))</f>
        <v>6</v>
      </c>
      <c r="M973" t="str" cm="1">
        <f t="array" aca="1" ref="M973" ca="1">IF(AND(J973="O",ISBLANK(INDIRECT(A973))),"Valeur obligatoire non renseignée","")</f>
        <v/>
      </c>
    </row>
    <row r="974" spans="1:13" x14ac:dyDescent="0.25">
      <c r="A974" s="91" t="s">
        <v>3697</v>
      </c>
      <c r="B974" cm="1">
        <f t="array" aca="1" ref="B974" ca="1">INDIRECT(A974)</f>
        <v>0</v>
      </c>
      <c r="C974">
        <f t="shared" ca="1" si="60"/>
        <v>5</v>
      </c>
      <c r="D974" t="str" cm="1">
        <f t="array" aca="1" ref="D974" ca="1">CELL("nomfichier",INDIRECT(A974))</f>
        <v>G:\SCPE\sdc\bq\6 - Mentions valorisantes\Certification environnementale\TEXTES_REGLEMENTATION_CE\Plans_contrôle et grilles\Grille audit niveau 3\Grille d'audit v1.11\[grille-audit-hvev4-v1.11-vf.xlsx]Surfaces_Horti</v>
      </c>
      <c r="E974">
        <f t="shared" ca="1" si="61"/>
        <v>200</v>
      </c>
      <c r="F974">
        <f t="shared" ca="1" si="62"/>
        <v>214</v>
      </c>
      <c r="G974" t="str">
        <f t="shared" ca="1" si="63"/>
        <v>Surfaces_Horti</v>
      </c>
      <c r="H974" cm="1">
        <f t="array" aca="1" ref="H974" ca="1">ROW(INDIRECT(A974))</f>
        <v>77</v>
      </c>
      <c r="I974" cm="1">
        <f t="array" aca="1" ref="I974" ca="1">COLUMN(INDIRECT(A974))</f>
        <v>7</v>
      </c>
      <c r="M974" t="str" cm="1">
        <f t="array" aca="1" ref="M974" ca="1">IF(AND(J974="O",ISBLANK(INDIRECT(A974))),"Valeur obligatoire non renseignée","")</f>
        <v/>
      </c>
    </row>
    <row r="975" spans="1:13" x14ac:dyDescent="0.25">
      <c r="A975" s="91" t="s">
        <v>3724</v>
      </c>
      <c r="B975" cm="1">
        <f t="array" aca="1" ref="B975" ca="1">INDIRECT(A975)</f>
        <v>0</v>
      </c>
      <c r="C975">
        <f t="shared" ca="1" si="60"/>
        <v>5</v>
      </c>
      <c r="D975" t="str" cm="1">
        <f t="array" aca="1" ref="D975" ca="1">CELL("nomfichier",INDIRECT(A975))</f>
        <v>G:\SCPE\sdc\bq\6 - Mentions valorisantes\Certification environnementale\TEXTES_REGLEMENTATION_CE\Plans_contrôle et grilles\Grille audit niveau 3\Grille d'audit v1.11\[grille-audit-hvev4-v1.11-vf.xlsx]Surfaces_Horti</v>
      </c>
      <c r="E975">
        <f t="shared" ca="1" si="61"/>
        <v>200</v>
      </c>
      <c r="F975">
        <f t="shared" ca="1" si="62"/>
        <v>214</v>
      </c>
      <c r="G975" t="str">
        <f t="shared" ca="1" si="63"/>
        <v>Surfaces_Horti</v>
      </c>
      <c r="H975" cm="1">
        <f t="array" aca="1" ref="H975" ca="1">ROW(INDIRECT(A975))</f>
        <v>77</v>
      </c>
      <c r="I975" cm="1">
        <f t="array" aca="1" ref="I975" ca="1">COLUMN(INDIRECT(A975))</f>
        <v>8</v>
      </c>
      <c r="M975" t="str" cm="1">
        <f t="array" aca="1" ref="M975" ca="1">IF(AND(J975="O",ISBLANK(INDIRECT(A975))),"Valeur obligatoire non renseignée","")</f>
        <v/>
      </c>
    </row>
    <row r="976" spans="1:13" x14ac:dyDescent="0.25">
      <c r="A976" s="91" t="s">
        <v>3751</v>
      </c>
      <c r="B976" cm="1">
        <f t="array" aca="1" ref="B976" ca="1">INDIRECT(A976)</f>
        <v>0</v>
      </c>
      <c r="C976">
        <f t="shared" ca="1" si="60"/>
        <v>5</v>
      </c>
      <c r="D976" t="str" cm="1">
        <f t="array" aca="1" ref="D976" ca="1">CELL("nomfichier",INDIRECT(A976))</f>
        <v>G:\SCPE\sdc\bq\6 - Mentions valorisantes\Certification environnementale\TEXTES_REGLEMENTATION_CE\Plans_contrôle et grilles\Grille audit niveau 3\Grille d'audit v1.11\[grille-audit-hvev4-v1.11-vf.xlsx]Surfaces_Horti</v>
      </c>
      <c r="E976">
        <f t="shared" ca="1" si="61"/>
        <v>200</v>
      </c>
      <c r="F976">
        <f t="shared" ca="1" si="62"/>
        <v>214</v>
      </c>
      <c r="G976" t="str">
        <f t="shared" ca="1" si="63"/>
        <v>Surfaces_Horti</v>
      </c>
      <c r="H976" cm="1">
        <f t="array" aca="1" ref="H976" ca="1">ROW(INDIRECT(A976))</f>
        <v>77</v>
      </c>
      <c r="I976" cm="1">
        <f t="array" aca="1" ref="I976" ca="1">COLUMN(INDIRECT(A976))</f>
        <v>9</v>
      </c>
      <c r="M976" t="str" cm="1">
        <f t="array" aca="1" ref="M976" ca="1">IF(AND(J976="O",ISBLANK(INDIRECT(A976))),"Valeur obligatoire non renseignée","")</f>
        <v/>
      </c>
    </row>
    <row r="977" spans="1:13" x14ac:dyDescent="0.25">
      <c r="A977" s="91" t="s">
        <v>3778</v>
      </c>
      <c r="B977" cm="1">
        <f t="array" aca="1" ref="B977" ca="1">INDIRECT(A977)</f>
        <v>0</v>
      </c>
      <c r="C977">
        <f t="shared" ca="1" si="60"/>
        <v>5</v>
      </c>
      <c r="D977" t="str" cm="1">
        <f t="array" aca="1" ref="D977" ca="1">CELL("nomfichier",INDIRECT(A977))</f>
        <v>G:\SCPE\sdc\bq\6 - Mentions valorisantes\Certification environnementale\TEXTES_REGLEMENTATION_CE\Plans_contrôle et grilles\Grille audit niveau 3\Grille d'audit v1.11\[grille-audit-hvev4-v1.11-vf.xlsx]Surfaces_Horti</v>
      </c>
      <c r="E977">
        <f t="shared" ca="1" si="61"/>
        <v>200</v>
      </c>
      <c r="F977">
        <f t="shared" ca="1" si="62"/>
        <v>214</v>
      </c>
      <c r="G977" t="str">
        <f t="shared" ca="1" si="63"/>
        <v>Surfaces_Horti</v>
      </c>
      <c r="H977" cm="1">
        <f t="array" aca="1" ref="H977" ca="1">ROW(INDIRECT(A977))</f>
        <v>77</v>
      </c>
      <c r="I977" cm="1">
        <f t="array" aca="1" ref="I977" ca="1">COLUMN(INDIRECT(A977))</f>
        <v>10</v>
      </c>
      <c r="M977" t="str" cm="1">
        <f t="array" aca="1" ref="M977" ca="1">IF(AND(J977="O",ISBLANK(INDIRECT(A977))),"Valeur obligatoire non renseignée","")</f>
        <v/>
      </c>
    </row>
    <row r="978" spans="1:13" x14ac:dyDescent="0.25">
      <c r="A978" s="91" t="s">
        <v>3805</v>
      </c>
      <c r="B978" cm="1">
        <f t="array" aca="1" ref="B978" ca="1">INDIRECT(A978)</f>
        <v>0</v>
      </c>
      <c r="C978">
        <f t="shared" ca="1" si="60"/>
        <v>5</v>
      </c>
      <c r="D978" t="str" cm="1">
        <f t="array" aca="1" ref="D978" ca="1">CELL("nomfichier",INDIRECT(A978))</f>
        <v>G:\SCPE\sdc\bq\6 - Mentions valorisantes\Certification environnementale\TEXTES_REGLEMENTATION_CE\Plans_contrôle et grilles\Grille audit niveau 3\Grille d'audit v1.11\[grille-audit-hvev4-v1.11-vf.xlsx]Surfaces_Horti</v>
      </c>
      <c r="E978">
        <f t="shared" ca="1" si="61"/>
        <v>200</v>
      </c>
      <c r="F978">
        <f t="shared" ca="1" si="62"/>
        <v>214</v>
      </c>
      <c r="G978" t="str">
        <f t="shared" ca="1" si="63"/>
        <v>Surfaces_Horti</v>
      </c>
      <c r="H978" cm="1">
        <f t="array" aca="1" ref="H978" ca="1">ROW(INDIRECT(A978))</f>
        <v>77</v>
      </c>
      <c r="I978" cm="1">
        <f t="array" aca="1" ref="I978" ca="1">COLUMN(INDIRECT(A978))</f>
        <v>11</v>
      </c>
      <c r="M978" t="str" cm="1">
        <f t="array" aca="1" ref="M978" ca="1">IF(AND(J978="O",ISBLANK(INDIRECT(A978))),"Valeur obligatoire non renseignée","")</f>
        <v/>
      </c>
    </row>
    <row r="979" spans="1:13" x14ac:dyDescent="0.25">
      <c r="A979" s="91" t="s">
        <v>3832</v>
      </c>
      <c r="B979" cm="1">
        <f t="array" aca="1" ref="B979" ca="1">INDIRECT(A979)</f>
        <v>0</v>
      </c>
      <c r="C979">
        <f t="shared" ca="1" si="60"/>
        <v>5</v>
      </c>
      <c r="D979" t="str" cm="1">
        <f t="array" aca="1" ref="D979" ca="1">CELL("nomfichier",INDIRECT(A979))</f>
        <v>G:\SCPE\sdc\bq\6 - Mentions valorisantes\Certification environnementale\TEXTES_REGLEMENTATION_CE\Plans_contrôle et grilles\Grille audit niveau 3\Grille d'audit v1.11\[grille-audit-hvev4-v1.11-vf.xlsx]Surfaces_Horti</v>
      </c>
      <c r="E979">
        <f t="shared" ca="1" si="61"/>
        <v>200</v>
      </c>
      <c r="F979">
        <f t="shared" ca="1" si="62"/>
        <v>214</v>
      </c>
      <c r="G979" t="str">
        <f t="shared" ca="1" si="63"/>
        <v>Surfaces_Horti</v>
      </c>
      <c r="H979" cm="1">
        <f t="array" aca="1" ref="H979" ca="1">ROW(INDIRECT(A979))</f>
        <v>77</v>
      </c>
      <c r="I979" cm="1">
        <f t="array" aca="1" ref="I979" ca="1">COLUMN(INDIRECT(A979))</f>
        <v>12</v>
      </c>
      <c r="M979" t="str" cm="1">
        <f t="array" aca="1" ref="M979" ca="1">IF(AND(J979="O",ISBLANK(INDIRECT(A979))),"Valeur obligatoire non renseignée","")</f>
        <v/>
      </c>
    </row>
    <row r="980" spans="1:13" x14ac:dyDescent="0.25">
      <c r="A980" s="91" t="s">
        <v>3859</v>
      </c>
      <c r="B980" cm="1">
        <f t="array" aca="1" ref="B980" ca="1">INDIRECT(A980)</f>
        <v>0</v>
      </c>
      <c r="C980">
        <f t="shared" ca="1" si="60"/>
        <v>5</v>
      </c>
      <c r="D980" t="str" cm="1">
        <f t="array" aca="1" ref="D980" ca="1">CELL("nomfichier",INDIRECT(A980))</f>
        <v>G:\SCPE\sdc\bq\6 - Mentions valorisantes\Certification environnementale\TEXTES_REGLEMENTATION_CE\Plans_contrôle et grilles\Grille audit niveau 3\Grille d'audit v1.11\[grille-audit-hvev4-v1.11-vf.xlsx]Surfaces_Horti</v>
      </c>
      <c r="E980">
        <f t="shared" ca="1" si="61"/>
        <v>200</v>
      </c>
      <c r="F980">
        <f t="shared" ca="1" si="62"/>
        <v>214</v>
      </c>
      <c r="G980" t="str">
        <f t="shared" ca="1" si="63"/>
        <v>Surfaces_Horti</v>
      </c>
      <c r="H980" cm="1">
        <f t="array" aca="1" ref="H980" ca="1">ROW(INDIRECT(A980))</f>
        <v>77</v>
      </c>
      <c r="I980" cm="1">
        <f t="array" aca="1" ref="I980" ca="1">COLUMN(INDIRECT(A980))</f>
        <v>13</v>
      </c>
      <c r="M980" t="str" cm="1">
        <f t="array" aca="1" ref="M980" ca="1">IF(AND(J980="O",ISBLANK(INDIRECT(A980))),"Valeur obligatoire non renseignée","")</f>
        <v/>
      </c>
    </row>
    <row r="981" spans="1:13" x14ac:dyDescent="0.25">
      <c r="A981" s="91" t="s">
        <v>3886</v>
      </c>
      <c r="B981" cm="1">
        <f t="array" aca="1" ref="B981" ca="1">INDIRECT(A981)</f>
        <v>0</v>
      </c>
      <c r="C981">
        <f t="shared" ca="1" si="60"/>
        <v>5</v>
      </c>
      <c r="D981" t="str" cm="1">
        <f t="array" aca="1" ref="D981" ca="1">CELL("nomfichier",INDIRECT(A981))</f>
        <v>G:\SCPE\sdc\bq\6 - Mentions valorisantes\Certification environnementale\TEXTES_REGLEMENTATION_CE\Plans_contrôle et grilles\Grille audit niveau 3\Grille d'audit v1.11\[grille-audit-hvev4-v1.11-vf.xlsx]Surfaces_Horti</v>
      </c>
      <c r="E981">
        <f t="shared" ca="1" si="61"/>
        <v>200</v>
      </c>
      <c r="F981">
        <f t="shared" ca="1" si="62"/>
        <v>214</v>
      </c>
      <c r="G981" t="str">
        <f t="shared" ca="1" si="63"/>
        <v>Surfaces_Horti</v>
      </c>
      <c r="H981" cm="1">
        <f t="array" aca="1" ref="H981" ca="1">ROW(INDIRECT(A981))</f>
        <v>77</v>
      </c>
      <c r="I981" cm="1">
        <f t="array" aca="1" ref="I981" ca="1">COLUMN(INDIRECT(A981))</f>
        <v>14</v>
      </c>
      <c r="M981" t="str" cm="1">
        <f t="array" aca="1" ref="M981" ca="1">IF(AND(J981="O",ISBLANK(INDIRECT(A981))),"Valeur obligatoire non renseignée","")</f>
        <v/>
      </c>
    </row>
    <row r="982" spans="1:13" x14ac:dyDescent="0.25">
      <c r="A982" s="91" t="s">
        <v>3563</v>
      </c>
      <c r="B982" cm="1">
        <f t="array" aca="1" ref="B982" ca="1">INDIRECT(A982)</f>
        <v>0</v>
      </c>
      <c r="C982">
        <f t="shared" ca="1" si="60"/>
        <v>5</v>
      </c>
      <c r="D982" t="str" cm="1">
        <f t="array" aca="1" ref="D982" ca="1">CELL("nomfichier",INDIRECT(A982))</f>
        <v>G:\SCPE\sdc\bq\6 - Mentions valorisantes\Certification environnementale\TEXTES_REGLEMENTATION_CE\Plans_contrôle et grilles\Grille audit niveau 3\Grille d'audit v1.11\[grille-audit-hvev4-v1.11-vf.xlsx]Surfaces_Horti</v>
      </c>
      <c r="E982">
        <f t="shared" ca="1" si="61"/>
        <v>200</v>
      </c>
      <c r="F982">
        <f t="shared" ca="1" si="62"/>
        <v>214</v>
      </c>
      <c r="G982" t="str">
        <f t="shared" ca="1" si="63"/>
        <v>Surfaces_Horti</v>
      </c>
      <c r="H982" cm="1">
        <f t="array" aca="1" ref="H982" ca="1">ROW(INDIRECT(A982))</f>
        <v>78</v>
      </c>
      <c r="I982" cm="1">
        <f t="array" aca="1" ref="I982" ca="1">COLUMN(INDIRECT(A982))</f>
        <v>2</v>
      </c>
      <c r="M982" t="str" cm="1">
        <f t="array" aca="1" ref="M982" ca="1">IF(AND(J982="O",ISBLANK(INDIRECT(A982))),"Valeur obligatoire non renseignée","")</f>
        <v/>
      </c>
    </row>
    <row r="983" spans="1:13" x14ac:dyDescent="0.25">
      <c r="A983" s="91" t="s">
        <v>3590</v>
      </c>
      <c r="B983" cm="1">
        <f t="array" aca="1" ref="B983" ca="1">INDIRECT(A983)</f>
        <v>0</v>
      </c>
      <c r="C983">
        <f t="shared" ca="1" si="60"/>
        <v>5</v>
      </c>
      <c r="D983" t="str" cm="1">
        <f t="array" aca="1" ref="D983" ca="1">CELL("nomfichier",INDIRECT(A983))</f>
        <v>G:\SCPE\sdc\bq\6 - Mentions valorisantes\Certification environnementale\TEXTES_REGLEMENTATION_CE\Plans_contrôle et grilles\Grille audit niveau 3\Grille d'audit v1.11\[grille-audit-hvev4-v1.11-vf.xlsx]Surfaces_Horti</v>
      </c>
      <c r="E983">
        <f t="shared" ca="1" si="61"/>
        <v>200</v>
      </c>
      <c r="F983">
        <f t="shared" ca="1" si="62"/>
        <v>214</v>
      </c>
      <c r="G983" t="str">
        <f t="shared" ca="1" si="63"/>
        <v>Surfaces_Horti</v>
      </c>
      <c r="H983" cm="1">
        <f t="array" aca="1" ref="H983" ca="1">ROW(INDIRECT(A983))</f>
        <v>78</v>
      </c>
      <c r="I983" cm="1">
        <f t="array" aca="1" ref="I983" ca="1">COLUMN(INDIRECT(A983))</f>
        <v>3</v>
      </c>
      <c r="M983" t="str" cm="1">
        <f t="array" aca="1" ref="M983" ca="1">IF(AND(J983="O",ISBLANK(INDIRECT(A983))),"Valeur obligatoire non renseignée","")</f>
        <v/>
      </c>
    </row>
    <row r="984" spans="1:13" x14ac:dyDescent="0.25">
      <c r="A984" s="91" t="s">
        <v>3617</v>
      </c>
      <c r="B984" cm="1">
        <f t="array" aca="1" ref="B984" ca="1">INDIRECT(A984)</f>
        <v>0</v>
      </c>
      <c r="C984">
        <f t="shared" ca="1" si="60"/>
        <v>5</v>
      </c>
      <c r="D984" t="str" cm="1">
        <f t="array" aca="1" ref="D984" ca="1">CELL("nomfichier",INDIRECT(A984))</f>
        <v>G:\SCPE\sdc\bq\6 - Mentions valorisantes\Certification environnementale\TEXTES_REGLEMENTATION_CE\Plans_contrôle et grilles\Grille audit niveau 3\Grille d'audit v1.11\[grille-audit-hvev4-v1.11-vf.xlsx]Surfaces_Horti</v>
      </c>
      <c r="E984">
        <f t="shared" ca="1" si="61"/>
        <v>200</v>
      </c>
      <c r="F984">
        <f t="shared" ca="1" si="62"/>
        <v>214</v>
      </c>
      <c r="G984" t="str">
        <f t="shared" ca="1" si="63"/>
        <v>Surfaces_Horti</v>
      </c>
      <c r="H984" cm="1">
        <f t="array" aca="1" ref="H984" ca="1">ROW(INDIRECT(A984))</f>
        <v>78</v>
      </c>
      <c r="I984" cm="1">
        <f t="array" aca="1" ref="I984" ca="1">COLUMN(INDIRECT(A984))</f>
        <v>4</v>
      </c>
      <c r="M984" t="str" cm="1">
        <f t="array" aca="1" ref="M984" ca="1">IF(AND(J984="O",ISBLANK(INDIRECT(A984))),"Valeur obligatoire non renseignée","")</f>
        <v/>
      </c>
    </row>
    <row r="985" spans="1:13" x14ac:dyDescent="0.25">
      <c r="A985" s="91" t="s">
        <v>3644</v>
      </c>
      <c r="B985" cm="1">
        <f t="array" aca="1" ref="B985" ca="1">INDIRECT(A985)</f>
        <v>0</v>
      </c>
      <c r="C985">
        <f t="shared" ca="1" si="60"/>
        <v>5</v>
      </c>
      <c r="D985" t="str" cm="1">
        <f t="array" aca="1" ref="D985" ca="1">CELL("nomfichier",INDIRECT(A985))</f>
        <v>G:\SCPE\sdc\bq\6 - Mentions valorisantes\Certification environnementale\TEXTES_REGLEMENTATION_CE\Plans_contrôle et grilles\Grille audit niveau 3\Grille d'audit v1.11\[grille-audit-hvev4-v1.11-vf.xlsx]Surfaces_Horti</v>
      </c>
      <c r="E985">
        <f t="shared" ca="1" si="61"/>
        <v>200</v>
      </c>
      <c r="F985">
        <f t="shared" ca="1" si="62"/>
        <v>214</v>
      </c>
      <c r="G985" t="str">
        <f t="shared" ca="1" si="63"/>
        <v>Surfaces_Horti</v>
      </c>
      <c r="H985" cm="1">
        <f t="array" aca="1" ref="H985" ca="1">ROW(INDIRECT(A985))</f>
        <v>78</v>
      </c>
      <c r="I985" cm="1">
        <f t="array" aca="1" ref="I985" ca="1">COLUMN(INDIRECT(A985))</f>
        <v>5</v>
      </c>
      <c r="M985" t="str" cm="1">
        <f t="array" aca="1" ref="M985" ca="1">IF(AND(J985="O",ISBLANK(INDIRECT(A985))),"Valeur obligatoire non renseignée","")</f>
        <v/>
      </c>
    </row>
    <row r="986" spans="1:13" x14ac:dyDescent="0.25">
      <c r="A986" s="91" t="s">
        <v>3671</v>
      </c>
      <c r="B986" cm="1">
        <f t="array" aca="1" ref="B986" ca="1">INDIRECT(A986)</f>
        <v>0</v>
      </c>
      <c r="C986">
        <f t="shared" ca="1" si="60"/>
        <v>5</v>
      </c>
      <c r="D986" t="str" cm="1">
        <f t="array" aca="1" ref="D986" ca="1">CELL("nomfichier",INDIRECT(A986))</f>
        <v>G:\SCPE\sdc\bq\6 - Mentions valorisantes\Certification environnementale\TEXTES_REGLEMENTATION_CE\Plans_contrôle et grilles\Grille audit niveau 3\Grille d'audit v1.11\[grille-audit-hvev4-v1.11-vf.xlsx]Surfaces_Horti</v>
      </c>
      <c r="E986">
        <f t="shared" ca="1" si="61"/>
        <v>200</v>
      </c>
      <c r="F986">
        <f t="shared" ca="1" si="62"/>
        <v>214</v>
      </c>
      <c r="G986" t="str">
        <f t="shared" ca="1" si="63"/>
        <v>Surfaces_Horti</v>
      </c>
      <c r="H986" cm="1">
        <f t="array" aca="1" ref="H986" ca="1">ROW(INDIRECT(A986))</f>
        <v>78</v>
      </c>
      <c r="I986" cm="1">
        <f t="array" aca="1" ref="I986" ca="1">COLUMN(INDIRECT(A986))</f>
        <v>6</v>
      </c>
      <c r="M986" t="str" cm="1">
        <f t="array" aca="1" ref="M986" ca="1">IF(AND(J986="O",ISBLANK(INDIRECT(A986))),"Valeur obligatoire non renseignée","")</f>
        <v/>
      </c>
    </row>
    <row r="987" spans="1:13" x14ac:dyDescent="0.25">
      <c r="A987" s="91" t="s">
        <v>3698</v>
      </c>
      <c r="B987" cm="1">
        <f t="array" aca="1" ref="B987" ca="1">INDIRECT(A987)</f>
        <v>0</v>
      </c>
      <c r="C987">
        <f t="shared" ca="1" si="60"/>
        <v>5</v>
      </c>
      <c r="D987" t="str" cm="1">
        <f t="array" aca="1" ref="D987" ca="1">CELL("nomfichier",INDIRECT(A987))</f>
        <v>G:\SCPE\sdc\bq\6 - Mentions valorisantes\Certification environnementale\TEXTES_REGLEMENTATION_CE\Plans_contrôle et grilles\Grille audit niveau 3\Grille d'audit v1.11\[grille-audit-hvev4-v1.11-vf.xlsx]Surfaces_Horti</v>
      </c>
      <c r="E987">
        <f t="shared" ca="1" si="61"/>
        <v>200</v>
      </c>
      <c r="F987">
        <f t="shared" ca="1" si="62"/>
        <v>214</v>
      </c>
      <c r="G987" t="str">
        <f t="shared" ca="1" si="63"/>
        <v>Surfaces_Horti</v>
      </c>
      <c r="H987" cm="1">
        <f t="array" aca="1" ref="H987" ca="1">ROW(INDIRECT(A987))</f>
        <v>78</v>
      </c>
      <c r="I987" cm="1">
        <f t="array" aca="1" ref="I987" ca="1">COLUMN(INDIRECT(A987))</f>
        <v>7</v>
      </c>
      <c r="M987" t="str" cm="1">
        <f t="array" aca="1" ref="M987" ca="1">IF(AND(J987="O",ISBLANK(INDIRECT(A987))),"Valeur obligatoire non renseignée","")</f>
        <v/>
      </c>
    </row>
    <row r="988" spans="1:13" x14ac:dyDescent="0.25">
      <c r="A988" s="91" t="s">
        <v>3725</v>
      </c>
      <c r="B988" cm="1">
        <f t="array" aca="1" ref="B988" ca="1">INDIRECT(A988)</f>
        <v>0</v>
      </c>
      <c r="C988">
        <f t="shared" ca="1" si="60"/>
        <v>5</v>
      </c>
      <c r="D988" t="str" cm="1">
        <f t="array" aca="1" ref="D988" ca="1">CELL("nomfichier",INDIRECT(A988))</f>
        <v>G:\SCPE\sdc\bq\6 - Mentions valorisantes\Certification environnementale\TEXTES_REGLEMENTATION_CE\Plans_contrôle et grilles\Grille audit niveau 3\Grille d'audit v1.11\[grille-audit-hvev4-v1.11-vf.xlsx]Surfaces_Horti</v>
      </c>
      <c r="E988">
        <f t="shared" ca="1" si="61"/>
        <v>200</v>
      </c>
      <c r="F988">
        <f t="shared" ca="1" si="62"/>
        <v>214</v>
      </c>
      <c r="G988" t="str">
        <f t="shared" ca="1" si="63"/>
        <v>Surfaces_Horti</v>
      </c>
      <c r="H988" cm="1">
        <f t="array" aca="1" ref="H988" ca="1">ROW(INDIRECT(A988))</f>
        <v>78</v>
      </c>
      <c r="I988" cm="1">
        <f t="array" aca="1" ref="I988" ca="1">COLUMN(INDIRECT(A988))</f>
        <v>8</v>
      </c>
      <c r="M988" t="str" cm="1">
        <f t="array" aca="1" ref="M988" ca="1">IF(AND(J988="O",ISBLANK(INDIRECT(A988))),"Valeur obligatoire non renseignée","")</f>
        <v/>
      </c>
    </row>
    <row r="989" spans="1:13" x14ac:dyDescent="0.25">
      <c r="A989" s="91" t="s">
        <v>3752</v>
      </c>
      <c r="B989" cm="1">
        <f t="array" aca="1" ref="B989" ca="1">INDIRECT(A989)</f>
        <v>0</v>
      </c>
      <c r="C989">
        <f t="shared" ca="1" si="60"/>
        <v>5</v>
      </c>
      <c r="D989" t="str" cm="1">
        <f t="array" aca="1" ref="D989" ca="1">CELL("nomfichier",INDIRECT(A989))</f>
        <v>G:\SCPE\sdc\bq\6 - Mentions valorisantes\Certification environnementale\TEXTES_REGLEMENTATION_CE\Plans_contrôle et grilles\Grille audit niveau 3\Grille d'audit v1.11\[grille-audit-hvev4-v1.11-vf.xlsx]Surfaces_Horti</v>
      </c>
      <c r="E989">
        <f t="shared" ca="1" si="61"/>
        <v>200</v>
      </c>
      <c r="F989">
        <f t="shared" ca="1" si="62"/>
        <v>214</v>
      </c>
      <c r="G989" t="str">
        <f t="shared" ca="1" si="63"/>
        <v>Surfaces_Horti</v>
      </c>
      <c r="H989" cm="1">
        <f t="array" aca="1" ref="H989" ca="1">ROW(INDIRECT(A989))</f>
        <v>78</v>
      </c>
      <c r="I989" cm="1">
        <f t="array" aca="1" ref="I989" ca="1">COLUMN(INDIRECT(A989))</f>
        <v>9</v>
      </c>
      <c r="M989" t="str" cm="1">
        <f t="array" aca="1" ref="M989" ca="1">IF(AND(J989="O",ISBLANK(INDIRECT(A989))),"Valeur obligatoire non renseignée","")</f>
        <v/>
      </c>
    </row>
    <row r="990" spans="1:13" x14ac:dyDescent="0.25">
      <c r="A990" s="91" t="s">
        <v>3779</v>
      </c>
      <c r="B990" cm="1">
        <f t="array" aca="1" ref="B990" ca="1">INDIRECT(A990)</f>
        <v>0</v>
      </c>
      <c r="C990">
        <f t="shared" ca="1" si="60"/>
        <v>5</v>
      </c>
      <c r="D990" t="str" cm="1">
        <f t="array" aca="1" ref="D990" ca="1">CELL("nomfichier",INDIRECT(A990))</f>
        <v>G:\SCPE\sdc\bq\6 - Mentions valorisantes\Certification environnementale\TEXTES_REGLEMENTATION_CE\Plans_contrôle et grilles\Grille audit niveau 3\Grille d'audit v1.11\[grille-audit-hvev4-v1.11-vf.xlsx]Surfaces_Horti</v>
      </c>
      <c r="E990">
        <f t="shared" ca="1" si="61"/>
        <v>200</v>
      </c>
      <c r="F990">
        <f t="shared" ca="1" si="62"/>
        <v>214</v>
      </c>
      <c r="G990" t="str">
        <f t="shared" ca="1" si="63"/>
        <v>Surfaces_Horti</v>
      </c>
      <c r="H990" cm="1">
        <f t="array" aca="1" ref="H990" ca="1">ROW(INDIRECT(A990))</f>
        <v>78</v>
      </c>
      <c r="I990" cm="1">
        <f t="array" aca="1" ref="I990" ca="1">COLUMN(INDIRECT(A990))</f>
        <v>10</v>
      </c>
      <c r="M990" t="str" cm="1">
        <f t="array" aca="1" ref="M990" ca="1">IF(AND(J990="O",ISBLANK(INDIRECT(A990))),"Valeur obligatoire non renseignée","")</f>
        <v/>
      </c>
    </row>
    <row r="991" spans="1:13" x14ac:dyDescent="0.25">
      <c r="A991" s="91" t="s">
        <v>3806</v>
      </c>
      <c r="B991" cm="1">
        <f t="array" aca="1" ref="B991" ca="1">INDIRECT(A991)</f>
        <v>0</v>
      </c>
      <c r="C991">
        <f t="shared" ca="1" si="60"/>
        <v>5</v>
      </c>
      <c r="D991" t="str" cm="1">
        <f t="array" aca="1" ref="D991" ca="1">CELL("nomfichier",INDIRECT(A991))</f>
        <v>G:\SCPE\sdc\bq\6 - Mentions valorisantes\Certification environnementale\TEXTES_REGLEMENTATION_CE\Plans_contrôle et grilles\Grille audit niveau 3\Grille d'audit v1.11\[grille-audit-hvev4-v1.11-vf.xlsx]Surfaces_Horti</v>
      </c>
      <c r="E991">
        <f t="shared" ca="1" si="61"/>
        <v>200</v>
      </c>
      <c r="F991">
        <f t="shared" ca="1" si="62"/>
        <v>214</v>
      </c>
      <c r="G991" t="str">
        <f t="shared" ca="1" si="63"/>
        <v>Surfaces_Horti</v>
      </c>
      <c r="H991" cm="1">
        <f t="array" aca="1" ref="H991" ca="1">ROW(INDIRECT(A991))</f>
        <v>78</v>
      </c>
      <c r="I991" cm="1">
        <f t="array" aca="1" ref="I991" ca="1">COLUMN(INDIRECT(A991))</f>
        <v>11</v>
      </c>
      <c r="M991" t="str" cm="1">
        <f t="array" aca="1" ref="M991" ca="1">IF(AND(J991="O",ISBLANK(INDIRECT(A991))),"Valeur obligatoire non renseignée","")</f>
        <v/>
      </c>
    </row>
    <row r="992" spans="1:13" x14ac:dyDescent="0.25">
      <c r="A992" s="91" t="s">
        <v>3833</v>
      </c>
      <c r="B992" cm="1">
        <f t="array" aca="1" ref="B992" ca="1">INDIRECT(A992)</f>
        <v>0</v>
      </c>
      <c r="C992">
        <f t="shared" ca="1" si="60"/>
        <v>5</v>
      </c>
      <c r="D992" t="str" cm="1">
        <f t="array" aca="1" ref="D992" ca="1">CELL("nomfichier",INDIRECT(A992))</f>
        <v>G:\SCPE\sdc\bq\6 - Mentions valorisantes\Certification environnementale\TEXTES_REGLEMENTATION_CE\Plans_contrôle et grilles\Grille audit niveau 3\Grille d'audit v1.11\[grille-audit-hvev4-v1.11-vf.xlsx]Surfaces_Horti</v>
      </c>
      <c r="E992">
        <f t="shared" ca="1" si="61"/>
        <v>200</v>
      </c>
      <c r="F992">
        <f t="shared" ca="1" si="62"/>
        <v>214</v>
      </c>
      <c r="G992" t="str">
        <f t="shared" ca="1" si="63"/>
        <v>Surfaces_Horti</v>
      </c>
      <c r="H992" cm="1">
        <f t="array" aca="1" ref="H992" ca="1">ROW(INDIRECT(A992))</f>
        <v>78</v>
      </c>
      <c r="I992" cm="1">
        <f t="array" aca="1" ref="I992" ca="1">COLUMN(INDIRECT(A992))</f>
        <v>12</v>
      </c>
      <c r="M992" t="str" cm="1">
        <f t="array" aca="1" ref="M992" ca="1">IF(AND(J992="O",ISBLANK(INDIRECT(A992))),"Valeur obligatoire non renseignée","")</f>
        <v/>
      </c>
    </row>
    <row r="993" spans="1:13" x14ac:dyDescent="0.25">
      <c r="A993" s="91" t="s">
        <v>3860</v>
      </c>
      <c r="B993" cm="1">
        <f t="array" aca="1" ref="B993" ca="1">INDIRECT(A993)</f>
        <v>0</v>
      </c>
      <c r="C993">
        <f t="shared" ca="1" si="60"/>
        <v>5</v>
      </c>
      <c r="D993" t="str" cm="1">
        <f t="array" aca="1" ref="D993" ca="1">CELL("nomfichier",INDIRECT(A993))</f>
        <v>G:\SCPE\sdc\bq\6 - Mentions valorisantes\Certification environnementale\TEXTES_REGLEMENTATION_CE\Plans_contrôle et grilles\Grille audit niveau 3\Grille d'audit v1.11\[grille-audit-hvev4-v1.11-vf.xlsx]Surfaces_Horti</v>
      </c>
      <c r="E993">
        <f t="shared" ca="1" si="61"/>
        <v>200</v>
      </c>
      <c r="F993">
        <f t="shared" ca="1" si="62"/>
        <v>214</v>
      </c>
      <c r="G993" t="str">
        <f t="shared" ca="1" si="63"/>
        <v>Surfaces_Horti</v>
      </c>
      <c r="H993" cm="1">
        <f t="array" aca="1" ref="H993" ca="1">ROW(INDIRECT(A993))</f>
        <v>78</v>
      </c>
      <c r="I993" cm="1">
        <f t="array" aca="1" ref="I993" ca="1">COLUMN(INDIRECT(A993))</f>
        <v>13</v>
      </c>
      <c r="M993" t="str" cm="1">
        <f t="array" aca="1" ref="M993" ca="1">IF(AND(J993="O",ISBLANK(INDIRECT(A993))),"Valeur obligatoire non renseignée","")</f>
        <v/>
      </c>
    </row>
    <row r="994" spans="1:13" x14ac:dyDescent="0.25">
      <c r="A994" s="91" t="s">
        <v>3887</v>
      </c>
      <c r="B994" cm="1">
        <f t="array" aca="1" ref="B994" ca="1">INDIRECT(A994)</f>
        <v>0</v>
      </c>
      <c r="C994">
        <f t="shared" ca="1" si="60"/>
        <v>5</v>
      </c>
      <c r="D994" t="str" cm="1">
        <f t="array" aca="1" ref="D994" ca="1">CELL("nomfichier",INDIRECT(A994))</f>
        <v>G:\SCPE\sdc\bq\6 - Mentions valorisantes\Certification environnementale\TEXTES_REGLEMENTATION_CE\Plans_contrôle et grilles\Grille audit niveau 3\Grille d'audit v1.11\[grille-audit-hvev4-v1.11-vf.xlsx]Surfaces_Horti</v>
      </c>
      <c r="E994">
        <f t="shared" ca="1" si="61"/>
        <v>200</v>
      </c>
      <c r="F994">
        <f t="shared" ca="1" si="62"/>
        <v>214</v>
      </c>
      <c r="G994" t="str">
        <f t="shared" ca="1" si="63"/>
        <v>Surfaces_Horti</v>
      </c>
      <c r="H994" cm="1">
        <f t="array" aca="1" ref="H994" ca="1">ROW(INDIRECT(A994))</f>
        <v>78</v>
      </c>
      <c r="I994" cm="1">
        <f t="array" aca="1" ref="I994" ca="1">COLUMN(INDIRECT(A994))</f>
        <v>14</v>
      </c>
      <c r="M994" t="str" cm="1">
        <f t="array" aca="1" ref="M994" ca="1">IF(AND(J994="O",ISBLANK(INDIRECT(A994))),"Valeur obligatoire non renseignée","")</f>
        <v/>
      </c>
    </row>
    <row r="995" spans="1:13" x14ac:dyDescent="0.25">
      <c r="A995" s="91" t="s">
        <v>3888</v>
      </c>
      <c r="B995" cm="1">
        <f t="array" aca="1" ref="B995" ca="1">INDIRECT(A995)</f>
        <v>0</v>
      </c>
      <c r="C995">
        <f t="shared" ca="1" si="60"/>
        <v>5</v>
      </c>
      <c r="D995" t="str" cm="1">
        <f t="array" aca="1" ref="D995" ca="1">CELL("nomfichier",INDIRECT(A995))</f>
        <v>G:\SCPE\sdc\bq\6 - Mentions valorisantes\Certification environnementale\TEXTES_REGLEMENTATION_CE\Plans_contrôle et grilles\Grille audit niveau 3\Grille d'audit v1.11\[grille-audit-hvev4-v1.11-vf.xlsx]Surfaces_Horti</v>
      </c>
      <c r="E995">
        <f t="shared" ca="1" si="61"/>
        <v>200</v>
      </c>
      <c r="F995">
        <f t="shared" ca="1" si="62"/>
        <v>214</v>
      </c>
      <c r="G995" t="str">
        <f t="shared" ca="1" si="63"/>
        <v>Surfaces_Horti</v>
      </c>
      <c r="H995" cm="1">
        <f t="array" aca="1" ref="H995" ca="1">ROW(INDIRECT(A995))</f>
        <v>86</v>
      </c>
      <c r="I995" cm="1">
        <f t="array" aca="1" ref="I995" ca="1">COLUMN(INDIRECT(A995))</f>
        <v>2</v>
      </c>
      <c r="M995" t="str" cm="1">
        <f t="array" aca="1" ref="M995" ca="1">IF(AND(J995="O",ISBLANK(INDIRECT(A995))),"Valeur obligatoire non renseignée","")</f>
        <v/>
      </c>
    </row>
    <row r="996" spans="1:13" x14ac:dyDescent="0.25">
      <c r="A996" s="91" t="s">
        <v>3915</v>
      </c>
      <c r="B996" cm="1">
        <f t="array" aca="1" ref="B996" ca="1">INDIRECT(A996)</f>
        <v>0</v>
      </c>
      <c r="C996">
        <f t="shared" ca="1" si="60"/>
        <v>5</v>
      </c>
      <c r="D996" t="str" cm="1">
        <f t="array" aca="1" ref="D996" ca="1">CELL("nomfichier",INDIRECT(A996))</f>
        <v>G:\SCPE\sdc\bq\6 - Mentions valorisantes\Certification environnementale\TEXTES_REGLEMENTATION_CE\Plans_contrôle et grilles\Grille audit niveau 3\Grille d'audit v1.11\[grille-audit-hvev4-v1.11-vf.xlsx]Surfaces_Horti</v>
      </c>
      <c r="E996">
        <f t="shared" ca="1" si="61"/>
        <v>200</v>
      </c>
      <c r="F996">
        <f t="shared" ca="1" si="62"/>
        <v>214</v>
      </c>
      <c r="G996" t="str">
        <f t="shared" ca="1" si="63"/>
        <v>Surfaces_Horti</v>
      </c>
      <c r="H996" cm="1">
        <f t="array" aca="1" ref="H996" ca="1">ROW(INDIRECT(A996))</f>
        <v>86</v>
      </c>
      <c r="I996" cm="1">
        <f t="array" aca="1" ref="I996" ca="1">COLUMN(INDIRECT(A996))</f>
        <v>3</v>
      </c>
      <c r="M996" t="str" cm="1">
        <f t="array" aca="1" ref="M996" ca="1">IF(AND(J996="O",ISBLANK(INDIRECT(A996))),"Valeur obligatoire non renseignée","")</f>
        <v/>
      </c>
    </row>
    <row r="997" spans="1:13" x14ac:dyDescent="0.25">
      <c r="A997" s="91" t="s">
        <v>3942</v>
      </c>
      <c r="B997" cm="1">
        <f t="array" aca="1" ref="B997" ca="1">INDIRECT(A997)</f>
        <v>0</v>
      </c>
      <c r="C997">
        <f t="shared" ca="1" si="60"/>
        <v>5</v>
      </c>
      <c r="D997" t="str" cm="1">
        <f t="array" aca="1" ref="D997" ca="1">CELL("nomfichier",INDIRECT(A997))</f>
        <v>G:\SCPE\sdc\bq\6 - Mentions valorisantes\Certification environnementale\TEXTES_REGLEMENTATION_CE\Plans_contrôle et grilles\Grille audit niveau 3\Grille d'audit v1.11\[grille-audit-hvev4-v1.11-vf.xlsx]Surfaces_Horti</v>
      </c>
      <c r="E997">
        <f t="shared" ca="1" si="61"/>
        <v>200</v>
      </c>
      <c r="F997">
        <f t="shared" ca="1" si="62"/>
        <v>214</v>
      </c>
      <c r="G997" t="str">
        <f t="shared" ca="1" si="63"/>
        <v>Surfaces_Horti</v>
      </c>
      <c r="H997" cm="1">
        <f t="array" aca="1" ref="H997" ca="1">ROW(INDIRECT(A997))</f>
        <v>86</v>
      </c>
      <c r="I997" cm="1">
        <f t="array" aca="1" ref="I997" ca="1">COLUMN(INDIRECT(A997))</f>
        <v>4</v>
      </c>
      <c r="M997" t="str" cm="1">
        <f t="array" aca="1" ref="M997" ca="1">IF(AND(J997="O",ISBLANK(INDIRECT(A997))),"Valeur obligatoire non renseignée","")</f>
        <v/>
      </c>
    </row>
    <row r="998" spans="1:13" x14ac:dyDescent="0.25">
      <c r="A998" s="91" t="s">
        <v>3969</v>
      </c>
      <c r="B998" cm="1">
        <f t="array" aca="1" ref="B998" ca="1">INDIRECT(A998)</f>
        <v>0</v>
      </c>
      <c r="C998">
        <f t="shared" ca="1" si="60"/>
        <v>5</v>
      </c>
      <c r="D998" t="str" cm="1">
        <f t="array" aca="1" ref="D998" ca="1">CELL("nomfichier",INDIRECT(A998))</f>
        <v>G:\SCPE\sdc\bq\6 - Mentions valorisantes\Certification environnementale\TEXTES_REGLEMENTATION_CE\Plans_contrôle et grilles\Grille audit niveau 3\Grille d'audit v1.11\[grille-audit-hvev4-v1.11-vf.xlsx]Surfaces_Horti</v>
      </c>
      <c r="E998">
        <f t="shared" ca="1" si="61"/>
        <v>200</v>
      </c>
      <c r="F998">
        <f t="shared" ca="1" si="62"/>
        <v>214</v>
      </c>
      <c r="G998" t="str">
        <f t="shared" ca="1" si="63"/>
        <v>Surfaces_Horti</v>
      </c>
      <c r="H998" cm="1">
        <f t="array" aca="1" ref="H998" ca="1">ROW(INDIRECT(A998))</f>
        <v>86</v>
      </c>
      <c r="I998" cm="1">
        <f t="array" aca="1" ref="I998" ca="1">COLUMN(INDIRECT(A998))</f>
        <v>5</v>
      </c>
      <c r="M998" t="str" cm="1">
        <f t="array" aca="1" ref="M998" ca="1">IF(AND(J998="O",ISBLANK(INDIRECT(A998))),"Valeur obligatoire non renseignée","")</f>
        <v/>
      </c>
    </row>
    <row r="999" spans="1:13" x14ac:dyDescent="0.25">
      <c r="A999" s="91" t="s">
        <v>3996</v>
      </c>
      <c r="B999" cm="1">
        <f t="array" aca="1" ref="B999" ca="1">INDIRECT(A999)</f>
        <v>0</v>
      </c>
      <c r="C999">
        <f t="shared" ca="1" si="60"/>
        <v>5</v>
      </c>
      <c r="D999" t="str" cm="1">
        <f t="array" aca="1" ref="D999" ca="1">CELL("nomfichier",INDIRECT(A999))</f>
        <v>G:\SCPE\sdc\bq\6 - Mentions valorisantes\Certification environnementale\TEXTES_REGLEMENTATION_CE\Plans_contrôle et grilles\Grille audit niveau 3\Grille d'audit v1.11\[grille-audit-hvev4-v1.11-vf.xlsx]Surfaces_Horti</v>
      </c>
      <c r="E999">
        <f t="shared" ca="1" si="61"/>
        <v>200</v>
      </c>
      <c r="F999">
        <f t="shared" ca="1" si="62"/>
        <v>214</v>
      </c>
      <c r="G999" t="str">
        <f t="shared" ca="1" si="63"/>
        <v>Surfaces_Horti</v>
      </c>
      <c r="H999" cm="1">
        <f t="array" aca="1" ref="H999" ca="1">ROW(INDIRECT(A999))</f>
        <v>86</v>
      </c>
      <c r="I999" cm="1">
        <f t="array" aca="1" ref="I999" ca="1">COLUMN(INDIRECT(A999))</f>
        <v>6</v>
      </c>
      <c r="M999" t="str" cm="1">
        <f t="array" aca="1" ref="M999" ca="1">IF(AND(J999="O",ISBLANK(INDIRECT(A999))),"Valeur obligatoire non renseignée","")</f>
        <v/>
      </c>
    </row>
    <row r="1000" spans="1:13" x14ac:dyDescent="0.25">
      <c r="A1000" s="91" t="s">
        <v>4023</v>
      </c>
      <c r="B1000" cm="1">
        <f t="array" aca="1" ref="B1000" ca="1">INDIRECT(A1000)</f>
        <v>0</v>
      </c>
      <c r="C1000">
        <f t="shared" ca="1" si="60"/>
        <v>5</v>
      </c>
      <c r="D1000" t="str" cm="1">
        <f t="array" aca="1" ref="D1000" ca="1">CELL("nomfichier",INDIRECT(A1000))</f>
        <v>G:\SCPE\sdc\bq\6 - Mentions valorisantes\Certification environnementale\TEXTES_REGLEMENTATION_CE\Plans_contrôle et grilles\Grille audit niveau 3\Grille d'audit v1.11\[grille-audit-hvev4-v1.11-vf.xlsx]Surfaces_Horti</v>
      </c>
      <c r="E1000">
        <f t="shared" ca="1" si="61"/>
        <v>200</v>
      </c>
      <c r="F1000">
        <f t="shared" ca="1" si="62"/>
        <v>214</v>
      </c>
      <c r="G1000" t="str">
        <f t="shared" ca="1" si="63"/>
        <v>Surfaces_Horti</v>
      </c>
      <c r="H1000" cm="1">
        <f t="array" aca="1" ref="H1000" ca="1">ROW(INDIRECT(A1000))</f>
        <v>86</v>
      </c>
      <c r="I1000" cm="1">
        <f t="array" aca="1" ref="I1000" ca="1">COLUMN(INDIRECT(A1000))</f>
        <v>7</v>
      </c>
      <c r="M1000" t="str" cm="1">
        <f t="array" aca="1" ref="M1000" ca="1">IF(AND(J1000="O",ISBLANK(INDIRECT(A1000))),"Valeur obligatoire non renseignée","")</f>
        <v/>
      </c>
    </row>
    <row r="1001" spans="1:13" x14ac:dyDescent="0.25">
      <c r="A1001" s="91" t="s">
        <v>4050</v>
      </c>
      <c r="B1001" cm="1">
        <f t="array" aca="1" ref="B1001" ca="1">INDIRECT(A1001)</f>
        <v>0</v>
      </c>
      <c r="C1001">
        <f t="shared" ca="1" si="60"/>
        <v>5</v>
      </c>
      <c r="D1001" t="str" cm="1">
        <f t="array" aca="1" ref="D1001" ca="1">CELL("nomfichier",INDIRECT(A1001))</f>
        <v>G:\SCPE\sdc\bq\6 - Mentions valorisantes\Certification environnementale\TEXTES_REGLEMENTATION_CE\Plans_contrôle et grilles\Grille audit niveau 3\Grille d'audit v1.11\[grille-audit-hvev4-v1.11-vf.xlsx]Surfaces_Horti</v>
      </c>
      <c r="E1001">
        <f t="shared" ca="1" si="61"/>
        <v>200</v>
      </c>
      <c r="F1001">
        <f t="shared" ca="1" si="62"/>
        <v>214</v>
      </c>
      <c r="G1001" t="str">
        <f t="shared" ca="1" si="63"/>
        <v>Surfaces_Horti</v>
      </c>
      <c r="H1001" cm="1">
        <f t="array" aca="1" ref="H1001" ca="1">ROW(INDIRECT(A1001))</f>
        <v>86</v>
      </c>
      <c r="I1001" cm="1">
        <f t="array" aca="1" ref="I1001" ca="1">COLUMN(INDIRECT(A1001))</f>
        <v>8</v>
      </c>
      <c r="M1001" t="str" cm="1">
        <f t="array" aca="1" ref="M1001" ca="1">IF(AND(J1001="O",ISBLANK(INDIRECT(A1001))),"Valeur obligatoire non renseignée","")</f>
        <v/>
      </c>
    </row>
    <row r="1002" spans="1:13" x14ac:dyDescent="0.25">
      <c r="A1002" s="91" t="s">
        <v>4077</v>
      </c>
      <c r="B1002" cm="1">
        <f t="array" aca="1" ref="B1002" ca="1">INDIRECT(A1002)</f>
        <v>0</v>
      </c>
      <c r="C1002">
        <f t="shared" ca="1" si="60"/>
        <v>5</v>
      </c>
      <c r="D1002" t="str" cm="1">
        <f t="array" aca="1" ref="D1002" ca="1">CELL("nomfichier",INDIRECT(A1002))</f>
        <v>G:\SCPE\sdc\bq\6 - Mentions valorisantes\Certification environnementale\TEXTES_REGLEMENTATION_CE\Plans_contrôle et grilles\Grille audit niveau 3\Grille d'audit v1.11\[grille-audit-hvev4-v1.11-vf.xlsx]Surfaces_Horti</v>
      </c>
      <c r="E1002">
        <f t="shared" ca="1" si="61"/>
        <v>200</v>
      </c>
      <c r="F1002">
        <f t="shared" ca="1" si="62"/>
        <v>214</v>
      </c>
      <c r="G1002" t="str">
        <f t="shared" ca="1" si="63"/>
        <v>Surfaces_Horti</v>
      </c>
      <c r="H1002" cm="1">
        <f t="array" aca="1" ref="H1002" ca="1">ROW(INDIRECT(A1002))</f>
        <v>86</v>
      </c>
      <c r="I1002" cm="1">
        <f t="array" aca="1" ref="I1002" ca="1">COLUMN(INDIRECT(A1002))</f>
        <v>9</v>
      </c>
      <c r="M1002" t="str" cm="1">
        <f t="array" aca="1" ref="M1002" ca="1">IF(AND(J1002="O",ISBLANK(INDIRECT(A1002))),"Valeur obligatoire non renseignée","")</f>
        <v/>
      </c>
    </row>
    <row r="1003" spans="1:13" x14ac:dyDescent="0.25">
      <c r="A1003" s="91" t="s">
        <v>4104</v>
      </c>
      <c r="B1003" cm="1">
        <f t="array" aca="1" ref="B1003" ca="1">INDIRECT(A1003)</f>
        <v>0</v>
      </c>
      <c r="C1003">
        <f t="shared" ca="1" si="60"/>
        <v>5</v>
      </c>
      <c r="D1003" t="str" cm="1">
        <f t="array" aca="1" ref="D1003" ca="1">CELL("nomfichier",INDIRECT(A1003))</f>
        <v>G:\SCPE\sdc\bq\6 - Mentions valorisantes\Certification environnementale\TEXTES_REGLEMENTATION_CE\Plans_contrôle et grilles\Grille audit niveau 3\Grille d'audit v1.11\[grille-audit-hvev4-v1.11-vf.xlsx]Surfaces_Horti</v>
      </c>
      <c r="E1003">
        <f t="shared" ca="1" si="61"/>
        <v>200</v>
      </c>
      <c r="F1003">
        <f t="shared" ca="1" si="62"/>
        <v>214</v>
      </c>
      <c r="G1003" t="str">
        <f t="shared" ca="1" si="63"/>
        <v>Surfaces_Horti</v>
      </c>
      <c r="H1003" cm="1">
        <f t="array" aca="1" ref="H1003" ca="1">ROW(INDIRECT(A1003))</f>
        <v>86</v>
      </c>
      <c r="I1003" cm="1">
        <f t="array" aca="1" ref="I1003" ca="1">COLUMN(INDIRECT(A1003))</f>
        <v>10</v>
      </c>
      <c r="M1003" t="str" cm="1">
        <f t="array" aca="1" ref="M1003" ca="1">IF(AND(J1003="O",ISBLANK(INDIRECT(A1003))),"Valeur obligatoire non renseignée","")</f>
        <v/>
      </c>
    </row>
    <row r="1004" spans="1:13" x14ac:dyDescent="0.25">
      <c r="A1004" s="91" t="s">
        <v>4131</v>
      </c>
      <c r="B1004" cm="1">
        <f t="array" aca="1" ref="B1004" ca="1">INDIRECT(A1004)</f>
        <v>0</v>
      </c>
      <c r="C1004">
        <f t="shared" ca="1" si="60"/>
        <v>5</v>
      </c>
      <c r="D1004" t="str" cm="1">
        <f t="array" aca="1" ref="D1004" ca="1">CELL("nomfichier",INDIRECT(A1004))</f>
        <v>G:\SCPE\sdc\bq\6 - Mentions valorisantes\Certification environnementale\TEXTES_REGLEMENTATION_CE\Plans_contrôle et grilles\Grille audit niveau 3\Grille d'audit v1.11\[grille-audit-hvev4-v1.11-vf.xlsx]Surfaces_Horti</v>
      </c>
      <c r="E1004">
        <f t="shared" ca="1" si="61"/>
        <v>200</v>
      </c>
      <c r="F1004">
        <f t="shared" ca="1" si="62"/>
        <v>214</v>
      </c>
      <c r="G1004" t="str">
        <f t="shared" ca="1" si="63"/>
        <v>Surfaces_Horti</v>
      </c>
      <c r="H1004" cm="1">
        <f t="array" aca="1" ref="H1004" ca="1">ROW(INDIRECT(A1004))</f>
        <v>86</v>
      </c>
      <c r="I1004" cm="1">
        <f t="array" aca="1" ref="I1004" ca="1">COLUMN(INDIRECT(A1004))</f>
        <v>11</v>
      </c>
      <c r="M1004" t="str" cm="1">
        <f t="array" aca="1" ref="M1004" ca="1">IF(AND(J1004="O",ISBLANK(INDIRECT(A1004))),"Valeur obligatoire non renseignée","")</f>
        <v/>
      </c>
    </row>
    <row r="1005" spans="1:13" x14ac:dyDescent="0.25">
      <c r="A1005" s="91" t="s">
        <v>4158</v>
      </c>
      <c r="B1005" cm="1">
        <f t="array" aca="1" ref="B1005" ca="1">INDIRECT(A1005)</f>
        <v>0</v>
      </c>
      <c r="C1005">
        <f t="shared" ca="1" si="60"/>
        <v>5</v>
      </c>
      <c r="D1005" t="str" cm="1">
        <f t="array" aca="1" ref="D1005" ca="1">CELL("nomfichier",INDIRECT(A1005))</f>
        <v>G:\SCPE\sdc\bq\6 - Mentions valorisantes\Certification environnementale\TEXTES_REGLEMENTATION_CE\Plans_contrôle et grilles\Grille audit niveau 3\Grille d'audit v1.11\[grille-audit-hvev4-v1.11-vf.xlsx]Surfaces_Horti</v>
      </c>
      <c r="E1005">
        <f t="shared" ca="1" si="61"/>
        <v>200</v>
      </c>
      <c r="F1005">
        <f t="shared" ca="1" si="62"/>
        <v>214</v>
      </c>
      <c r="G1005" t="str">
        <f t="shared" ca="1" si="63"/>
        <v>Surfaces_Horti</v>
      </c>
      <c r="H1005" cm="1">
        <f t="array" aca="1" ref="H1005" ca="1">ROW(INDIRECT(A1005))</f>
        <v>86</v>
      </c>
      <c r="I1005" cm="1">
        <f t="array" aca="1" ref="I1005" ca="1">COLUMN(INDIRECT(A1005))</f>
        <v>12</v>
      </c>
      <c r="M1005" t="str" cm="1">
        <f t="array" aca="1" ref="M1005" ca="1">IF(AND(J1005="O",ISBLANK(INDIRECT(A1005))),"Valeur obligatoire non renseignée","")</f>
        <v/>
      </c>
    </row>
    <row r="1006" spans="1:13" x14ac:dyDescent="0.25">
      <c r="A1006" s="91" t="s">
        <v>4185</v>
      </c>
      <c r="B1006" cm="1">
        <f t="array" aca="1" ref="B1006" ca="1">INDIRECT(A1006)</f>
        <v>0</v>
      </c>
      <c r="C1006">
        <f t="shared" ca="1" si="60"/>
        <v>5</v>
      </c>
      <c r="D1006" t="str" cm="1">
        <f t="array" aca="1" ref="D1006" ca="1">CELL("nomfichier",INDIRECT(A1006))</f>
        <v>G:\SCPE\sdc\bq\6 - Mentions valorisantes\Certification environnementale\TEXTES_REGLEMENTATION_CE\Plans_contrôle et grilles\Grille audit niveau 3\Grille d'audit v1.11\[grille-audit-hvev4-v1.11-vf.xlsx]Surfaces_Horti</v>
      </c>
      <c r="E1006">
        <f t="shared" ca="1" si="61"/>
        <v>200</v>
      </c>
      <c r="F1006">
        <f t="shared" ca="1" si="62"/>
        <v>214</v>
      </c>
      <c r="G1006" t="str">
        <f t="shared" ca="1" si="63"/>
        <v>Surfaces_Horti</v>
      </c>
      <c r="H1006" cm="1">
        <f t="array" aca="1" ref="H1006" ca="1">ROW(INDIRECT(A1006))</f>
        <v>86</v>
      </c>
      <c r="I1006" cm="1">
        <f t="array" aca="1" ref="I1006" ca="1">COLUMN(INDIRECT(A1006))</f>
        <v>13</v>
      </c>
      <c r="M1006" t="str" cm="1">
        <f t="array" aca="1" ref="M1006" ca="1">IF(AND(J1006="O",ISBLANK(INDIRECT(A1006))),"Valeur obligatoire non renseignée","")</f>
        <v/>
      </c>
    </row>
    <row r="1007" spans="1:13" x14ac:dyDescent="0.25">
      <c r="A1007" s="91" t="s">
        <v>4212</v>
      </c>
      <c r="B1007" cm="1">
        <f t="array" aca="1" ref="B1007" ca="1">INDIRECT(A1007)</f>
        <v>0</v>
      </c>
      <c r="C1007">
        <f t="shared" ca="1" si="60"/>
        <v>5</v>
      </c>
      <c r="D1007" t="str" cm="1">
        <f t="array" aca="1" ref="D1007" ca="1">CELL("nomfichier",INDIRECT(A1007))</f>
        <v>G:\SCPE\sdc\bq\6 - Mentions valorisantes\Certification environnementale\TEXTES_REGLEMENTATION_CE\Plans_contrôle et grilles\Grille audit niveau 3\Grille d'audit v1.11\[grille-audit-hvev4-v1.11-vf.xlsx]Surfaces_Horti</v>
      </c>
      <c r="E1007">
        <f t="shared" ca="1" si="61"/>
        <v>200</v>
      </c>
      <c r="F1007">
        <f t="shared" ca="1" si="62"/>
        <v>214</v>
      </c>
      <c r="G1007" t="str">
        <f t="shared" ca="1" si="63"/>
        <v>Surfaces_Horti</v>
      </c>
      <c r="H1007" cm="1">
        <f t="array" aca="1" ref="H1007" ca="1">ROW(INDIRECT(A1007))</f>
        <v>86</v>
      </c>
      <c r="I1007" cm="1">
        <f t="array" aca="1" ref="I1007" ca="1">COLUMN(INDIRECT(A1007))</f>
        <v>14</v>
      </c>
      <c r="M1007" t="str" cm="1">
        <f t="array" aca="1" ref="M1007" ca="1">IF(AND(J1007="O",ISBLANK(INDIRECT(A1007))),"Valeur obligatoire non renseignée","")</f>
        <v/>
      </c>
    </row>
    <row r="1008" spans="1:13" x14ac:dyDescent="0.25">
      <c r="A1008" s="91" t="s">
        <v>3889</v>
      </c>
      <c r="B1008" cm="1">
        <f t="array" aca="1" ref="B1008" ca="1">INDIRECT(A1008)</f>
        <v>0</v>
      </c>
      <c r="C1008">
        <f t="shared" ca="1" si="60"/>
        <v>5</v>
      </c>
      <c r="D1008" t="str" cm="1">
        <f t="array" aca="1" ref="D1008" ca="1">CELL("nomfichier",INDIRECT(A1008))</f>
        <v>G:\SCPE\sdc\bq\6 - Mentions valorisantes\Certification environnementale\TEXTES_REGLEMENTATION_CE\Plans_contrôle et grilles\Grille audit niveau 3\Grille d'audit v1.11\[grille-audit-hvev4-v1.11-vf.xlsx]Surfaces_Horti</v>
      </c>
      <c r="E1008">
        <f t="shared" ca="1" si="61"/>
        <v>200</v>
      </c>
      <c r="F1008">
        <f t="shared" ca="1" si="62"/>
        <v>214</v>
      </c>
      <c r="G1008" t="str">
        <f t="shared" ca="1" si="63"/>
        <v>Surfaces_Horti</v>
      </c>
      <c r="H1008" cm="1">
        <f t="array" aca="1" ref="H1008" ca="1">ROW(INDIRECT(A1008))</f>
        <v>87</v>
      </c>
      <c r="I1008" cm="1">
        <f t="array" aca="1" ref="I1008" ca="1">COLUMN(INDIRECT(A1008))</f>
        <v>2</v>
      </c>
      <c r="M1008" t="str" cm="1">
        <f t="array" aca="1" ref="M1008" ca="1">IF(AND(J1008="O",ISBLANK(INDIRECT(A1008))),"Valeur obligatoire non renseignée","")</f>
        <v/>
      </c>
    </row>
    <row r="1009" spans="1:13" x14ac:dyDescent="0.25">
      <c r="A1009" s="91" t="s">
        <v>3916</v>
      </c>
      <c r="B1009" cm="1">
        <f t="array" aca="1" ref="B1009" ca="1">INDIRECT(A1009)</f>
        <v>0</v>
      </c>
      <c r="C1009">
        <f t="shared" ca="1" si="60"/>
        <v>5</v>
      </c>
      <c r="D1009" t="str" cm="1">
        <f t="array" aca="1" ref="D1009" ca="1">CELL("nomfichier",INDIRECT(A1009))</f>
        <v>G:\SCPE\sdc\bq\6 - Mentions valorisantes\Certification environnementale\TEXTES_REGLEMENTATION_CE\Plans_contrôle et grilles\Grille audit niveau 3\Grille d'audit v1.11\[grille-audit-hvev4-v1.11-vf.xlsx]Surfaces_Horti</v>
      </c>
      <c r="E1009">
        <f t="shared" ca="1" si="61"/>
        <v>200</v>
      </c>
      <c r="F1009">
        <f t="shared" ca="1" si="62"/>
        <v>214</v>
      </c>
      <c r="G1009" t="str">
        <f t="shared" ca="1" si="63"/>
        <v>Surfaces_Horti</v>
      </c>
      <c r="H1009" cm="1">
        <f t="array" aca="1" ref="H1009" ca="1">ROW(INDIRECT(A1009))</f>
        <v>87</v>
      </c>
      <c r="I1009" cm="1">
        <f t="array" aca="1" ref="I1009" ca="1">COLUMN(INDIRECT(A1009))</f>
        <v>3</v>
      </c>
      <c r="M1009" t="str" cm="1">
        <f t="array" aca="1" ref="M1009" ca="1">IF(AND(J1009="O",ISBLANK(INDIRECT(A1009))),"Valeur obligatoire non renseignée","")</f>
        <v/>
      </c>
    </row>
    <row r="1010" spans="1:13" x14ac:dyDescent="0.25">
      <c r="A1010" s="91" t="s">
        <v>3943</v>
      </c>
      <c r="B1010" cm="1">
        <f t="array" aca="1" ref="B1010" ca="1">INDIRECT(A1010)</f>
        <v>0</v>
      </c>
      <c r="C1010">
        <f t="shared" ca="1" si="60"/>
        <v>5</v>
      </c>
      <c r="D1010" t="str" cm="1">
        <f t="array" aca="1" ref="D1010" ca="1">CELL("nomfichier",INDIRECT(A1010))</f>
        <v>G:\SCPE\sdc\bq\6 - Mentions valorisantes\Certification environnementale\TEXTES_REGLEMENTATION_CE\Plans_contrôle et grilles\Grille audit niveau 3\Grille d'audit v1.11\[grille-audit-hvev4-v1.11-vf.xlsx]Surfaces_Horti</v>
      </c>
      <c r="E1010">
        <f t="shared" ca="1" si="61"/>
        <v>200</v>
      </c>
      <c r="F1010">
        <f t="shared" ca="1" si="62"/>
        <v>214</v>
      </c>
      <c r="G1010" t="str">
        <f t="shared" ca="1" si="63"/>
        <v>Surfaces_Horti</v>
      </c>
      <c r="H1010" cm="1">
        <f t="array" aca="1" ref="H1010" ca="1">ROW(INDIRECT(A1010))</f>
        <v>87</v>
      </c>
      <c r="I1010" cm="1">
        <f t="array" aca="1" ref="I1010" ca="1">COLUMN(INDIRECT(A1010))</f>
        <v>4</v>
      </c>
      <c r="M1010" t="str" cm="1">
        <f t="array" aca="1" ref="M1010" ca="1">IF(AND(J1010="O",ISBLANK(INDIRECT(A1010))),"Valeur obligatoire non renseignée","")</f>
        <v/>
      </c>
    </row>
    <row r="1011" spans="1:13" x14ac:dyDescent="0.25">
      <c r="A1011" s="91" t="s">
        <v>3970</v>
      </c>
      <c r="B1011" cm="1">
        <f t="array" aca="1" ref="B1011" ca="1">INDIRECT(A1011)</f>
        <v>0</v>
      </c>
      <c r="C1011">
        <f t="shared" ca="1" si="60"/>
        <v>5</v>
      </c>
      <c r="D1011" t="str" cm="1">
        <f t="array" aca="1" ref="D1011" ca="1">CELL("nomfichier",INDIRECT(A1011))</f>
        <v>G:\SCPE\sdc\bq\6 - Mentions valorisantes\Certification environnementale\TEXTES_REGLEMENTATION_CE\Plans_contrôle et grilles\Grille audit niveau 3\Grille d'audit v1.11\[grille-audit-hvev4-v1.11-vf.xlsx]Surfaces_Horti</v>
      </c>
      <c r="E1011">
        <f t="shared" ca="1" si="61"/>
        <v>200</v>
      </c>
      <c r="F1011">
        <f t="shared" ca="1" si="62"/>
        <v>214</v>
      </c>
      <c r="G1011" t="str">
        <f t="shared" ca="1" si="63"/>
        <v>Surfaces_Horti</v>
      </c>
      <c r="H1011" cm="1">
        <f t="array" aca="1" ref="H1011" ca="1">ROW(INDIRECT(A1011))</f>
        <v>87</v>
      </c>
      <c r="I1011" cm="1">
        <f t="array" aca="1" ref="I1011" ca="1">COLUMN(INDIRECT(A1011))</f>
        <v>5</v>
      </c>
      <c r="M1011" t="str" cm="1">
        <f t="array" aca="1" ref="M1011" ca="1">IF(AND(J1011="O",ISBLANK(INDIRECT(A1011))),"Valeur obligatoire non renseignée","")</f>
        <v/>
      </c>
    </row>
    <row r="1012" spans="1:13" x14ac:dyDescent="0.25">
      <c r="A1012" s="91" t="s">
        <v>3997</v>
      </c>
      <c r="B1012" cm="1">
        <f t="array" aca="1" ref="B1012" ca="1">INDIRECT(A1012)</f>
        <v>0</v>
      </c>
      <c r="C1012">
        <f t="shared" ca="1" si="60"/>
        <v>5</v>
      </c>
      <c r="D1012" t="str" cm="1">
        <f t="array" aca="1" ref="D1012" ca="1">CELL("nomfichier",INDIRECT(A1012))</f>
        <v>G:\SCPE\sdc\bq\6 - Mentions valorisantes\Certification environnementale\TEXTES_REGLEMENTATION_CE\Plans_contrôle et grilles\Grille audit niveau 3\Grille d'audit v1.11\[grille-audit-hvev4-v1.11-vf.xlsx]Surfaces_Horti</v>
      </c>
      <c r="E1012">
        <f t="shared" ca="1" si="61"/>
        <v>200</v>
      </c>
      <c r="F1012">
        <f t="shared" ca="1" si="62"/>
        <v>214</v>
      </c>
      <c r="G1012" t="str">
        <f t="shared" ca="1" si="63"/>
        <v>Surfaces_Horti</v>
      </c>
      <c r="H1012" cm="1">
        <f t="array" aca="1" ref="H1012" ca="1">ROW(INDIRECT(A1012))</f>
        <v>87</v>
      </c>
      <c r="I1012" cm="1">
        <f t="array" aca="1" ref="I1012" ca="1">COLUMN(INDIRECT(A1012))</f>
        <v>6</v>
      </c>
      <c r="M1012" t="str" cm="1">
        <f t="array" aca="1" ref="M1012" ca="1">IF(AND(J1012="O",ISBLANK(INDIRECT(A1012))),"Valeur obligatoire non renseignée","")</f>
        <v/>
      </c>
    </row>
    <row r="1013" spans="1:13" x14ac:dyDescent="0.25">
      <c r="A1013" s="91" t="s">
        <v>4024</v>
      </c>
      <c r="B1013" cm="1">
        <f t="array" aca="1" ref="B1013" ca="1">INDIRECT(A1013)</f>
        <v>0</v>
      </c>
      <c r="C1013">
        <f t="shared" ca="1" si="60"/>
        <v>5</v>
      </c>
      <c r="D1013" t="str" cm="1">
        <f t="array" aca="1" ref="D1013" ca="1">CELL("nomfichier",INDIRECT(A1013))</f>
        <v>G:\SCPE\sdc\bq\6 - Mentions valorisantes\Certification environnementale\TEXTES_REGLEMENTATION_CE\Plans_contrôle et grilles\Grille audit niveau 3\Grille d'audit v1.11\[grille-audit-hvev4-v1.11-vf.xlsx]Surfaces_Horti</v>
      </c>
      <c r="E1013">
        <f t="shared" ca="1" si="61"/>
        <v>200</v>
      </c>
      <c r="F1013">
        <f t="shared" ca="1" si="62"/>
        <v>214</v>
      </c>
      <c r="G1013" t="str">
        <f t="shared" ca="1" si="63"/>
        <v>Surfaces_Horti</v>
      </c>
      <c r="H1013" cm="1">
        <f t="array" aca="1" ref="H1013" ca="1">ROW(INDIRECT(A1013))</f>
        <v>87</v>
      </c>
      <c r="I1013" cm="1">
        <f t="array" aca="1" ref="I1013" ca="1">COLUMN(INDIRECT(A1013))</f>
        <v>7</v>
      </c>
      <c r="M1013" t="str" cm="1">
        <f t="array" aca="1" ref="M1013" ca="1">IF(AND(J1013="O",ISBLANK(INDIRECT(A1013))),"Valeur obligatoire non renseignée","")</f>
        <v/>
      </c>
    </row>
    <row r="1014" spans="1:13" x14ac:dyDescent="0.25">
      <c r="A1014" s="91" t="s">
        <v>4051</v>
      </c>
      <c r="B1014" cm="1">
        <f t="array" aca="1" ref="B1014" ca="1">INDIRECT(A1014)</f>
        <v>0</v>
      </c>
      <c r="C1014">
        <f t="shared" ca="1" si="60"/>
        <v>5</v>
      </c>
      <c r="D1014" t="str" cm="1">
        <f t="array" aca="1" ref="D1014" ca="1">CELL("nomfichier",INDIRECT(A1014))</f>
        <v>G:\SCPE\sdc\bq\6 - Mentions valorisantes\Certification environnementale\TEXTES_REGLEMENTATION_CE\Plans_contrôle et grilles\Grille audit niveau 3\Grille d'audit v1.11\[grille-audit-hvev4-v1.11-vf.xlsx]Surfaces_Horti</v>
      </c>
      <c r="E1014">
        <f t="shared" ca="1" si="61"/>
        <v>200</v>
      </c>
      <c r="F1014">
        <f t="shared" ca="1" si="62"/>
        <v>214</v>
      </c>
      <c r="G1014" t="str">
        <f t="shared" ca="1" si="63"/>
        <v>Surfaces_Horti</v>
      </c>
      <c r="H1014" cm="1">
        <f t="array" aca="1" ref="H1014" ca="1">ROW(INDIRECT(A1014))</f>
        <v>87</v>
      </c>
      <c r="I1014" cm="1">
        <f t="array" aca="1" ref="I1014" ca="1">COLUMN(INDIRECT(A1014))</f>
        <v>8</v>
      </c>
      <c r="M1014" t="str" cm="1">
        <f t="array" aca="1" ref="M1014" ca="1">IF(AND(J1014="O",ISBLANK(INDIRECT(A1014))),"Valeur obligatoire non renseignée","")</f>
        <v/>
      </c>
    </row>
    <row r="1015" spans="1:13" x14ac:dyDescent="0.25">
      <c r="A1015" s="91" t="s">
        <v>4078</v>
      </c>
      <c r="B1015" cm="1">
        <f t="array" aca="1" ref="B1015" ca="1">INDIRECT(A1015)</f>
        <v>0</v>
      </c>
      <c r="C1015">
        <f t="shared" ca="1" si="60"/>
        <v>5</v>
      </c>
      <c r="D1015" t="str" cm="1">
        <f t="array" aca="1" ref="D1015" ca="1">CELL("nomfichier",INDIRECT(A1015))</f>
        <v>G:\SCPE\sdc\bq\6 - Mentions valorisantes\Certification environnementale\TEXTES_REGLEMENTATION_CE\Plans_contrôle et grilles\Grille audit niveau 3\Grille d'audit v1.11\[grille-audit-hvev4-v1.11-vf.xlsx]Surfaces_Horti</v>
      </c>
      <c r="E1015">
        <f t="shared" ca="1" si="61"/>
        <v>200</v>
      </c>
      <c r="F1015">
        <f t="shared" ca="1" si="62"/>
        <v>214</v>
      </c>
      <c r="G1015" t="str">
        <f t="shared" ca="1" si="63"/>
        <v>Surfaces_Horti</v>
      </c>
      <c r="H1015" cm="1">
        <f t="array" aca="1" ref="H1015" ca="1">ROW(INDIRECT(A1015))</f>
        <v>87</v>
      </c>
      <c r="I1015" cm="1">
        <f t="array" aca="1" ref="I1015" ca="1">COLUMN(INDIRECT(A1015))</f>
        <v>9</v>
      </c>
      <c r="M1015" t="str" cm="1">
        <f t="array" aca="1" ref="M1015" ca="1">IF(AND(J1015="O",ISBLANK(INDIRECT(A1015))),"Valeur obligatoire non renseignée","")</f>
        <v/>
      </c>
    </row>
    <row r="1016" spans="1:13" x14ac:dyDescent="0.25">
      <c r="A1016" s="91" t="s">
        <v>4105</v>
      </c>
      <c r="B1016" cm="1">
        <f t="array" aca="1" ref="B1016" ca="1">INDIRECT(A1016)</f>
        <v>0</v>
      </c>
      <c r="C1016">
        <f t="shared" ca="1" si="60"/>
        <v>5</v>
      </c>
      <c r="D1016" t="str" cm="1">
        <f t="array" aca="1" ref="D1016" ca="1">CELL("nomfichier",INDIRECT(A1016))</f>
        <v>G:\SCPE\sdc\bq\6 - Mentions valorisantes\Certification environnementale\TEXTES_REGLEMENTATION_CE\Plans_contrôle et grilles\Grille audit niveau 3\Grille d'audit v1.11\[grille-audit-hvev4-v1.11-vf.xlsx]Surfaces_Horti</v>
      </c>
      <c r="E1016">
        <f t="shared" ca="1" si="61"/>
        <v>200</v>
      </c>
      <c r="F1016">
        <f t="shared" ca="1" si="62"/>
        <v>214</v>
      </c>
      <c r="G1016" t="str">
        <f t="shared" ca="1" si="63"/>
        <v>Surfaces_Horti</v>
      </c>
      <c r="H1016" cm="1">
        <f t="array" aca="1" ref="H1016" ca="1">ROW(INDIRECT(A1016))</f>
        <v>87</v>
      </c>
      <c r="I1016" cm="1">
        <f t="array" aca="1" ref="I1016" ca="1">COLUMN(INDIRECT(A1016))</f>
        <v>10</v>
      </c>
      <c r="M1016" t="str" cm="1">
        <f t="array" aca="1" ref="M1016" ca="1">IF(AND(J1016="O",ISBLANK(INDIRECT(A1016))),"Valeur obligatoire non renseignée","")</f>
        <v/>
      </c>
    </row>
    <row r="1017" spans="1:13" x14ac:dyDescent="0.25">
      <c r="A1017" s="91" t="s">
        <v>4132</v>
      </c>
      <c r="B1017" cm="1">
        <f t="array" aca="1" ref="B1017" ca="1">INDIRECT(A1017)</f>
        <v>0</v>
      </c>
      <c r="C1017">
        <f t="shared" ca="1" si="60"/>
        <v>5</v>
      </c>
      <c r="D1017" t="str" cm="1">
        <f t="array" aca="1" ref="D1017" ca="1">CELL("nomfichier",INDIRECT(A1017))</f>
        <v>G:\SCPE\sdc\bq\6 - Mentions valorisantes\Certification environnementale\TEXTES_REGLEMENTATION_CE\Plans_contrôle et grilles\Grille audit niveau 3\Grille d'audit v1.11\[grille-audit-hvev4-v1.11-vf.xlsx]Surfaces_Horti</v>
      </c>
      <c r="E1017">
        <f t="shared" ca="1" si="61"/>
        <v>200</v>
      </c>
      <c r="F1017">
        <f t="shared" ca="1" si="62"/>
        <v>214</v>
      </c>
      <c r="G1017" t="str">
        <f t="shared" ca="1" si="63"/>
        <v>Surfaces_Horti</v>
      </c>
      <c r="H1017" cm="1">
        <f t="array" aca="1" ref="H1017" ca="1">ROW(INDIRECT(A1017))</f>
        <v>87</v>
      </c>
      <c r="I1017" cm="1">
        <f t="array" aca="1" ref="I1017" ca="1">COLUMN(INDIRECT(A1017))</f>
        <v>11</v>
      </c>
      <c r="M1017" t="str" cm="1">
        <f t="array" aca="1" ref="M1017" ca="1">IF(AND(J1017="O",ISBLANK(INDIRECT(A1017))),"Valeur obligatoire non renseignée","")</f>
        <v/>
      </c>
    </row>
    <row r="1018" spans="1:13" x14ac:dyDescent="0.25">
      <c r="A1018" s="91" t="s">
        <v>4159</v>
      </c>
      <c r="B1018" cm="1">
        <f t="array" aca="1" ref="B1018" ca="1">INDIRECT(A1018)</f>
        <v>0</v>
      </c>
      <c r="C1018">
        <f t="shared" ca="1" si="60"/>
        <v>5</v>
      </c>
      <c r="D1018" t="str" cm="1">
        <f t="array" aca="1" ref="D1018" ca="1">CELL("nomfichier",INDIRECT(A1018))</f>
        <v>G:\SCPE\sdc\bq\6 - Mentions valorisantes\Certification environnementale\TEXTES_REGLEMENTATION_CE\Plans_contrôle et grilles\Grille audit niveau 3\Grille d'audit v1.11\[grille-audit-hvev4-v1.11-vf.xlsx]Surfaces_Horti</v>
      </c>
      <c r="E1018">
        <f t="shared" ca="1" si="61"/>
        <v>200</v>
      </c>
      <c r="F1018">
        <f t="shared" ca="1" si="62"/>
        <v>214</v>
      </c>
      <c r="G1018" t="str">
        <f t="shared" ca="1" si="63"/>
        <v>Surfaces_Horti</v>
      </c>
      <c r="H1018" cm="1">
        <f t="array" aca="1" ref="H1018" ca="1">ROW(INDIRECT(A1018))</f>
        <v>87</v>
      </c>
      <c r="I1018" cm="1">
        <f t="array" aca="1" ref="I1018" ca="1">COLUMN(INDIRECT(A1018))</f>
        <v>12</v>
      </c>
      <c r="M1018" t="str" cm="1">
        <f t="array" aca="1" ref="M1018" ca="1">IF(AND(J1018="O",ISBLANK(INDIRECT(A1018))),"Valeur obligatoire non renseignée","")</f>
        <v/>
      </c>
    </row>
    <row r="1019" spans="1:13" x14ac:dyDescent="0.25">
      <c r="A1019" s="91" t="s">
        <v>4186</v>
      </c>
      <c r="B1019" cm="1">
        <f t="array" aca="1" ref="B1019" ca="1">INDIRECT(A1019)</f>
        <v>0</v>
      </c>
      <c r="C1019">
        <f t="shared" ca="1" si="60"/>
        <v>5</v>
      </c>
      <c r="D1019" t="str" cm="1">
        <f t="array" aca="1" ref="D1019" ca="1">CELL("nomfichier",INDIRECT(A1019))</f>
        <v>G:\SCPE\sdc\bq\6 - Mentions valorisantes\Certification environnementale\TEXTES_REGLEMENTATION_CE\Plans_contrôle et grilles\Grille audit niveau 3\Grille d'audit v1.11\[grille-audit-hvev4-v1.11-vf.xlsx]Surfaces_Horti</v>
      </c>
      <c r="E1019">
        <f t="shared" ca="1" si="61"/>
        <v>200</v>
      </c>
      <c r="F1019">
        <f t="shared" ca="1" si="62"/>
        <v>214</v>
      </c>
      <c r="G1019" t="str">
        <f t="shared" ca="1" si="63"/>
        <v>Surfaces_Horti</v>
      </c>
      <c r="H1019" cm="1">
        <f t="array" aca="1" ref="H1019" ca="1">ROW(INDIRECT(A1019))</f>
        <v>87</v>
      </c>
      <c r="I1019" cm="1">
        <f t="array" aca="1" ref="I1019" ca="1">COLUMN(INDIRECT(A1019))</f>
        <v>13</v>
      </c>
      <c r="M1019" t="str" cm="1">
        <f t="array" aca="1" ref="M1019" ca="1">IF(AND(J1019="O",ISBLANK(INDIRECT(A1019))),"Valeur obligatoire non renseignée","")</f>
        <v/>
      </c>
    </row>
    <row r="1020" spans="1:13" x14ac:dyDescent="0.25">
      <c r="A1020" s="91" t="s">
        <v>4213</v>
      </c>
      <c r="B1020" cm="1">
        <f t="array" aca="1" ref="B1020" ca="1">INDIRECT(A1020)</f>
        <v>0</v>
      </c>
      <c r="C1020">
        <f t="shared" ca="1" si="60"/>
        <v>5</v>
      </c>
      <c r="D1020" t="str" cm="1">
        <f t="array" aca="1" ref="D1020" ca="1">CELL("nomfichier",INDIRECT(A1020))</f>
        <v>G:\SCPE\sdc\bq\6 - Mentions valorisantes\Certification environnementale\TEXTES_REGLEMENTATION_CE\Plans_contrôle et grilles\Grille audit niveau 3\Grille d'audit v1.11\[grille-audit-hvev4-v1.11-vf.xlsx]Surfaces_Horti</v>
      </c>
      <c r="E1020">
        <f t="shared" ca="1" si="61"/>
        <v>200</v>
      </c>
      <c r="F1020">
        <f t="shared" ca="1" si="62"/>
        <v>214</v>
      </c>
      <c r="G1020" t="str">
        <f t="shared" ca="1" si="63"/>
        <v>Surfaces_Horti</v>
      </c>
      <c r="H1020" cm="1">
        <f t="array" aca="1" ref="H1020" ca="1">ROW(INDIRECT(A1020))</f>
        <v>87</v>
      </c>
      <c r="I1020" cm="1">
        <f t="array" aca="1" ref="I1020" ca="1">COLUMN(INDIRECT(A1020))</f>
        <v>14</v>
      </c>
      <c r="M1020" t="str" cm="1">
        <f t="array" aca="1" ref="M1020" ca="1">IF(AND(J1020="O",ISBLANK(INDIRECT(A1020))),"Valeur obligatoire non renseignée","")</f>
        <v/>
      </c>
    </row>
    <row r="1021" spans="1:13" x14ac:dyDescent="0.25">
      <c r="A1021" s="91" t="s">
        <v>3890</v>
      </c>
      <c r="B1021" cm="1">
        <f t="array" aca="1" ref="B1021" ca="1">INDIRECT(A1021)</f>
        <v>0</v>
      </c>
      <c r="C1021">
        <f t="shared" ca="1" si="60"/>
        <v>5</v>
      </c>
      <c r="D1021" t="str" cm="1">
        <f t="array" aca="1" ref="D1021" ca="1">CELL("nomfichier",INDIRECT(A1021))</f>
        <v>G:\SCPE\sdc\bq\6 - Mentions valorisantes\Certification environnementale\TEXTES_REGLEMENTATION_CE\Plans_contrôle et grilles\Grille audit niveau 3\Grille d'audit v1.11\[grille-audit-hvev4-v1.11-vf.xlsx]Surfaces_Horti</v>
      </c>
      <c r="E1021">
        <f t="shared" ca="1" si="61"/>
        <v>200</v>
      </c>
      <c r="F1021">
        <f t="shared" ca="1" si="62"/>
        <v>214</v>
      </c>
      <c r="G1021" t="str">
        <f t="shared" ca="1" si="63"/>
        <v>Surfaces_Horti</v>
      </c>
      <c r="H1021" cm="1">
        <f t="array" aca="1" ref="H1021" ca="1">ROW(INDIRECT(A1021))</f>
        <v>88</v>
      </c>
      <c r="I1021" cm="1">
        <f t="array" aca="1" ref="I1021" ca="1">COLUMN(INDIRECT(A1021))</f>
        <v>2</v>
      </c>
      <c r="M1021" t="str" cm="1">
        <f t="array" aca="1" ref="M1021" ca="1">IF(AND(J1021="O",ISBLANK(INDIRECT(A1021))),"Valeur obligatoire non renseignée","")</f>
        <v/>
      </c>
    </row>
    <row r="1022" spans="1:13" x14ac:dyDescent="0.25">
      <c r="A1022" s="91" t="s">
        <v>3917</v>
      </c>
      <c r="B1022" cm="1">
        <f t="array" aca="1" ref="B1022" ca="1">INDIRECT(A1022)</f>
        <v>0</v>
      </c>
      <c r="C1022">
        <f t="shared" ca="1" si="60"/>
        <v>5</v>
      </c>
      <c r="D1022" t="str" cm="1">
        <f t="array" aca="1" ref="D1022" ca="1">CELL("nomfichier",INDIRECT(A1022))</f>
        <v>G:\SCPE\sdc\bq\6 - Mentions valorisantes\Certification environnementale\TEXTES_REGLEMENTATION_CE\Plans_contrôle et grilles\Grille audit niveau 3\Grille d'audit v1.11\[grille-audit-hvev4-v1.11-vf.xlsx]Surfaces_Horti</v>
      </c>
      <c r="E1022">
        <f t="shared" ca="1" si="61"/>
        <v>200</v>
      </c>
      <c r="F1022">
        <f t="shared" ca="1" si="62"/>
        <v>214</v>
      </c>
      <c r="G1022" t="str">
        <f t="shared" ca="1" si="63"/>
        <v>Surfaces_Horti</v>
      </c>
      <c r="H1022" cm="1">
        <f t="array" aca="1" ref="H1022" ca="1">ROW(INDIRECT(A1022))</f>
        <v>88</v>
      </c>
      <c r="I1022" cm="1">
        <f t="array" aca="1" ref="I1022" ca="1">COLUMN(INDIRECT(A1022))</f>
        <v>3</v>
      </c>
      <c r="M1022" t="str" cm="1">
        <f t="array" aca="1" ref="M1022" ca="1">IF(AND(J1022="O",ISBLANK(INDIRECT(A1022))),"Valeur obligatoire non renseignée","")</f>
        <v/>
      </c>
    </row>
    <row r="1023" spans="1:13" x14ac:dyDescent="0.25">
      <c r="A1023" s="91" t="s">
        <v>3944</v>
      </c>
      <c r="B1023" cm="1">
        <f t="array" aca="1" ref="B1023" ca="1">INDIRECT(A1023)</f>
        <v>0</v>
      </c>
      <c r="C1023">
        <f t="shared" ca="1" si="60"/>
        <v>5</v>
      </c>
      <c r="D1023" t="str" cm="1">
        <f t="array" aca="1" ref="D1023" ca="1">CELL("nomfichier",INDIRECT(A1023))</f>
        <v>G:\SCPE\sdc\bq\6 - Mentions valorisantes\Certification environnementale\TEXTES_REGLEMENTATION_CE\Plans_contrôle et grilles\Grille audit niveau 3\Grille d'audit v1.11\[grille-audit-hvev4-v1.11-vf.xlsx]Surfaces_Horti</v>
      </c>
      <c r="E1023">
        <f t="shared" ca="1" si="61"/>
        <v>200</v>
      </c>
      <c r="F1023">
        <f t="shared" ca="1" si="62"/>
        <v>214</v>
      </c>
      <c r="G1023" t="str">
        <f t="shared" ca="1" si="63"/>
        <v>Surfaces_Horti</v>
      </c>
      <c r="H1023" cm="1">
        <f t="array" aca="1" ref="H1023" ca="1">ROW(INDIRECT(A1023))</f>
        <v>88</v>
      </c>
      <c r="I1023" cm="1">
        <f t="array" aca="1" ref="I1023" ca="1">COLUMN(INDIRECT(A1023))</f>
        <v>4</v>
      </c>
      <c r="M1023" t="str" cm="1">
        <f t="array" aca="1" ref="M1023" ca="1">IF(AND(J1023="O",ISBLANK(INDIRECT(A1023))),"Valeur obligatoire non renseignée","")</f>
        <v/>
      </c>
    </row>
    <row r="1024" spans="1:13" x14ac:dyDescent="0.25">
      <c r="A1024" s="91" t="s">
        <v>3971</v>
      </c>
      <c r="B1024" cm="1">
        <f t="array" aca="1" ref="B1024" ca="1">INDIRECT(A1024)</f>
        <v>0</v>
      </c>
      <c r="C1024">
        <f t="shared" ca="1" si="60"/>
        <v>5</v>
      </c>
      <c r="D1024" t="str" cm="1">
        <f t="array" aca="1" ref="D1024" ca="1">CELL("nomfichier",INDIRECT(A1024))</f>
        <v>G:\SCPE\sdc\bq\6 - Mentions valorisantes\Certification environnementale\TEXTES_REGLEMENTATION_CE\Plans_contrôle et grilles\Grille audit niveau 3\Grille d'audit v1.11\[grille-audit-hvev4-v1.11-vf.xlsx]Surfaces_Horti</v>
      </c>
      <c r="E1024">
        <f t="shared" ca="1" si="61"/>
        <v>200</v>
      </c>
      <c r="F1024">
        <f t="shared" ca="1" si="62"/>
        <v>214</v>
      </c>
      <c r="G1024" t="str">
        <f t="shared" ca="1" si="63"/>
        <v>Surfaces_Horti</v>
      </c>
      <c r="H1024" cm="1">
        <f t="array" aca="1" ref="H1024" ca="1">ROW(INDIRECT(A1024))</f>
        <v>88</v>
      </c>
      <c r="I1024" cm="1">
        <f t="array" aca="1" ref="I1024" ca="1">COLUMN(INDIRECT(A1024))</f>
        <v>5</v>
      </c>
      <c r="M1024" t="str" cm="1">
        <f t="array" aca="1" ref="M1024" ca="1">IF(AND(J1024="O",ISBLANK(INDIRECT(A1024))),"Valeur obligatoire non renseignée","")</f>
        <v/>
      </c>
    </row>
    <row r="1025" spans="1:13" x14ac:dyDescent="0.25">
      <c r="A1025" s="91" t="s">
        <v>3998</v>
      </c>
      <c r="B1025" cm="1">
        <f t="array" aca="1" ref="B1025" ca="1">INDIRECT(A1025)</f>
        <v>0</v>
      </c>
      <c r="C1025">
        <f t="shared" ca="1" si="60"/>
        <v>5</v>
      </c>
      <c r="D1025" t="str" cm="1">
        <f t="array" aca="1" ref="D1025" ca="1">CELL("nomfichier",INDIRECT(A1025))</f>
        <v>G:\SCPE\sdc\bq\6 - Mentions valorisantes\Certification environnementale\TEXTES_REGLEMENTATION_CE\Plans_contrôle et grilles\Grille audit niveau 3\Grille d'audit v1.11\[grille-audit-hvev4-v1.11-vf.xlsx]Surfaces_Horti</v>
      </c>
      <c r="E1025">
        <f t="shared" ca="1" si="61"/>
        <v>200</v>
      </c>
      <c r="F1025">
        <f t="shared" ca="1" si="62"/>
        <v>214</v>
      </c>
      <c r="G1025" t="str">
        <f t="shared" ca="1" si="63"/>
        <v>Surfaces_Horti</v>
      </c>
      <c r="H1025" cm="1">
        <f t="array" aca="1" ref="H1025" ca="1">ROW(INDIRECT(A1025))</f>
        <v>88</v>
      </c>
      <c r="I1025" cm="1">
        <f t="array" aca="1" ref="I1025" ca="1">COLUMN(INDIRECT(A1025))</f>
        <v>6</v>
      </c>
      <c r="M1025" t="str" cm="1">
        <f t="array" aca="1" ref="M1025" ca="1">IF(AND(J1025="O",ISBLANK(INDIRECT(A1025))),"Valeur obligatoire non renseignée","")</f>
        <v/>
      </c>
    </row>
    <row r="1026" spans="1:13" x14ac:dyDescent="0.25">
      <c r="A1026" s="91" t="s">
        <v>4025</v>
      </c>
      <c r="B1026" cm="1">
        <f t="array" aca="1" ref="B1026" ca="1">INDIRECT(A1026)</f>
        <v>0</v>
      </c>
      <c r="C1026">
        <f t="shared" ref="C1026:C1089" ca="1" si="64">_xlfn.SHEET(INDIRECT(A1026))</f>
        <v>5</v>
      </c>
      <c r="D1026" t="str" cm="1">
        <f t="array" aca="1" ref="D1026" ca="1">CELL("nomfichier",INDIRECT(A1026))</f>
        <v>G:\SCPE\sdc\bq\6 - Mentions valorisantes\Certification environnementale\TEXTES_REGLEMENTATION_CE\Plans_contrôle et grilles\Grille audit niveau 3\Grille d'audit v1.11\[grille-audit-hvev4-v1.11-vf.xlsx]Surfaces_Horti</v>
      </c>
      <c r="E1026">
        <f t="shared" ref="E1026:E1089" ca="1" si="65">FIND("]",D1026)</f>
        <v>200</v>
      </c>
      <c r="F1026">
        <f t="shared" ref="F1026:F1089" ca="1" si="66">LEN(D1026)</f>
        <v>214</v>
      </c>
      <c r="G1026" t="str">
        <f t="shared" ref="G1026:G1089" ca="1" si="67">RIGHT(D1026,F1026-E1026)</f>
        <v>Surfaces_Horti</v>
      </c>
      <c r="H1026" cm="1">
        <f t="array" aca="1" ref="H1026" ca="1">ROW(INDIRECT(A1026))</f>
        <v>88</v>
      </c>
      <c r="I1026" cm="1">
        <f t="array" aca="1" ref="I1026" ca="1">COLUMN(INDIRECT(A1026))</f>
        <v>7</v>
      </c>
      <c r="M1026" t="str" cm="1">
        <f t="array" aca="1" ref="M1026" ca="1">IF(AND(J1026="O",ISBLANK(INDIRECT(A1026))),"Valeur obligatoire non renseignée","")</f>
        <v/>
      </c>
    </row>
    <row r="1027" spans="1:13" x14ac:dyDescent="0.25">
      <c r="A1027" s="91" t="s">
        <v>4052</v>
      </c>
      <c r="B1027" cm="1">
        <f t="array" aca="1" ref="B1027" ca="1">INDIRECT(A1027)</f>
        <v>0</v>
      </c>
      <c r="C1027">
        <f t="shared" ca="1" si="64"/>
        <v>5</v>
      </c>
      <c r="D1027" t="str" cm="1">
        <f t="array" aca="1" ref="D1027" ca="1">CELL("nomfichier",INDIRECT(A1027))</f>
        <v>G:\SCPE\sdc\bq\6 - Mentions valorisantes\Certification environnementale\TEXTES_REGLEMENTATION_CE\Plans_contrôle et grilles\Grille audit niveau 3\Grille d'audit v1.11\[grille-audit-hvev4-v1.11-vf.xlsx]Surfaces_Horti</v>
      </c>
      <c r="E1027">
        <f t="shared" ca="1" si="65"/>
        <v>200</v>
      </c>
      <c r="F1027">
        <f t="shared" ca="1" si="66"/>
        <v>214</v>
      </c>
      <c r="G1027" t="str">
        <f t="shared" ca="1" si="67"/>
        <v>Surfaces_Horti</v>
      </c>
      <c r="H1027" cm="1">
        <f t="array" aca="1" ref="H1027" ca="1">ROW(INDIRECT(A1027))</f>
        <v>88</v>
      </c>
      <c r="I1027" cm="1">
        <f t="array" aca="1" ref="I1027" ca="1">COLUMN(INDIRECT(A1027))</f>
        <v>8</v>
      </c>
      <c r="M1027" t="str" cm="1">
        <f t="array" aca="1" ref="M1027" ca="1">IF(AND(J1027="O",ISBLANK(INDIRECT(A1027))),"Valeur obligatoire non renseignée","")</f>
        <v/>
      </c>
    </row>
    <row r="1028" spans="1:13" x14ac:dyDescent="0.25">
      <c r="A1028" s="91" t="s">
        <v>4079</v>
      </c>
      <c r="B1028" cm="1">
        <f t="array" aca="1" ref="B1028" ca="1">INDIRECT(A1028)</f>
        <v>0</v>
      </c>
      <c r="C1028">
        <f t="shared" ca="1" si="64"/>
        <v>5</v>
      </c>
      <c r="D1028" t="str" cm="1">
        <f t="array" aca="1" ref="D1028" ca="1">CELL("nomfichier",INDIRECT(A1028))</f>
        <v>G:\SCPE\sdc\bq\6 - Mentions valorisantes\Certification environnementale\TEXTES_REGLEMENTATION_CE\Plans_contrôle et grilles\Grille audit niveau 3\Grille d'audit v1.11\[grille-audit-hvev4-v1.11-vf.xlsx]Surfaces_Horti</v>
      </c>
      <c r="E1028">
        <f t="shared" ca="1" si="65"/>
        <v>200</v>
      </c>
      <c r="F1028">
        <f t="shared" ca="1" si="66"/>
        <v>214</v>
      </c>
      <c r="G1028" t="str">
        <f t="shared" ca="1" si="67"/>
        <v>Surfaces_Horti</v>
      </c>
      <c r="H1028" cm="1">
        <f t="array" aca="1" ref="H1028" ca="1">ROW(INDIRECT(A1028))</f>
        <v>88</v>
      </c>
      <c r="I1028" cm="1">
        <f t="array" aca="1" ref="I1028" ca="1">COLUMN(INDIRECT(A1028))</f>
        <v>9</v>
      </c>
      <c r="M1028" t="str" cm="1">
        <f t="array" aca="1" ref="M1028" ca="1">IF(AND(J1028="O",ISBLANK(INDIRECT(A1028))),"Valeur obligatoire non renseignée","")</f>
        <v/>
      </c>
    </row>
    <row r="1029" spans="1:13" x14ac:dyDescent="0.25">
      <c r="A1029" s="91" t="s">
        <v>4106</v>
      </c>
      <c r="B1029" cm="1">
        <f t="array" aca="1" ref="B1029" ca="1">INDIRECT(A1029)</f>
        <v>0</v>
      </c>
      <c r="C1029">
        <f t="shared" ca="1" si="64"/>
        <v>5</v>
      </c>
      <c r="D1029" t="str" cm="1">
        <f t="array" aca="1" ref="D1029" ca="1">CELL("nomfichier",INDIRECT(A1029))</f>
        <v>G:\SCPE\sdc\bq\6 - Mentions valorisantes\Certification environnementale\TEXTES_REGLEMENTATION_CE\Plans_contrôle et grilles\Grille audit niveau 3\Grille d'audit v1.11\[grille-audit-hvev4-v1.11-vf.xlsx]Surfaces_Horti</v>
      </c>
      <c r="E1029">
        <f t="shared" ca="1" si="65"/>
        <v>200</v>
      </c>
      <c r="F1029">
        <f t="shared" ca="1" si="66"/>
        <v>214</v>
      </c>
      <c r="G1029" t="str">
        <f t="shared" ca="1" si="67"/>
        <v>Surfaces_Horti</v>
      </c>
      <c r="H1029" cm="1">
        <f t="array" aca="1" ref="H1029" ca="1">ROW(INDIRECT(A1029))</f>
        <v>88</v>
      </c>
      <c r="I1029" cm="1">
        <f t="array" aca="1" ref="I1029" ca="1">COLUMN(INDIRECT(A1029))</f>
        <v>10</v>
      </c>
      <c r="M1029" t="str" cm="1">
        <f t="array" aca="1" ref="M1029" ca="1">IF(AND(J1029="O",ISBLANK(INDIRECT(A1029))),"Valeur obligatoire non renseignée","")</f>
        <v/>
      </c>
    </row>
    <row r="1030" spans="1:13" x14ac:dyDescent="0.25">
      <c r="A1030" s="91" t="s">
        <v>4133</v>
      </c>
      <c r="B1030" cm="1">
        <f t="array" aca="1" ref="B1030" ca="1">INDIRECT(A1030)</f>
        <v>0</v>
      </c>
      <c r="C1030">
        <f t="shared" ca="1" si="64"/>
        <v>5</v>
      </c>
      <c r="D1030" t="str" cm="1">
        <f t="array" aca="1" ref="D1030" ca="1">CELL("nomfichier",INDIRECT(A1030))</f>
        <v>G:\SCPE\sdc\bq\6 - Mentions valorisantes\Certification environnementale\TEXTES_REGLEMENTATION_CE\Plans_contrôle et grilles\Grille audit niveau 3\Grille d'audit v1.11\[grille-audit-hvev4-v1.11-vf.xlsx]Surfaces_Horti</v>
      </c>
      <c r="E1030">
        <f t="shared" ca="1" si="65"/>
        <v>200</v>
      </c>
      <c r="F1030">
        <f t="shared" ca="1" si="66"/>
        <v>214</v>
      </c>
      <c r="G1030" t="str">
        <f t="shared" ca="1" si="67"/>
        <v>Surfaces_Horti</v>
      </c>
      <c r="H1030" cm="1">
        <f t="array" aca="1" ref="H1030" ca="1">ROW(INDIRECT(A1030))</f>
        <v>88</v>
      </c>
      <c r="I1030" cm="1">
        <f t="array" aca="1" ref="I1030" ca="1">COLUMN(INDIRECT(A1030))</f>
        <v>11</v>
      </c>
      <c r="M1030" t="str" cm="1">
        <f t="array" aca="1" ref="M1030" ca="1">IF(AND(J1030="O",ISBLANK(INDIRECT(A1030))),"Valeur obligatoire non renseignée","")</f>
        <v/>
      </c>
    </row>
    <row r="1031" spans="1:13" x14ac:dyDescent="0.25">
      <c r="A1031" s="91" t="s">
        <v>4160</v>
      </c>
      <c r="B1031" cm="1">
        <f t="array" aca="1" ref="B1031" ca="1">INDIRECT(A1031)</f>
        <v>0</v>
      </c>
      <c r="C1031">
        <f t="shared" ca="1" si="64"/>
        <v>5</v>
      </c>
      <c r="D1031" t="str" cm="1">
        <f t="array" aca="1" ref="D1031" ca="1">CELL("nomfichier",INDIRECT(A1031))</f>
        <v>G:\SCPE\sdc\bq\6 - Mentions valorisantes\Certification environnementale\TEXTES_REGLEMENTATION_CE\Plans_contrôle et grilles\Grille audit niveau 3\Grille d'audit v1.11\[grille-audit-hvev4-v1.11-vf.xlsx]Surfaces_Horti</v>
      </c>
      <c r="E1031">
        <f t="shared" ca="1" si="65"/>
        <v>200</v>
      </c>
      <c r="F1031">
        <f t="shared" ca="1" si="66"/>
        <v>214</v>
      </c>
      <c r="G1031" t="str">
        <f t="shared" ca="1" si="67"/>
        <v>Surfaces_Horti</v>
      </c>
      <c r="H1031" cm="1">
        <f t="array" aca="1" ref="H1031" ca="1">ROW(INDIRECT(A1031))</f>
        <v>88</v>
      </c>
      <c r="I1031" cm="1">
        <f t="array" aca="1" ref="I1031" ca="1">COLUMN(INDIRECT(A1031))</f>
        <v>12</v>
      </c>
      <c r="M1031" t="str" cm="1">
        <f t="array" aca="1" ref="M1031" ca="1">IF(AND(J1031="O",ISBLANK(INDIRECT(A1031))),"Valeur obligatoire non renseignée","")</f>
        <v/>
      </c>
    </row>
    <row r="1032" spans="1:13" x14ac:dyDescent="0.25">
      <c r="A1032" s="91" t="s">
        <v>4187</v>
      </c>
      <c r="B1032" cm="1">
        <f t="array" aca="1" ref="B1032" ca="1">INDIRECT(A1032)</f>
        <v>0</v>
      </c>
      <c r="C1032">
        <f t="shared" ca="1" si="64"/>
        <v>5</v>
      </c>
      <c r="D1032" t="str" cm="1">
        <f t="array" aca="1" ref="D1032" ca="1">CELL("nomfichier",INDIRECT(A1032))</f>
        <v>G:\SCPE\sdc\bq\6 - Mentions valorisantes\Certification environnementale\TEXTES_REGLEMENTATION_CE\Plans_contrôle et grilles\Grille audit niveau 3\Grille d'audit v1.11\[grille-audit-hvev4-v1.11-vf.xlsx]Surfaces_Horti</v>
      </c>
      <c r="E1032">
        <f t="shared" ca="1" si="65"/>
        <v>200</v>
      </c>
      <c r="F1032">
        <f t="shared" ca="1" si="66"/>
        <v>214</v>
      </c>
      <c r="G1032" t="str">
        <f t="shared" ca="1" si="67"/>
        <v>Surfaces_Horti</v>
      </c>
      <c r="H1032" cm="1">
        <f t="array" aca="1" ref="H1032" ca="1">ROW(INDIRECT(A1032))</f>
        <v>88</v>
      </c>
      <c r="I1032" cm="1">
        <f t="array" aca="1" ref="I1032" ca="1">COLUMN(INDIRECT(A1032))</f>
        <v>13</v>
      </c>
      <c r="M1032" t="str" cm="1">
        <f t="array" aca="1" ref="M1032" ca="1">IF(AND(J1032="O",ISBLANK(INDIRECT(A1032))),"Valeur obligatoire non renseignée","")</f>
        <v/>
      </c>
    </row>
    <row r="1033" spans="1:13" x14ac:dyDescent="0.25">
      <c r="A1033" s="91" t="s">
        <v>4214</v>
      </c>
      <c r="B1033" cm="1">
        <f t="array" aca="1" ref="B1033" ca="1">INDIRECT(A1033)</f>
        <v>0</v>
      </c>
      <c r="C1033">
        <f t="shared" ca="1" si="64"/>
        <v>5</v>
      </c>
      <c r="D1033" t="str" cm="1">
        <f t="array" aca="1" ref="D1033" ca="1">CELL("nomfichier",INDIRECT(A1033))</f>
        <v>G:\SCPE\sdc\bq\6 - Mentions valorisantes\Certification environnementale\TEXTES_REGLEMENTATION_CE\Plans_contrôle et grilles\Grille audit niveau 3\Grille d'audit v1.11\[grille-audit-hvev4-v1.11-vf.xlsx]Surfaces_Horti</v>
      </c>
      <c r="E1033">
        <f t="shared" ca="1" si="65"/>
        <v>200</v>
      </c>
      <c r="F1033">
        <f t="shared" ca="1" si="66"/>
        <v>214</v>
      </c>
      <c r="G1033" t="str">
        <f t="shared" ca="1" si="67"/>
        <v>Surfaces_Horti</v>
      </c>
      <c r="H1033" cm="1">
        <f t="array" aca="1" ref="H1033" ca="1">ROW(INDIRECT(A1033))</f>
        <v>88</v>
      </c>
      <c r="I1033" cm="1">
        <f t="array" aca="1" ref="I1033" ca="1">COLUMN(INDIRECT(A1033))</f>
        <v>14</v>
      </c>
      <c r="M1033" t="str" cm="1">
        <f t="array" aca="1" ref="M1033" ca="1">IF(AND(J1033="O",ISBLANK(INDIRECT(A1033))),"Valeur obligatoire non renseignée","")</f>
        <v/>
      </c>
    </row>
    <row r="1034" spans="1:13" x14ac:dyDescent="0.25">
      <c r="A1034" s="91" t="s">
        <v>3891</v>
      </c>
      <c r="B1034" cm="1">
        <f t="array" aca="1" ref="B1034" ca="1">INDIRECT(A1034)</f>
        <v>0</v>
      </c>
      <c r="C1034">
        <f t="shared" ca="1" si="64"/>
        <v>5</v>
      </c>
      <c r="D1034" t="str" cm="1">
        <f t="array" aca="1" ref="D1034" ca="1">CELL("nomfichier",INDIRECT(A1034))</f>
        <v>G:\SCPE\sdc\bq\6 - Mentions valorisantes\Certification environnementale\TEXTES_REGLEMENTATION_CE\Plans_contrôle et grilles\Grille audit niveau 3\Grille d'audit v1.11\[grille-audit-hvev4-v1.11-vf.xlsx]Surfaces_Horti</v>
      </c>
      <c r="E1034">
        <f t="shared" ca="1" si="65"/>
        <v>200</v>
      </c>
      <c r="F1034">
        <f t="shared" ca="1" si="66"/>
        <v>214</v>
      </c>
      <c r="G1034" t="str">
        <f t="shared" ca="1" si="67"/>
        <v>Surfaces_Horti</v>
      </c>
      <c r="H1034" cm="1">
        <f t="array" aca="1" ref="H1034" ca="1">ROW(INDIRECT(A1034))</f>
        <v>89</v>
      </c>
      <c r="I1034" cm="1">
        <f t="array" aca="1" ref="I1034" ca="1">COLUMN(INDIRECT(A1034))</f>
        <v>2</v>
      </c>
      <c r="M1034" t="str" cm="1">
        <f t="array" aca="1" ref="M1034" ca="1">IF(AND(J1034="O",ISBLANK(INDIRECT(A1034))),"Valeur obligatoire non renseignée","")</f>
        <v/>
      </c>
    </row>
    <row r="1035" spans="1:13" x14ac:dyDescent="0.25">
      <c r="A1035" s="91" t="s">
        <v>3918</v>
      </c>
      <c r="B1035" cm="1">
        <f t="array" aca="1" ref="B1035" ca="1">INDIRECT(A1035)</f>
        <v>0</v>
      </c>
      <c r="C1035">
        <f t="shared" ca="1" si="64"/>
        <v>5</v>
      </c>
      <c r="D1035" t="str" cm="1">
        <f t="array" aca="1" ref="D1035" ca="1">CELL("nomfichier",INDIRECT(A1035))</f>
        <v>G:\SCPE\sdc\bq\6 - Mentions valorisantes\Certification environnementale\TEXTES_REGLEMENTATION_CE\Plans_contrôle et grilles\Grille audit niveau 3\Grille d'audit v1.11\[grille-audit-hvev4-v1.11-vf.xlsx]Surfaces_Horti</v>
      </c>
      <c r="E1035">
        <f t="shared" ca="1" si="65"/>
        <v>200</v>
      </c>
      <c r="F1035">
        <f t="shared" ca="1" si="66"/>
        <v>214</v>
      </c>
      <c r="G1035" t="str">
        <f t="shared" ca="1" si="67"/>
        <v>Surfaces_Horti</v>
      </c>
      <c r="H1035" cm="1">
        <f t="array" aca="1" ref="H1035" ca="1">ROW(INDIRECT(A1035))</f>
        <v>89</v>
      </c>
      <c r="I1035" cm="1">
        <f t="array" aca="1" ref="I1035" ca="1">COLUMN(INDIRECT(A1035))</f>
        <v>3</v>
      </c>
      <c r="M1035" t="str" cm="1">
        <f t="array" aca="1" ref="M1035" ca="1">IF(AND(J1035="O",ISBLANK(INDIRECT(A1035))),"Valeur obligatoire non renseignée","")</f>
        <v/>
      </c>
    </row>
    <row r="1036" spans="1:13" x14ac:dyDescent="0.25">
      <c r="A1036" s="91" t="s">
        <v>3945</v>
      </c>
      <c r="B1036" cm="1">
        <f t="array" aca="1" ref="B1036" ca="1">INDIRECT(A1036)</f>
        <v>0</v>
      </c>
      <c r="C1036">
        <f t="shared" ca="1" si="64"/>
        <v>5</v>
      </c>
      <c r="D1036" t="str" cm="1">
        <f t="array" aca="1" ref="D1036" ca="1">CELL("nomfichier",INDIRECT(A1036))</f>
        <v>G:\SCPE\sdc\bq\6 - Mentions valorisantes\Certification environnementale\TEXTES_REGLEMENTATION_CE\Plans_contrôle et grilles\Grille audit niveau 3\Grille d'audit v1.11\[grille-audit-hvev4-v1.11-vf.xlsx]Surfaces_Horti</v>
      </c>
      <c r="E1036">
        <f t="shared" ca="1" si="65"/>
        <v>200</v>
      </c>
      <c r="F1036">
        <f t="shared" ca="1" si="66"/>
        <v>214</v>
      </c>
      <c r="G1036" t="str">
        <f t="shared" ca="1" si="67"/>
        <v>Surfaces_Horti</v>
      </c>
      <c r="H1036" cm="1">
        <f t="array" aca="1" ref="H1036" ca="1">ROW(INDIRECT(A1036))</f>
        <v>89</v>
      </c>
      <c r="I1036" cm="1">
        <f t="array" aca="1" ref="I1036" ca="1">COLUMN(INDIRECT(A1036))</f>
        <v>4</v>
      </c>
      <c r="M1036" t="str" cm="1">
        <f t="array" aca="1" ref="M1036" ca="1">IF(AND(J1036="O",ISBLANK(INDIRECT(A1036))),"Valeur obligatoire non renseignée","")</f>
        <v/>
      </c>
    </row>
    <row r="1037" spans="1:13" x14ac:dyDescent="0.25">
      <c r="A1037" s="91" t="s">
        <v>3972</v>
      </c>
      <c r="B1037" cm="1">
        <f t="array" aca="1" ref="B1037" ca="1">INDIRECT(A1037)</f>
        <v>0</v>
      </c>
      <c r="C1037">
        <f t="shared" ca="1" si="64"/>
        <v>5</v>
      </c>
      <c r="D1037" t="str" cm="1">
        <f t="array" aca="1" ref="D1037" ca="1">CELL("nomfichier",INDIRECT(A1037))</f>
        <v>G:\SCPE\sdc\bq\6 - Mentions valorisantes\Certification environnementale\TEXTES_REGLEMENTATION_CE\Plans_contrôle et grilles\Grille audit niveau 3\Grille d'audit v1.11\[grille-audit-hvev4-v1.11-vf.xlsx]Surfaces_Horti</v>
      </c>
      <c r="E1037">
        <f t="shared" ca="1" si="65"/>
        <v>200</v>
      </c>
      <c r="F1037">
        <f t="shared" ca="1" si="66"/>
        <v>214</v>
      </c>
      <c r="G1037" t="str">
        <f t="shared" ca="1" si="67"/>
        <v>Surfaces_Horti</v>
      </c>
      <c r="H1037" cm="1">
        <f t="array" aca="1" ref="H1037" ca="1">ROW(INDIRECT(A1037))</f>
        <v>89</v>
      </c>
      <c r="I1037" cm="1">
        <f t="array" aca="1" ref="I1037" ca="1">COLUMN(INDIRECT(A1037))</f>
        <v>5</v>
      </c>
      <c r="M1037" t="str" cm="1">
        <f t="array" aca="1" ref="M1037" ca="1">IF(AND(J1037="O",ISBLANK(INDIRECT(A1037))),"Valeur obligatoire non renseignée","")</f>
        <v/>
      </c>
    </row>
    <row r="1038" spans="1:13" x14ac:dyDescent="0.25">
      <c r="A1038" s="91" t="s">
        <v>3999</v>
      </c>
      <c r="B1038" cm="1">
        <f t="array" aca="1" ref="B1038" ca="1">INDIRECT(A1038)</f>
        <v>0</v>
      </c>
      <c r="C1038">
        <f t="shared" ca="1" si="64"/>
        <v>5</v>
      </c>
      <c r="D1038" t="str" cm="1">
        <f t="array" aca="1" ref="D1038" ca="1">CELL("nomfichier",INDIRECT(A1038))</f>
        <v>G:\SCPE\sdc\bq\6 - Mentions valorisantes\Certification environnementale\TEXTES_REGLEMENTATION_CE\Plans_contrôle et grilles\Grille audit niveau 3\Grille d'audit v1.11\[grille-audit-hvev4-v1.11-vf.xlsx]Surfaces_Horti</v>
      </c>
      <c r="E1038">
        <f t="shared" ca="1" si="65"/>
        <v>200</v>
      </c>
      <c r="F1038">
        <f t="shared" ca="1" si="66"/>
        <v>214</v>
      </c>
      <c r="G1038" t="str">
        <f t="shared" ca="1" si="67"/>
        <v>Surfaces_Horti</v>
      </c>
      <c r="H1038" cm="1">
        <f t="array" aca="1" ref="H1038" ca="1">ROW(INDIRECT(A1038))</f>
        <v>89</v>
      </c>
      <c r="I1038" cm="1">
        <f t="array" aca="1" ref="I1038" ca="1">COLUMN(INDIRECT(A1038))</f>
        <v>6</v>
      </c>
      <c r="M1038" t="str" cm="1">
        <f t="array" aca="1" ref="M1038" ca="1">IF(AND(J1038="O",ISBLANK(INDIRECT(A1038))),"Valeur obligatoire non renseignée","")</f>
        <v/>
      </c>
    </row>
    <row r="1039" spans="1:13" x14ac:dyDescent="0.25">
      <c r="A1039" s="91" t="s">
        <v>4026</v>
      </c>
      <c r="B1039" cm="1">
        <f t="array" aca="1" ref="B1039" ca="1">INDIRECT(A1039)</f>
        <v>0</v>
      </c>
      <c r="C1039">
        <f t="shared" ca="1" si="64"/>
        <v>5</v>
      </c>
      <c r="D1039" t="str" cm="1">
        <f t="array" aca="1" ref="D1039" ca="1">CELL("nomfichier",INDIRECT(A1039))</f>
        <v>G:\SCPE\sdc\bq\6 - Mentions valorisantes\Certification environnementale\TEXTES_REGLEMENTATION_CE\Plans_contrôle et grilles\Grille audit niveau 3\Grille d'audit v1.11\[grille-audit-hvev4-v1.11-vf.xlsx]Surfaces_Horti</v>
      </c>
      <c r="E1039">
        <f t="shared" ca="1" si="65"/>
        <v>200</v>
      </c>
      <c r="F1039">
        <f t="shared" ca="1" si="66"/>
        <v>214</v>
      </c>
      <c r="G1039" t="str">
        <f t="shared" ca="1" si="67"/>
        <v>Surfaces_Horti</v>
      </c>
      <c r="H1039" cm="1">
        <f t="array" aca="1" ref="H1039" ca="1">ROW(INDIRECT(A1039))</f>
        <v>89</v>
      </c>
      <c r="I1039" cm="1">
        <f t="array" aca="1" ref="I1039" ca="1">COLUMN(INDIRECT(A1039))</f>
        <v>7</v>
      </c>
      <c r="M1039" t="str" cm="1">
        <f t="array" aca="1" ref="M1039" ca="1">IF(AND(J1039="O",ISBLANK(INDIRECT(A1039))),"Valeur obligatoire non renseignée","")</f>
        <v/>
      </c>
    </row>
    <row r="1040" spans="1:13" x14ac:dyDescent="0.25">
      <c r="A1040" s="91" t="s">
        <v>4053</v>
      </c>
      <c r="B1040" cm="1">
        <f t="array" aca="1" ref="B1040" ca="1">INDIRECT(A1040)</f>
        <v>0</v>
      </c>
      <c r="C1040">
        <f t="shared" ca="1" si="64"/>
        <v>5</v>
      </c>
      <c r="D1040" t="str" cm="1">
        <f t="array" aca="1" ref="D1040" ca="1">CELL("nomfichier",INDIRECT(A1040))</f>
        <v>G:\SCPE\sdc\bq\6 - Mentions valorisantes\Certification environnementale\TEXTES_REGLEMENTATION_CE\Plans_contrôle et grilles\Grille audit niveau 3\Grille d'audit v1.11\[grille-audit-hvev4-v1.11-vf.xlsx]Surfaces_Horti</v>
      </c>
      <c r="E1040">
        <f t="shared" ca="1" si="65"/>
        <v>200</v>
      </c>
      <c r="F1040">
        <f t="shared" ca="1" si="66"/>
        <v>214</v>
      </c>
      <c r="G1040" t="str">
        <f t="shared" ca="1" si="67"/>
        <v>Surfaces_Horti</v>
      </c>
      <c r="H1040" cm="1">
        <f t="array" aca="1" ref="H1040" ca="1">ROW(INDIRECT(A1040))</f>
        <v>89</v>
      </c>
      <c r="I1040" cm="1">
        <f t="array" aca="1" ref="I1040" ca="1">COLUMN(INDIRECT(A1040))</f>
        <v>8</v>
      </c>
      <c r="M1040" t="str" cm="1">
        <f t="array" aca="1" ref="M1040" ca="1">IF(AND(J1040="O",ISBLANK(INDIRECT(A1040))),"Valeur obligatoire non renseignée","")</f>
        <v/>
      </c>
    </row>
    <row r="1041" spans="1:13" x14ac:dyDescent="0.25">
      <c r="A1041" s="91" t="s">
        <v>4080</v>
      </c>
      <c r="B1041" cm="1">
        <f t="array" aca="1" ref="B1041" ca="1">INDIRECT(A1041)</f>
        <v>0</v>
      </c>
      <c r="C1041">
        <f t="shared" ca="1" si="64"/>
        <v>5</v>
      </c>
      <c r="D1041" t="str" cm="1">
        <f t="array" aca="1" ref="D1041" ca="1">CELL("nomfichier",INDIRECT(A1041))</f>
        <v>G:\SCPE\sdc\bq\6 - Mentions valorisantes\Certification environnementale\TEXTES_REGLEMENTATION_CE\Plans_contrôle et grilles\Grille audit niveau 3\Grille d'audit v1.11\[grille-audit-hvev4-v1.11-vf.xlsx]Surfaces_Horti</v>
      </c>
      <c r="E1041">
        <f t="shared" ca="1" si="65"/>
        <v>200</v>
      </c>
      <c r="F1041">
        <f t="shared" ca="1" si="66"/>
        <v>214</v>
      </c>
      <c r="G1041" t="str">
        <f t="shared" ca="1" si="67"/>
        <v>Surfaces_Horti</v>
      </c>
      <c r="H1041" cm="1">
        <f t="array" aca="1" ref="H1041" ca="1">ROW(INDIRECT(A1041))</f>
        <v>89</v>
      </c>
      <c r="I1041" cm="1">
        <f t="array" aca="1" ref="I1041" ca="1">COLUMN(INDIRECT(A1041))</f>
        <v>9</v>
      </c>
      <c r="M1041" t="str" cm="1">
        <f t="array" aca="1" ref="M1041" ca="1">IF(AND(J1041="O",ISBLANK(INDIRECT(A1041))),"Valeur obligatoire non renseignée","")</f>
        <v/>
      </c>
    </row>
    <row r="1042" spans="1:13" x14ac:dyDescent="0.25">
      <c r="A1042" s="91" t="s">
        <v>4107</v>
      </c>
      <c r="B1042" cm="1">
        <f t="array" aca="1" ref="B1042" ca="1">INDIRECT(A1042)</f>
        <v>0</v>
      </c>
      <c r="C1042">
        <f t="shared" ca="1" si="64"/>
        <v>5</v>
      </c>
      <c r="D1042" t="str" cm="1">
        <f t="array" aca="1" ref="D1042" ca="1">CELL("nomfichier",INDIRECT(A1042))</f>
        <v>G:\SCPE\sdc\bq\6 - Mentions valorisantes\Certification environnementale\TEXTES_REGLEMENTATION_CE\Plans_contrôle et grilles\Grille audit niveau 3\Grille d'audit v1.11\[grille-audit-hvev4-v1.11-vf.xlsx]Surfaces_Horti</v>
      </c>
      <c r="E1042">
        <f t="shared" ca="1" si="65"/>
        <v>200</v>
      </c>
      <c r="F1042">
        <f t="shared" ca="1" si="66"/>
        <v>214</v>
      </c>
      <c r="G1042" t="str">
        <f t="shared" ca="1" si="67"/>
        <v>Surfaces_Horti</v>
      </c>
      <c r="H1042" cm="1">
        <f t="array" aca="1" ref="H1042" ca="1">ROW(INDIRECT(A1042))</f>
        <v>89</v>
      </c>
      <c r="I1042" cm="1">
        <f t="array" aca="1" ref="I1042" ca="1">COLUMN(INDIRECT(A1042))</f>
        <v>10</v>
      </c>
      <c r="M1042" t="str" cm="1">
        <f t="array" aca="1" ref="M1042" ca="1">IF(AND(J1042="O",ISBLANK(INDIRECT(A1042))),"Valeur obligatoire non renseignée","")</f>
        <v/>
      </c>
    </row>
    <row r="1043" spans="1:13" x14ac:dyDescent="0.25">
      <c r="A1043" s="91" t="s">
        <v>4134</v>
      </c>
      <c r="B1043" cm="1">
        <f t="array" aca="1" ref="B1043" ca="1">INDIRECT(A1043)</f>
        <v>0</v>
      </c>
      <c r="C1043">
        <f t="shared" ca="1" si="64"/>
        <v>5</v>
      </c>
      <c r="D1043" t="str" cm="1">
        <f t="array" aca="1" ref="D1043" ca="1">CELL("nomfichier",INDIRECT(A1043))</f>
        <v>G:\SCPE\sdc\bq\6 - Mentions valorisantes\Certification environnementale\TEXTES_REGLEMENTATION_CE\Plans_contrôle et grilles\Grille audit niveau 3\Grille d'audit v1.11\[grille-audit-hvev4-v1.11-vf.xlsx]Surfaces_Horti</v>
      </c>
      <c r="E1043">
        <f t="shared" ca="1" si="65"/>
        <v>200</v>
      </c>
      <c r="F1043">
        <f t="shared" ca="1" si="66"/>
        <v>214</v>
      </c>
      <c r="G1043" t="str">
        <f t="shared" ca="1" si="67"/>
        <v>Surfaces_Horti</v>
      </c>
      <c r="H1043" cm="1">
        <f t="array" aca="1" ref="H1043" ca="1">ROW(INDIRECT(A1043))</f>
        <v>89</v>
      </c>
      <c r="I1043" cm="1">
        <f t="array" aca="1" ref="I1043" ca="1">COLUMN(INDIRECT(A1043))</f>
        <v>11</v>
      </c>
      <c r="M1043" t="str" cm="1">
        <f t="array" aca="1" ref="M1043" ca="1">IF(AND(J1043="O",ISBLANK(INDIRECT(A1043))),"Valeur obligatoire non renseignée","")</f>
        <v/>
      </c>
    </row>
    <row r="1044" spans="1:13" x14ac:dyDescent="0.25">
      <c r="A1044" s="91" t="s">
        <v>4161</v>
      </c>
      <c r="B1044" cm="1">
        <f t="array" aca="1" ref="B1044" ca="1">INDIRECT(A1044)</f>
        <v>0</v>
      </c>
      <c r="C1044">
        <f t="shared" ca="1" si="64"/>
        <v>5</v>
      </c>
      <c r="D1044" t="str" cm="1">
        <f t="array" aca="1" ref="D1044" ca="1">CELL("nomfichier",INDIRECT(A1044))</f>
        <v>G:\SCPE\sdc\bq\6 - Mentions valorisantes\Certification environnementale\TEXTES_REGLEMENTATION_CE\Plans_contrôle et grilles\Grille audit niveau 3\Grille d'audit v1.11\[grille-audit-hvev4-v1.11-vf.xlsx]Surfaces_Horti</v>
      </c>
      <c r="E1044">
        <f t="shared" ca="1" si="65"/>
        <v>200</v>
      </c>
      <c r="F1044">
        <f t="shared" ca="1" si="66"/>
        <v>214</v>
      </c>
      <c r="G1044" t="str">
        <f t="shared" ca="1" si="67"/>
        <v>Surfaces_Horti</v>
      </c>
      <c r="H1044" cm="1">
        <f t="array" aca="1" ref="H1044" ca="1">ROW(INDIRECT(A1044))</f>
        <v>89</v>
      </c>
      <c r="I1044" cm="1">
        <f t="array" aca="1" ref="I1044" ca="1">COLUMN(INDIRECT(A1044))</f>
        <v>12</v>
      </c>
      <c r="M1044" t="str" cm="1">
        <f t="array" aca="1" ref="M1044" ca="1">IF(AND(J1044="O",ISBLANK(INDIRECT(A1044))),"Valeur obligatoire non renseignée","")</f>
        <v/>
      </c>
    </row>
    <row r="1045" spans="1:13" x14ac:dyDescent="0.25">
      <c r="A1045" s="91" t="s">
        <v>4188</v>
      </c>
      <c r="B1045" cm="1">
        <f t="array" aca="1" ref="B1045" ca="1">INDIRECT(A1045)</f>
        <v>0</v>
      </c>
      <c r="C1045">
        <f t="shared" ca="1" si="64"/>
        <v>5</v>
      </c>
      <c r="D1045" t="str" cm="1">
        <f t="array" aca="1" ref="D1045" ca="1">CELL("nomfichier",INDIRECT(A1045))</f>
        <v>G:\SCPE\sdc\bq\6 - Mentions valorisantes\Certification environnementale\TEXTES_REGLEMENTATION_CE\Plans_contrôle et grilles\Grille audit niveau 3\Grille d'audit v1.11\[grille-audit-hvev4-v1.11-vf.xlsx]Surfaces_Horti</v>
      </c>
      <c r="E1045">
        <f t="shared" ca="1" si="65"/>
        <v>200</v>
      </c>
      <c r="F1045">
        <f t="shared" ca="1" si="66"/>
        <v>214</v>
      </c>
      <c r="G1045" t="str">
        <f t="shared" ca="1" si="67"/>
        <v>Surfaces_Horti</v>
      </c>
      <c r="H1045" cm="1">
        <f t="array" aca="1" ref="H1045" ca="1">ROW(INDIRECT(A1045))</f>
        <v>89</v>
      </c>
      <c r="I1045" cm="1">
        <f t="array" aca="1" ref="I1045" ca="1">COLUMN(INDIRECT(A1045))</f>
        <v>13</v>
      </c>
      <c r="M1045" t="str" cm="1">
        <f t="array" aca="1" ref="M1045" ca="1">IF(AND(J1045="O",ISBLANK(INDIRECT(A1045))),"Valeur obligatoire non renseignée","")</f>
        <v/>
      </c>
    </row>
    <row r="1046" spans="1:13" x14ac:dyDescent="0.25">
      <c r="A1046" s="91" t="s">
        <v>4215</v>
      </c>
      <c r="B1046" cm="1">
        <f t="array" aca="1" ref="B1046" ca="1">INDIRECT(A1046)</f>
        <v>0</v>
      </c>
      <c r="C1046">
        <f t="shared" ca="1" si="64"/>
        <v>5</v>
      </c>
      <c r="D1046" t="str" cm="1">
        <f t="array" aca="1" ref="D1046" ca="1">CELL("nomfichier",INDIRECT(A1046))</f>
        <v>G:\SCPE\sdc\bq\6 - Mentions valorisantes\Certification environnementale\TEXTES_REGLEMENTATION_CE\Plans_contrôle et grilles\Grille audit niveau 3\Grille d'audit v1.11\[grille-audit-hvev4-v1.11-vf.xlsx]Surfaces_Horti</v>
      </c>
      <c r="E1046">
        <f t="shared" ca="1" si="65"/>
        <v>200</v>
      </c>
      <c r="F1046">
        <f t="shared" ca="1" si="66"/>
        <v>214</v>
      </c>
      <c r="G1046" t="str">
        <f t="shared" ca="1" si="67"/>
        <v>Surfaces_Horti</v>
      </c>
      <c r="H1046" cm="1">
        <f t="array" aca="1" ref="H1046" ca="1">ROW(INDIRECT(A1046))</f>
        <v>89</v>
      </c>
      <c r="I1046" cm="1">
        <f t="array" aca="1" ref="I1046" ca="1">COLUMN(INDIRECT(A1046))</f>
        <v>14</v>
      </c>
      <c r="M1046" t="str" cm="1">
        <f t="array" aca="1" ref="M1046" ca="1">IF(AND(J1046="O",ISBLANK(INDIRECT(A1046))),"Valeur obligatoire non renseignée","")</f>
        <v/>
      </c>
    </row>
    <row r="1047" spans="1:13" x14ac:dyDescent="0.25">
      <c r="A1047" s="91" t="s">
        <v>3892</v>
      </c>
      <c r="B1047" cm="1">
        <f t="array" aca="1" ref="B1047" ca="1">INDIRECT(A1047)</f>
        <v>0</v>
      </c>
      <c r="C1047">
        <f t="shared" ca="1" si="64"/>
        <v>5</v>
      </c>
      <c r="D1047" t="str" cm="1">
        <f t="array" aca="1" ref="D1047" ca="1">CELL("nomfichier",INDIRECT(A1047))</f>
        <v>G:\SCPE\sdc\bq\6 - Mentions valorisantes\Certification environnementale\TEXTES_REGLEMENTATION_CE\Plans_contrôle et grilles\Grille audit niveau 3\Grille d'audit v1.11\[grille-audit-hvev4-v1.11-vf.xlsx]Surfaces_Horti</v>
      </c>
      <c r="E1047">
        <f t="shared" ca="1" si="65"/>
        <v>200</v>
      </c>
      <c r="F1047">
        <f t="shared" ca="1" si="66"/>
        <v>214</v>
      </c>
      <c r="G1047" t="str">
        <f t="shared" ca="1" si="67"/>
        <v>Surfaces_Horti</v>
      </c>
      <c r="H1047" cm="1">
        <f t="array" aca="1" ref="H1047" ca="1">ROW(INDIRECT(A1047))</f>
        <v>90</v>
      </c>
      <c r="I1047" cm="1">
        <f t="array" aca="1" ref="I1047" ca="1">COLUMN(INDIRECT(A1047))</f>
        <v>2</v>
      </c>
      <c r="M1047" t="str" cm="1">
        <f t="array" aca="1" ref="M1047" ca="1">IF(AND(J1047="O",ISBLANK(INDIRECT(A1047))),"Valeur obligatoire non renseignée","")</f>
        <v/>
      </c>
    </row>
    <row r="1048" spans="1:13" x14ac:dyDescent="0.25">
      <c r="A1048" s="91" t="s">
        <v>3919</v>
      </c>
      <c r="B1048" cm="1">
        <f t="array" aca="1" ref="B1048" ca="1">INDIRECT(A1048)</f>
        <v>0</v>
      </c>
      <c r="C1048">
        <f t="shared" ca="1" si="64"/>
        <v>5</v>
      </c>
      <c r="D1048" t="str" cm="1">
        <f t="array" aca="1" ref="D1048" ca="1">CELL("nomfichier",INDIRECT(A1048))</f>
        <v>G:\SCPE\sdc\bq\6 - Mentions valorisantes\Certification environnementale\TEXTES_REGLEMENTATION_CE\Plans_contrôle et grilles\Grille audit niveau 3\Grille d'audit v1.11\[grille-audit-hvev4-v1.11-vf.xlsx]Surfaces_Horti</v>
      </c>
      <c r="E1048">
        <f t="shared" ca="1" si="65"/>
        <v>200</v>
      </c>
      <c r="F1048">
        <f t="shared" ca="1" si="66"/>
        <v>214</v>
      </c>
      <c r="G1048" t="str">
        <f t="shared" ca="1" si="67"/>
        <v>Surfaces_Horti</v>
      </c>
      <c r="H1048" cm="1">
        <f t="array" aca="1" ref="H1048" ca="1">ROW(INDIRECT(A1048))</f>
        <v>90</v>
      </c>
      <c r="I1048" cm="1">
        <f t="array" aca="1" ref="I1048" ca="1">COLUMN(INDIRECT(A1048))</f>
        <v>3</v>
      </c>
      <c r="M1048" t="str" cm="1">
        <f t="array" aca="1" ref="M1048" ca="1">IF(AND(J1048="O",ISBLANK(INDIRECT(A1048))),"Valeur obligatoire non renseignée","")</f>
        <v/>
      </c>
    </row>
    <row r="1049" spans="1:13" x14ac:dyDescent="0.25">
      <c r="A1049" s="91" t="s">
        <v>3946</v>
      </c>
      <c r="B1049" cm="1">
        <f t="array" aca="1" ref="B1049" ca="1">INDIRECT(A1049)</f>
        <v>0</v>
      </c>
      <c r="C1049">
        <f t="shared" ca="1" si="64"/>
        <v>5</v>
      </c>
      <c r="D1049" t="str" cm="1">
        <f t="array" aca="1" ref="D1049" ca="1">CELL("nomfichier",INDIRECT(A1049))</f>
        <v>G:\SCPE\sdc\bq\6 - Mentions valorisantes\Certification environnementale\TEXTES_REGLEMENTATION_CE\Plans_contrôle et grilles\Grille audit niveau 3\Grille d'audit v1.11\[grille-audit-hvev4-v1.11-vf.xlsx]Surfaces_Horti</v>
      </c>
      <c r="E1049">
        <f t="shared" ca="1" si="65"/>
        <v>200</v>
      </c>
      <c r="F1049">
        <f t="shared" ca="1" si="66"/>
        <v>214</v>
      </c>
      <c r="G1049" t="str">
        <f t="shared" ca="1" si="67"/>
        <v>Surfaces_Horti</v>
      </c>
      <c r="H1049" cm="1">
        <f t="array" aca="1" ref="H1049" ca="1">ROW(INDIRECT(A1049))</f>
        <v>90</v>
      </c>
      <c r="I1049" cm="1">
        <f t="array" aca="1" ref="I1049" ca="1">COLUMN(INDIRECT(A1049))</f>
        <v>4</v>
      </c>
      <c r="M1049" t="str" cm="1">
        <f t="array" aca="1" ref="M1049" ca="1">IF(AND(J1049="O",ISBLANK(INDIRECT(A1049))),"Valeur obligatoire non renseignée","")</f>
        <v/>
      </c>
    </row>
    <row r="1050" spans="1:13" x14ac:dyDescent="0.25">
      <c r="A1050" s="91" t="s">
        <v>3973</v>
      </c>
      <c r="B1050" cm="1">
        <f t="array" aca="1" ref="B1050" ca="1">INDIRECT(A1050)</f>
        <v>0</v>
      </c>
      <c r="C1050">
        <f t="shared" ca="1" si="64"/>
        <v>5</v>
      </c>
      <c r="D1050" t="str" cm="1">
        <f t="array" aca="1" ref="D1050" ca="1">CELL("nomfichier",INDIRECT(A1050))</f>
        <v>G:\SCPE\sdc\bq\6 - Mentions valorisantes\Certification environnementale\TEXTES_REGLEMENTATION_CE\Plans_contrôle et grilles\Grille audit niveau 3\Grille d'audit v1.11\[grille-audit-hvev4-v1.11-vf.xlsx]Surfaces_Horti</v>
      </c>
      <c r="E1050">
        <f t="shared" ca="1" si="65"/>
        <v>200</v>
      </c>
      <c r="F1050">
        <f t="shared" ca="1" si="66"/>
        <v>214</v>
      </c>
      <c r="G1050" t="str">
        <f t="shared" ca="1" si="67"/>
        <v>Surfaces_Horti</v>
      </c>
      <c r="H1050" cm="1">
        <f t="array" aca="1" ref="H1050" ca="1">ROW(INDIRECT(A1050))</f>
        <v>90</v>
      </c>
      <c r="I1050" cm="1">
        <f t="array" aca="1" ref="I1050" ca="1">COLUMN(INDIRECT(A1050))</f>
        <v>5</v>
      </c>
      <c r="M1050" t="str" cm="1">
        <f t="array" aca="1" ref="M1050" ca="1">IF(AND(J1050="O",ISBLANK(INDIRECT(A1050))),"Valeur obligatoire non renseignée","")</f>
        <v/>
      </c>
    </row>
    <row r="1051" spans="1:13" x14ac:dyDescent="0.25">
      <c r="A1051" s="91" t="s">
        <v>4000</v>
      </c>
      <c r="B1051" cm="1">
        <f t="array" aca="1" ref="B1051" ca="1">INDIRECT(A1051)</f>
        <v>0</v>
      </c>
      <c r="C1051">
        <f t="shared" ca="1" si="64"/>
        <v>5</v>
      </c>
      <c r="D1051" t="str" cm="1">
        <f t="array" aca="1" ref="D1051" ca="1">CELL("nomfichier",INDIRECT(A1051))</f>
        <v>G:\SCPE\sdc\bq\6 - Mentions valorisantes\Certification environnementale\TEXTES_REGLEMENTATION_CE\Plans_contrôle et grilles\Grille audit niveau 3\Grille d'audit v1.11\[grille-audit-hvev4-v1.11-vf.xlsx]Surfaces_Horti</v>
      </c>
      <c r="E1051">
        <f t="shared" ca="1" si="65"/>
        <v>200</v>
      </c>
      <c r="F1051">
        <f t="shared" ca="1" si="66"/>
        <v>214</v>
      </c>
      <c r="G1051" t="str">
        <f t="shared" ca="1" si="67"/>
        <v>Surfaces_Horti</v>
      </c>
      <c r="H1051" cm="1">
        <f t="array" aca="1" ref="H1051" ca="1">ROW(INDIRECT(A1051))</f>
        <v>90</v>
      </c>
      <c r="I1051" cm="1">
        <f t="array" aca="1" ref="I1051" ca="1">COLUMN(INDIRECT(A1051))</f>
        <v>6</v>
      </c>
      <c r="M1051" t="str" cm="1">
        <f t="array" aca="1" ref="M1051" ca="1">IF(AND(J1051="O",ISBLANK(INDIRECT(A1051))),"Valeur obligatoire non renseignée","")</f>
        <v/>
      </c>
    </row>
    <row r="1052" spans="1:13" x14ac:dyDescent="0.25">
      <c r="A1052" s="91" t="s">
        <v>4027</v>
      </c>
      <c r="B1052" cm="1">
        <f t="array" aca="1" ref="B1052" ca="1">INDIRECT(A1052)</f>
        <v>0</v>
      </c>
      <c r="C1052">
        <f t="shared" ca="1" si="64"/>
        <v>5</v>
      </c>
      <c r="D1052" t="str" cm="1">
        <f t="array" aca="1" ref="D1052" ca="1">CELL("nomfichier",INDIRECT(A1052))</f>
        <v>G:\SCPE\sdc\bq\6 - Mentions valorisantes\Certification environnementale\TEXTES_REGLEMENTATION_CE\Plans_contrôle et grilles\Grille audit niveau 3\Grille d'audit v1.11\[grille-audit-hvev4-v1.11-vf.xlsx]Surfaces_Horti</v>
      </c>
      <c r="E1052">
        <f t="shared" ca="1" si="65"/>
        <v>200</v>
      </c>
      <c r="F1052">
        <f t="shared" ca="1" si="66"/>
        <v>214</v>
      </c>
      <c r="G1052" t="str">
        <f t="shared" ca="1" si="67"/>
        <v>Surfaces_Horti</v>
      </c>
      <c r="H1052" cm="1">
        <f t="array" aca="1" ref="H1052" ca="1">ROW(INDIRECT(A1052))</f>
        <v>90</v>
      </c>
      <c r="I1052" cm="1">
        <f t="array" aca="1" ref="I1052" ca="1">COLUMN(INDIRECT(A1052))</f>
        <v>7</v>
      </c>
      <c r="M1052" t="str" cm="1">
        <f t="array" aca="1" ref="M1052" ca="1">IF(AND(J1052="O",ISBLANK(INDIRECT(A1052))),"Valeur obligatoire non renseignée","")</f>
        <v/>
      </c>
    </row>
    <row r="1053" spans="1:13" x14ac:dyDescent="0.25">
      <c r="A1053" s="91" t="s">
        <v>4054</v>
      </c>
      <c r="B1053" cm="1">
        <f t="array" aca="1" ref="B1053" ca="1">INDIRECT(A1053)</f>
        <v>0</v>
      </c>
      <c r="C1053">
        <f t="shared" ca="1" si="64"/>
        <v>5</v>
      </c>
      <c r="D1053" t="str" cm="1">
        <f t="array" aca="1" ref="D1053" ca="1">CELL("nomfichier",INDIRECT(A1053))</f>
        <v>G:\SCPE\sdc\bq\6 - Mentions valorisantes\Certification environnementale\TEXTES_REGLEMENTATION_CE\Plans_contrôle et grilles\Grille audit niveau 3\Grille d'audit v1.11\[grille-audit-hvev4-v1.11-vf.xlsx]Surfaces_Horti</v>
      </c>
      <c r="E1053">
        <f t="shared" ca="1" si="65"/>
        <v>200</v>
      </c>
      <c r="F1053">
        <f t="shared" ca="1" si="66"/>
        <v>214</v>
      </c>
      <c r="G1053" t="str">
        <f t="shared" ca="1" si="67"/>
        <v>Surfaces_Horti</v>
      </c>
      <c r="H1053" cm="1">
        <f t="array" aca="1" ref="H1053" ca="1">ROW(INDIRECT(A1053))</f>
        <v>90</v>
      </c>
      <c r="I1053" cm="1">
        <f t="array" aca="1" ref="I1053" ca="1">COLUMN(INDIRECT(A1053))</f>
        <v>8</v>
      </c>
      <c r="M1053" t="str" cm="1">
        <f t="array" aca="1" ref="M1053" ca="1">IF(AND(J1053="O",ISBLANK(INDIRECT(A1053))),"Valeur obligatoire non renseignée","")</f>
        <v/>
      </c>
    </row>
    <row r="1054" spans="1:13" x14ac:dyDescent="0.25">
      <c r="A1054" s="91" t="s">
        <v>4081</v>
      </c>
      <c r="B1054" cm="1">
        <f t="array" aca="1" ref="B1054" ca="1">INDIRECT(A1054)</f>
        <v>0</v>
      </c>
      <c r="C1054">
        <f t="shared" ca="1" si="64"/>
        <v>5</v>
      </c>
      <c r="D1054" t="str" cm="1">
        <f t="array" aca="1" ref="D1054" ca="1">CELL("nomfichier",INDIRECT(A1054))</f>
        <v>G:\SCPE\sdc\bq\6 - Mentions valorisantes\Certification environnementale\TEXTES_REGLEMENTATION_CE\Plans_contrôle et grilles\Grille audit niveau 3\Grille d'audit v1.11\[grille-audit-hvev4-v1.11-vf.xlsx]Surfaces_Horti</v>
      </c>
      <c r="E1054">
        <f t="shared" ca="1" si="65"/>
        <v>200</v>
      </c>
      <c r="F1054">
        <f t="shared" ca="1" si="66"/>
        <v>214</v>
      </c>
      <c r="G1054" t="str">
        <f t="shared" ca="1" si="67"/>
        <v>Surfaces_Horti</v>
      </c>
      <c r="H1054" cm="1">
        <f t="array" aca="1" ref="H1054" ca="1">ROW(INDIRECT(A1054))</f>
        <v>90</v>
      </c>
      <c r="I1054" cm="1">
        <f t="array" aca="1" ref="I1054" ca="1">COLUMN(INDIRECT(A1054))</f>
        <v>9</v>
      </c>
      <c r="M1054" t="str" cm="1">
        <f t="array" aca="1" ref="M1054" ca="1">IF(AND(J1054="O",ISBLANK(INDIRECT(A1054))),"Valeur obligatoire non renseignée","")</f>
        <v/>
      </c>
    </row>
    <row r="1055" spans="1:13" x14ac:dyDescent="0.25">
      <c r="A1055" s="91" t="s">
        <v>4108</v>
      </c>
      <c r="B1055" cm="1">
        <f t="array" aca="1" ref="B1055" ca="1">INDIRECT(A1055)</f>
        <v>0</v>
      </c>
      <c r="C1055">
        <f t="shared" ca="1" si="64"/>
        <v>5</v>
      </c>
      <c r="D1055" t="str" cm="1">
        <f t="array" aca="1" ref="D1055" ca="1">CELL("nomfichier",INDIRECT(A1055))</f>
        <v>G:\SCPE\sdc\bq\6 - Mentions valorisantes\Certification environnementale\TEXTES_REGLEMENTATION_CE\Plans_contrôle et grilles\Grille audit niveau 3\Grille d'audit v1.11\[grille-audit-hvev4-v1.11-vf.xlsx]Surfaces_Horti</v>
      </c>
      <c r="E1055">
        <f t="shared" ca="1" si="65"/>
        <v>200</v>
      </c>
      <c r="F1055">
        <f t="shared" ca="1" si="66"/>
        <v>214</v>
      </c>
      <c r="G1055" t="str">
        <f t="shared" ca="1" si="67"/>
        <v>Surfaces_Horti</v>
      </c>
      <c r="H1055" cm="1">
        <f t="array" aca="1" ref="H1055" ca="1">ROW(INDIRECT(A1055))</f>
        <v>90</v>
      </c>
      <c r="I1055" cm="1">
        <f t="array" aca="1" ref="I1055" ca="1">COLUMN(INDIRECT(A1055))</f>
        <v>10</v>
      </c>
      <c r="M1055" t="str" cm="1">
        <f t="array" aca="1" ref="M1055" ca="1">IF(AND(J1055="O",ISBLANK(INDIRECT(A1055))),"Valeur obligatoire non renseignée","")</f>
        <v/>
      </c>
    </row>
    <row r="1056" spans="1:13" x14ac:dyDescent="0.25">
      <c r="A1056" s="91" t="s">
        <v>4135</v>
      </c>
      <c r="B1056" cm="1">
        <f t="array" aca="1" ref="B1056" ca="1">INDIRECT(A1056)</f>
        <v>0</v>
      </c>
      <c r="C1056">
        <f t="shared" ca="1" si="64"/>
        <v>5</v>
      </c>
      <c r="D1056" t="str" cm="1">
        <f t="array" aca="1" ref="D1056" ca="1">CELL("nomfichier",INDIRECT(A1056))</f>
        <v>G:\SCPE\sdc\bq\6 - Mentions valorisantes\Certification environnementale\TEXTES_REGLEMENTATION_CE\Plans_contrôle et grilles\Grille audit niveau 3\Grille d'audit v1.11\[grille-audit-hvev4-v1.11-vf.xlsx]Surfaces_Horti</v>
      </c>
      <c r="E1056">
        <f t="shared" ca="1" si="65"/>
        <v>200</v>
      </c>
      <c r="F1056">
        <f t="shared" ca="1" si="66"/>
        <v>214</v>
      </c>
      <c r="G1056" t="str">
        <f t="shared" ca="1" si="67"/>
        <v>Surfaces_Horti</v>
      </c>
      <c r="H1056" cm="1">
        <f t="array" aca="1" ref="H1056" ca="1">ROW(INDIRECT(A1056))</f>
        <v>90</v>
      </c>
      <c r="I1056" cm="1">
        <f t="array" aca="1" ref="I1056" ca="1">COLUMN(INDIRECT(A1056))</f>
        <v>11</v>
      </c>
      <c r="M1056" t="str" cm="1">
        <f t="array" aca="1" ref="M1056" ca="1">IF(AND(J1056="O",ISBLANK(INDIRECT(A1056))),"Valeur obligatoire non renseignée","")</f>
        <v/>
      </c>
    </row>
    <row r="1057" spans="1:13" x14ac:dyDescent="0.25">
      <c r="A1057" s="91" t="s">
        <v>4162</v>
      </c>
      <c r="B1057" cm="1">
        <f t="array" aca="1" ref="B1057" ca="1">INDIRECT(A1057)</f>
        <v>0</v>
      </c>
      <c r="C1057">
        <f t="shared" ca="1" si="64"/>
        <v>5</v>
      </c>
      <c r="D1057" t="str" cm="1">
        <f t="array" aca="1" ref="D1057" ca="1">CELL("nomfichier",INDIRECT(A1057))</f>
        <v>G:\SCPE\sdc\bq\6 - Mentions valorisantes\Certification environnementale\TEXTES_REGLEMENTATION_CE\Plans_contrôle et grilles\Grille audit niveau 3\Grille d'audit v1.11\[grille-audit-hvev4-v1.11-vf.xlsx]Surfaces_Horti</v>
      </c>
      <c r="E1057">
        <f t="shared" ca="1" si="65"/>
        <v>200</v>
      </c>
      <c r="F1057">
        <f t="shared" ca="1" si="66"/>
        <v>214</v>
      </c>
      <c r="G1057" t="str">
        <f t="shared" ca="1" si="67"/>
        <v>Surfaces_Horti</v>
      </c>
      <c r="H1057" cm="1">
        <f t="array" aca="1" ref="H1057" ca="1">ROW(INDIRECT(A1057))</f>
        <v>90</v>
      </c>
      <c r="I1057" cm="1">
        <f t="array" aca="1" ref="I1057" ca="1">COLUMN(INDIRECT(A1057))</f>
        <v>12</v>
      </c>
      <c r="M1057" t="str" cm="1">
        <f t="array" aca="1" ref="M1057" ca="1">IF(AND(J1057="O",ISBLANK(INDIRECT(A1057))),"Valeur obligatoire non renseignée","")</f>
        <v/>
      </c>
    </row>
    <row r="1058" spans="1:13" x14ac:dyDescent="0.25">
      <c r="A1058" s="91" t="s">
        <v>4189</v>
      </c>
      <c r="B1058" cm="1">
        <f t="array" aca="1" ref="B1058" ca="1">INDIRECT(A1058)</f>
        <v>0</v>
      </c>
      <c r="C1058">
        <f t="shared" ca="1" si="64"/>
        <v>5</v>
      </c>
      <c r="D1058" t="str" cm="1">
        <f t="array" aca="1" ref="D1058" ca="1">CELL("nomfichier",INDIRECT(A1058))</f>
        <v>G:\SCPE\sdc\bq\6 - Mentions valorisantes\Certification environnementale\TEXTES_REGLEMENTATION_CE\Plans_contrôle et grilles\Grille audit niveau 3\Grille d'audit v1.11\[grille-audit-hvev4-v1.11-vf.xlsx]Surfaces_Horti</v>
      </c>
      <c r="E1058">
        <f t="shared" ca="1" si="65"/>
        <v>200</v>
      </c>
      <c r="F1058">
        <f t="shared" ca="1" si="66"/>
        <v>214</v>
      </c>
      <c r="G1058" t="str">
        <f t="shared" ca="1" si="67"/>
        <v>Surfaces_Horti</v>
      </c>
      <c r="H1058" cm="1">
        <f t="array" aca="1" ref="H1058" ca="1">ROW(INDIRECT(A1058))</f>
        <v>90</v>
      </c>
      <c r="I1058" cm="1">
        <f t="array" aca="1" ref="I1058" ca="1">COLUMN(INDIRECT(A1058))</f>
        <v>13</v>
      </c>
      <c r="M1058" t="str" cm="1">
        <f t="array" aca="1" ref="M1058" ca="1">IF(AND(J1058="O",ISBLANK(INDIRECT(A1058))),"Valeur obligatoire non renseignée","")</f>
        <v/>
      </c>
    </row>
    <row r="1059" spans="1:13" x14ac:dyDescent="0.25">
      <c r="A1059" s="91" t="s">
        <v>4216</v>
      </c>
      <c r="B1059" cm="1">
        <f t="array" aca="1" ref="B1059" ca="1">INDIRECT(A1059)</f>
        <v>0</v>
      </c>
      <c r="C1059">
        <f t="shared" ca="1" si="64"/>
        <v>5</v>
      </c>
      <c r="D1059" t="str" cm="1">
        <f t="array" aca="1" ref="D1059" ca="1">CELL("nomfichier",INDIRECT(A1059))</f>
        <v>G:\SCPE\sdc\bq\6 - Mentions valorisantes\Certification environnementale\TEXTES_REGLEMENTATION_CE\Plans_contrôle et grilles\Grille audit niveau 3\Grille d'audit v1.11\[grille-audit-hvev4-v1.11-vf.xlsx]Surfaces_Horti</v>
      </c>
      <c r="E1059">
        <f t="shared" ca="1" si="65"/>
        <v>200</v>
      </c>
      <c r="F1059">
        <f t="shared" ca="1" si="66"/>
        <v>214</v>
      </c>
      <c r="G1059" t="str">
        <f t="shared" ca="1" si="67"/>
        <v>Surfaces_Horti</v>
      </c>
      <c r="H1059" cm="1">
        <f t="array" aca="1" ref="H1059" ca="1">ROW(INDIRECT(A1059))</f>
        <v>90</v>
      </c>
      <c r="I1059" cm="1">
        <f t="array" aca="1" ref="I1059" ca="1">COLUMN(INDIRECT(A1059))</f>
        <v>14</v>
      </c>
      <c r="M1059" t="str" cm="1">
        <f t="array" aca="1" ref="M1059" ca="1">IF(AND(J1059="O",ISBLANK(INDIRECT(A1059))),"Valeur obligatoire non renseignée","")</f>
        <v/>
      </c>
    </row>
    <row r="1060" spans="1:13" x14ac:dyDescent="0.25">
      <c r="A1060" s="91" t="s">
        <v>3893</v>
      </c>
      <c r="B1060" cm="1">
        <f t="array" aca="1" ref="B1060" ca="1">INDIRECT(A1060)</f>
        <v>0</v>
      </c>
      <c r="C1060">
        <f t="shared" ca="1" si="64"/>
        <v>5</v>
      </c>
      <c r="D1060" t="str" cm="1">
        <f t="array" aca="1" ref="D1060" ca="1">CELL("nomfichier",INDIRECT(A1060))</f>
        <v>G:\SCPE\sdc\bq\6 - Mentions valorisantes\Certification environnementale\TEXTES_REGLEMENTATION_CE\Plans_contrôle et grilles\Grille audit niveau 3\Grille d'audit v1.11\[grille-audit-hvev4-v1.11-vf.xlsx]Surfaces_Horti</v>
      </c>
      <c r="E1060">
        <f t="shared" ca="1" si="65"/>
        <v>200</v>
      </c>
      <c r="F1060">
        <f t="shared" ca="1" si="66"/>
        <v>214</v>
      </c>
      <c r="G1060" t="str">
        <f t="shared" ca="1" si="67"/>
        <v>Surfaces_Horti</v>
      </c>
      <c r="H1060" cm="1">
        <f t="array" aca="1" ref="H1060" ca="1">ROW(INDIRECT(A1060))</f>
        <v>91</v>
      </c>
      <c r="I1060" cm="1">
        <f t="array" aca="1" ref="I1060" ca="1">COLUMN(INDIRECT(A1060))</f>
        <v>2</v>
      </c>
      <c r="M1060" t="str" cm="1">
        <f t="array" aca="1" ref="M1060" ca="1">IF(AND(J1060="O",ISBLANK(INDIRECT(A1060))),"Valeur obligatoire non renseignée","")</f>
        <v/>
      </c>
    </row>
    <row r="1061" spans="1:13" x14ac:dyDescent="0.25">
      <c r="A1061" s="91" t="s">
        <v>3920</v>
      </c>
      <c r="B1061" cm="1">
        <f t="array" aca="1" ref="B1061" ca="1">INDIRECT(A1061)</f>
        <v>0</v>
      </c>
      <c r="C1061">
        <f t="shared" ca="1" si="64"/>
        <v>5</v>
      </c>
      <c r="D1061" t="str" cm="1">
        <f t="array" aca="1" ref="D1061" ca="1">CELL("nomfichier",INDIRECT(A1061))</f>
        <v>G:\SCPE\sdc\bq\6 - Mentions valorisantes\Certification environnementale\TEXTES_REGLEMENTATION_CE\Plans_contrôle et grilles\Grille audit niveau 3\Grille d'audit v1.11\[grille-audit-hvev4-v1.11-vf.xlsx]Surfaces_Horti</v>
      </c>
      <c r="E1061">
        <f t="shared" ca="1" si="65"/>
        <v>200</v>
      </c>
      <c r="F1061">
        <f t="shared" ca="1" si="66"/>
        <v>214</v>
      </c>
      <c r="G1061" t="str">
        <f t="shared" ca="1" si="67"/>
        <v>Surfaces_Horti</v>
      </c>
      <c r="H1061" cm="1">
        <f t="array" aca="1" ref="H1061" ca="1">ROW(INDIRECT(A1061))</f>
        <v>91</v>
      </c>
      <c r="I1061" cm="1">
        <f t="array" aca="1" ref="I1061" ca="1">COLUMN(INDIRECT(A1061))</f>
        <v>3</v>
      </c>
      <c r="M1061" t="str" cm="1">
        <f t="array" aca="1" ref="M1061" ca="1">IF(AND(J1061="O",ISBLANK(INDIRECT(A1061))),"Valeur obligatoire non renseignée","")</f>
        <v/>
      </c>
    </row>
    <row r="1062" spans="1:13" x14ac:dyDescent="0.25">
      <c r="A1062" s="91" t="s">
        <v>3947</v>
      </c>
      <c r="B1062" cm="1">
        <f t="array" aca="1" ref="B1062" ca="1">INDIRECT(A1062)</f>
        <v>0</v>
      </c>
      <c r="C1062">
        <f t="shared" ca="1" si="64"/>
        <v>5</v>
      </c>
      <c r="D1062" t="str" cm="1">
        <f t="array" aca="1" ref="D1062" ca="1">CELL("nomfichier",INDIRECT(A1062))</f>
        <v>G:\SCPE\sdc\bq\6 - Mentions valorisantes\Certification environnementale\TEXTES_REGLEMENTATION_CE\Plans_contrôle et grilles\Grille audit niveau 3\Grille d'audit v1.11\[grille-audit-hvev4-v1.11-vf.xlsx]Surfaces_Horti</v>
      </c>
      <c r="E1062">
        <f t="shared" ca="1" si="65"/>
        <v>200</v>
      </c>
      <c r="F1062">
        <f t="shared" ca="1" si="66"/>
        <v>214</v>
      </c>
      <c r="G1062" t="str">
        <f t="shared" ca="1" si="67"/>
        <v>Surfaces_Horti</v>
      </c>
      <c r="H1062" cm="1">
        <f t="array" aca="1" ref="H1062" ca="1">ROW(INDIRECT(A1062))</f>
        <v>91</v>
      </c>
      <c r="I1062" cm="1">
        <f t="array" aca="1" ref="I1062" ca="1">COLUMN(INDIRECT(A1062))</f>
        <v>4</v>
      </c>
      <c r="M1062" t="str" cm="1">
        <f t="array" aca="1" ref="M1062" ca="1">IF(AND(J1062="O",ISBLANK(INDIRECT(A1062))),"Valeur obligatoire non renseignée","")</f>
        <v/>
      </c>
    </row>
    <row r="1063" spans="1:13" x14ac:dyDescent="0.25">
      <c r="A1063" s="91" t="s">
        <v>3974</v>
      </c>
      <c r="B1063" cm="1">
        <f t="array" aca="1" ref="B1063" ca="1">INDIRECT(A1063)</f>
        <v>0</v>
      </c>
      <c r="C1063">
        <f t="shared" ca="1" si="64"/>
        <v>5</v>
      </c>
      <c r="D1063" t="str" cm="1">
        <f t="array" aca="1" ref="D1063" ca="1">CELL("nomfichier",INDIRECT(A1063))</f>
        <v>G:\SCPE\sdc\bq\6 - Mentions valorisantes\Certification environnementale\TEXTES_REGLEMENTATION_CE\Plans_contrôle et grilles\Grille audit niveau 3\Grille d'audit v1.11\[grille-audit-hvev4-v1.11-vf.xlsx]Surfaces_Horti</v>
      </c>
      <c r="E1063">
        <f t="shared" ca="1" si="65"/>
        <v>200</v>
      </c>
      <c r="F1063">
        <f t="shared" ca="1" si="66"/>
        <v>214</v>
      </c>
      <c r="G1063" t="str">
        <f t="shared" ca="1" si="67"/>
        <v>Surfaces_Horti</v>
      </c>
      <c r="H1063" cm="1">
        <f t="array" aca="1" ref="H1063" ca="1">ROW(INDIRECT(A1063))</f>
        <v>91</v>
      </c>
      <c r="I1063" cm="1">
        <f t="array" aca="1" ref="I1063" ca="1">COLUMN(INDIRECT(A1063))</f>
        <v>5</v>
      </c>
      <c r="M1063" t="str" cm="1">
        <f t="array" aca="1" ref="M1063" ca="1">IF(AND(J1063="O",ISBLANK(INDIRECT(A1063))),"Valeur obligatoire non renseignée","")</f>
        <v/>
      </c>
    </row>
    <row r="1064" spans="1:13" x14ac:dyDescent="0.25">
      <c r="A1064" s="91" t="s">
        <v>4001</v>
      </c>
      <c r="B1064" cm="1">
        <f t="array" aca="1" ref="B1064" ca="1">INDIRECT(A1064)</f>
        <v>0</v>
      </c>
      <c r="C1064">
        <f t="shared" ca="1" si="64"/>
        <v>5</v>
      </c>
      <c r="D1064" t="str" cm="1">
        <f t="array" aca="1" ref="D1064" ca="1">CELL("nomfichier",INDIRECT(A1064))</f>
        <v>G:\SCPE\sdc\bq\6 - Mentions valorisantes\Certification environnementale\TEXTES_REGLEMENTATION_CE\Plans_contrôle et grilles\Grille audit niveau 3\Grille d'audit v1.11\[grille-audit-hvev4-v1.11-vf.xlsx]Surfaces_Horti</v>
      </c>
      <c r="E1064">
        <f t="shared" ca="1" si="65"/>
        <v>200</v>
      </c>
      <c r="F1064">
        <f t="shared" ca="1" si="66"/>
        <v>214</v>
      </c>
      <c r="G1064" t="str">
        <f t="shared" ca="1" si="67"/>
        <v>Surfaces_Horti</v>
      </c>
      <c r="H1064" cm="1">
        <f t="array" aca="1" ref="H1064" ca="1">ROW(INDIRECT(A1064))</f>
        <v>91</v>
      </c>
      <c r="I1064" cm="1">
        <f t="array" aca="1" ref="I1064" ca="1">COLUMN(INDIRECT(A1064))</f>
        <v>6</v>
      </c>
      <c r="M1064" t="str" cm="1">
        <f t="array" aca="1" ref="M1064" ca="1">IF(AND(J1064="O",ISBLANK(INDIRECT(A1064))),"Valeur obligatoire non renseignée","")</f>
        <v/>
      </c>
    </row>
    <row r="1065" spans="1:13" x14ac:dyDescent="0.25">
      <c r="A1065" s="91" t="s">
        <v>4028</v>
      </c>
      <c r="B1065" cm="1">
        <f t="array" aca="1" ref="B1065" ca="1">INDIRECT(A1065)</f>
        <v>0</v>
      </c>
      <c r="C1065">
        <f t="shared" ca="1" si="64"/>
        <v>5</v>
      </c>
      <c r="D1065" t="str" cm="1">
        <f t="array" aca="1" ref="D1065" ca="1">CELL("nomfichier",INDIRECT(A1065))</f>
        <v>G:\SCPE\sdc\bq\6 - Mentions valorisantes\Certification environnementale\TEXTES_REGLEMENTATION_CE\Plans_contrôle et grilles\Grille audit niveau 3\Grille d'audit v1.11\[grille-audit-hvev4-v1.11-vf.xlsx]Surfaces_Horti</v>
      </c>
      <c r="E1065">
        <f t="shared" ca="1" si="65"/>
        <v>200</v>
      </c>
      <c r="F1065">
        <f t="shared" ca="1" si="66"/>
        <v>214</v>
      </c>
      <c r="G1065" t="str">
        <f t="shared" ca="1" si="67"/>
        <v>Surfaces_Horti</v>
      </c>
      <c r="H1065" cm="1">
        <f t="array" aca="1" ref="H1065" ca="1">ROW(INDIRECT(A1065))</f>
        <v>91</v>
      </c>
      <c r="I1065" cm="1">
        <f t="array" aca="1" ref="I1065" ca="1">COLUMN(INDIRECT(A1065))</f>
        <v>7</v>
      </c>
      <c r="M1065" t="str" cm="1">
        <f t="array" aca="1" ref="M1065" ca="1">IF(AND(J1065="O",ISBLANK(INDIRECT(A1065))),"Valeur obligatoire non renseignée","")</f>
        <v/>
      </c>
    </row>
    <row r="1066" spans="1:13" x14ac:dyDescent="0.25">
      <c r="A1066" s="91" t="s">
        <v>4055</v>
      </c>
      <c r="B1066" cm="1">
        <f t="array" aca="1" ref="B1066" ca="1">INDIRECT(A1066)</f>
        <v>0</v>
      </c>
      <c r="C1066">
        <f t="shared" ca="1" si="64"/>
        <v>5</v>
      </c>
      <c r="D1066" t="str" cm="1">
        <f t="array" aca="1" ref="D1066" ca="1">CELL("nomfichier",INDIRECT(A1066))</f>
        <v>G:\SCPE\sdc\bq\6 - Mentions valorisantes\Certification environnementale\TEXTES_REGLEMENTATION_CE\Plans_contrôle et grilles\Grille audit niveau 3\Grille d'audit v1.11\[grille-audit-hvev4-v1.11-vf.xlsx]Surfaces_Horti</v>
      </c>
      <c r="E1066">
        <f t="shared" ca="1" si="65"/>
        <v>200</v>
      </c>
      <c r="F1066">
        <f t="shared" ca="1" si="66"/>
        <v>214</v>
      </c>
      <c r="G1066" t="str">
        <f t="shared" ca="1" si="67"/>
        <v>Surfaces_Horti</v>
      </c>
      <c r="H1066" cm="1">
        <f t="array" aca="1" ref="H1066" ca="1">ROW(INDIRECT(A1066))</f>
        <v>91</v>
      </c>
      <c r="I1066" cm="1">
        <f t="array" aca="1" ref="I1066" ca="1">COLUMN(INDIRECT(A1066))</f>
        <v>8</v>
      </c>
      <c r="M1066" t="str" cm="1">
        <f t="array" aca="1" ref="M1066" ca="1">IF(AND(J1066="O",ISBLANK(INDIRECT(A1066))),"Valeur obligatoire non renseignée","")</f>
        <v/>
      </c>
    </row>
    <row r="1067" spans="1:13" x14ac:dyDescent="0.25">
      <c r="A1067" s="91" t="s">
        <v>4082</v>
      </c>
      <c r="B1067" cm="1">
        <f t="array" aca="1" ref="B1067" ca="1">INDIRECT(A1067)</f>
        <v>0</v>
      </c>
      <c r="C1067">
        <f t="shared" ca="1" si="64"/>
        <v>5</v>
      </c>
      <c r="D1067" t="str" cm="1">
        <f t="array" aca="1" ref="D1067" ca="1">CELL("nomfichier",INDIRECT(A1067))</f>
        <v>G:\SCPE\sdc\bq\6 - Mentions valorisantes\Certification environnementale\TEXTES_REGLEMENTATION_CE\Plans_contrôle et grilles\Grille audit niveau 3\Grille d'audit v1.11\[grille-audit-hvev4-v1.11-vf.xlsx]Surfaces_Horti</v>
      </c>
      <c r="E1067">
        <f t="shared" ca="1" si="65"/>
        <v>200</v>
      </c>
      <c r="F1067">
        <f t="shared" ca="1" si="66"/>
        <v>214</v>
      </c>
      <c r="G1067" t="str">
        <f t="shared" ca="1" si="67"/>
        <v>Surfaces_Horti</v>
      </c>
      <c r="H1067" cm="1">
        <f t="array" aca="1" ref="H1067" ca="1">ROW(INDIRECT(A1067))</f>
        <v>91</v>
      </c>
      <c r="I1067" cm="1">
        <f t="array" aca="1" ref="I1067" ca="1">COLUMN(INDIRECT(A1067))</f>
        <v>9</v>
      </c>
      <c r="M1067" t="str" cm="1">
        <f t="array" aca="1" ref="M1067" ca="1">IF(AND(J1067="O",ISBLANK(INDIRECT(A1067))),"Valeur obligatoire non renseignée","")</f>
        <v/>
      </c>
    </row>
    <row r="1068" spans="1:13" x14ac:dyDescent="0.25">
      <c r="A1068" s="91" t="s">
        <v>4109</v>
      </c>
      <c r="B1068" cm="1">
        <f t="array" aca="1" ref="B1068" ca="1">INDIRECT(A1068)</f>
        <v>0</v>
      </c>
      <c r="C1068">
        <f t="shared" ca="1" si="64"/>
        <v>5</v>
      </c>
      <c r="D1068" t="str" cm="1">
        <f t="array" aca="1" ref="D1068" ca="1">CELL("nomfichier",INDIRECT(A1068))</f>
        <v>G:\SCPE\sdc\bq\6 - Mentions valorisantes\Certification environnementale\TEXTES_REGLEMENTATION_CE\Plans_contrôle et grilles\Grille audit niveau 3\Grille d'audit v1.11\[grille-audit-hvev4-v1.11-vf.xlsx]Surfaces_Horti</v>
      </c>
      <c r="E1068">
        <f t="shared" ca="1" si="65"/>
        <v>200</v>
      </c>
      <c r="F1068">
        <f t="shared" ca="1" si="66"/>
        <v>214</v>
      </c>
      <c r="G1068" t="str">
        <f t="shared" ca="1" si="67"/>
        <v>Surfaces_Horti</v>
      </c>
      <c r="H1068" cm="1">
        <f t="array" aca="1" ref="H1068" ca="1">ROW(INDIRECT(A1068))</f>
        <v>91</v>
      </c>
      <c r="I1068" cm="1">
        <f t="array" aca="1" ref="I1068" ca="1">COLUMN(INDIRECT(A1068))</f>
        <v>10</v>
      </c>
      <c r="M1068" t="str" cm="1">
        <f t="array" aca="1" ref="M1068" ca="1">IF(AND(J1068="O",ISBLANK(INDIRECT(A1068))),"Valeur obligatoire non renseignée","")</f>
        <v/>
      </c>
    </row>
    <row r="1069" spans="1:13" x14ac:dyDescent="0.25">
      <c r="A1069" s="91" t="s">
        <v>4136</v>
      </c>
      <c r="B1069" cm="1">
        <f t="array" aca="1" ref="B1069" ca="1">INDIRECT(A1069)</f>
        <v>0</v>
      </c>
      <c r="C1069">
        <f t="shared" ca="1" si="64"/>
        <v>5</v>
      </c>
      <c r="D1069" t="str" cm="1">
        <f t="array" aca="1" ref="D1069" ca="1">CELL("nomfichier",INDIRECT(A1069))</f>
        <v>G:\SCPE\sdc\bq\6 - Mentions valorisantes\Certification environnementale\TEXTES_REGLEMENTATION_CE\Plans_contrôle et grilles\Grille audit niveau 3\Grille d'audit v1.11\[grille-audit-hvev4-v1.11-vf.xlsx]Surfaces_Horti</v>
      </c>
      <c r="E1069">
        <f t="shared" ca="1" si="65"/>
        <v>200</v>
      </c>
      <c r="F1069">
        <f t="shared" ca="1" si="66"/>
        <v>214</v>
      </c>
      <c r="G1069" t="str">
        <f t="shared" ca="1" si="67"/>
        <v>Surfaces_Horti</v>
      </c>
      <c r="H1069" cm="1">
        <f t="array" aca="1" ref="H1069" ca="1">ROW(INDIRECT(A1069))</f>
        <v>91</v>
      </c>
      <c r="I1069" cm="1">
        <f t="array" aca="1" ref="I1069" ca="1">COLUMN(INDIRECT(A1069))</f>
        <v>11</v>
      </c>
      <c r="M1069" t="str" cm="1">
        <f t="array" aca="1" ref="M1069" ca="1">IF(AND(J1069="O",ISBLANK(INDIRECT(A1069))),"Valeur obligatoire non renseignée","")</f>
        <v/>
      </c>
    </row>
    <row r="1070" spans="1:13" x14ac:dyDescent="0.25">
      <c r="A1070" s="91" t="s">
        <v>4163</v>
      </c>
      <c r="B1070" cm="1">
        <f t="array" aca="1" ref="B1070" ca="1">INDIRECT(A1070)</f>
        <v>0</v>
      </c>
      <c r="C1070">
        <f t="shared" ca="1" si="64"/>
        <v>5</v>
      </c>
      <c r="D1070" t="str" cm="1">
        <f t="array" aca="1" ref="D1070" ca="1">CELL("nomfichier",INDIRECT(A1070))</f>
        <v>G:\SCPE\sdc\bq\6 - Mentions valorisantes\Certification environnementale\TEXTES_REGLEMENTATION_CE\Plans_contrôle et grilles\Grille audit niveau 3\Grille d'audit v1.11\[grille-audit-hvev4-v1.11-vf.xlsx]Surfaces_Horti</v>
      </c>
      <c r="E1070">
        <f t="shared" ca="1" si="65"/>
        <v>200</v>
      </c>
      <c r="F1070">
        <f t="shared" ca="1" si="66"/>
        <v>214</v>
      </c>
      <c r="G1070" t="str">
        <f t="shared" ca="1" si="67"/>
        <v>Surfaces_Horti</v>
      </c>
      <c r="H1070" cm="1">
        <f t="array" aca="1" ref="H1070" ca="1">ROW(INDIRECT(A1070))</f>
        <v>91</v>
      </c>
      <c r="I1070" cm="1">
        <f t="array" aca="1" ref="I1070" ca="1">COLUMN(INDIRECT(A1070))</f>
        <v>12</v>
      </c>
      <c r="M1070" t="str" cm="1">
        <f t="array" aca="1" ref="M1070" ca="1">IF(AND(J1070="O",ISBLANK(INDIRECT(A1070))),"Valeur obligatoire non renseignée","")</f>
        <v/>
      </c>
    </row>
    <row r="1071" spans="1:13" x14ac:dyDescent="0.25">
      <c r="A1071" s="91" t="s">
        <v>4190</v>
      </c>
      <c r="B1071" cm="1">
        <f t="array" aca="1" ref="B1071" ca="1">INDIRECT(A1071)</f>
        <v>0</v>
      </c>
      <c r="C1071">
        <f t="shared" ca="1" si="64"/>
        <v>5</v>
      </c>
      <c r="D1071" t="str" cm="1">
        <f t="array" aca="1" ref="D1071" ca="1">CELL("nomfichier",INDIRECT(A1071))</f>
        <v>G:\SCPE\sdc\bq\6 - Mentions valorisantes\Certification environnementale\TEXTES_REGLEMENTATION_CE\Plans_contrôle et grilles\Grille audit niveau 3\Grille d'audit v1.11\[grille-audit-hvev4-v1.11-vf.xlsx]Surfaces_Horti</v>
      </c>
      <c r="E1071">
        <f t="shared" ca="1" si="65"/>
        <v>200</v>
      </c>
      <c r="F1071">
        <f t="shared" ca="1" si="66"/>
        <v>214</v>
      </c>
      <c r="G1071" t="str">
        <f t="shared" ca="1" si="67"/>
        <v>Surfaces_Horti</v>
      </c>
      <c r="H1071" cm="1">
        <f t="array" aca="1" ref="H1071" ca="1">ROW(INDIRECT(A1071))</f>
        <v>91</v>
      </c>
      <c r="I1071" cm="1">
        <f t="array" aca="1" ref="I1071" ca="1">COLUMN(INDIRECT(A1071))</f>
        <v>13</v>
      </c>
      <c r="M1071" t="str" cm="1">
        <f t="array" aca="1" ref="M1071" ca="1">IF(AND(J1071="O",ISBLANK(INDIRECT(A1071))),"Valeur obligatoire non renseignée","")</f>
        <v/>
      </c>
    </row>
    <row r="1072" spans="1:13" x14ac:dyDescent="0.25">
      <c r="A1072" s="91" t="s">
        <v>4217</v>
      </c>
      <c r="B1072" cm="1">
        <f t="array" aca="1" ref="B1072" ca="1">INDIRECT(A1072)</f>
        <v>0</v>
      </c>
      <c r="C1072">
        <f t="shared" ca="1" si="64"/>
        <v>5</v>
      </c>
      <c r="D1072" t="str" cm="1">
        <f t="array" aca="1" ref="D1072" ca="1">CELL("nomfichier",INDIRECT(A1072))</f>
        <v>G:\SCPE\sdc\bq\6 - Mentions valorisantes\Certification environnementale\TEXTES_REGLEMENTATION_CE\Plans_contrôle et grilles\Grille audit niveau 3\Grille d'audit v1.11\[grille-audit-hvev4-v1.11-vf.xlsx]Surfaces_Horti</v>
      </c>
      <c r="E1072">
        <f t="shared" ca="1" si="65"/>
        <v>200</v>
      </c>
      <c r="F1072">
        <f t="shared" ca="1" si="66"/>
        <v>214</v>
      </c>
      <c r="G1072" t="str">
        <f t="shared" ca="1" si="67"/>
        <v>Surfaces_Horti</v>
      </c>
      <c r="H1072" cm="1">
        <f t="array" aca="1" ref="H1072" ca="1">ROW(INDIRECT(A1072))</f>
        <v>91</v>
      </c>
      <c r="I1072" cm="1">
        <f t="array" aca="1" ref="I1072" ca="1">COLUMN(INDIRECT(A1072))</f>
        <v>14</v>
      </c>
      <c r="M1072" t="str" cm="1">
        <f t="array" aca="1" ref="M1072" ca="1">IF(AND(J1072="O",ISBLANK(INDIRECT(A1072))),"Valeur obligatoire non renseignée","")</f>
        <v/>
      </c>
    </row>
    <row r="1073" spans="1:13" x14ac:dyDescent="0.25">
      <c r="A1073" s="91" t="s">
        <v>3894</v>
      </c>
      <c r="B1073" cm="1">
        <f t="array" aca="1" ref="B1073" ca="1">INDIRECT(A1073)</f>
        <v>0</v>
      </c>
      <c r="C1073">
        <f t="shared" ca="1" si="64"/>
        <v>5</v>
      </c>
      <c r="D1073" t="str" cm="1">
        <f t="array" aca="1" ref="D1073" ca="1">CELL("nomfichier",INDIRECT(A1073))</f>
        <v>G:\SCPE\sdc\bq\6 - Mentions valorisantes\Certification environnementale\TEXTES_REGLEMENTATION_CE\Plans_contrôle et grilles\Grille audit niveau 3\Grille d'audit v1.11\[grille-audit-hvev4-v1.11-vf.xlsx]Surfaces_Horti</v>
      </c>
      <c r="E1073">
        <f t="shared" ca="1" si="65"/>
        <v>200</v>
      </c>
      <c r="F1073">
        <f t="shared" ca="1" si="66"/>
        <v>214</v>
      </c>
      <c r="G1073" t="str">
        <f t="shared" ca="1" si="67"/>
        <v>Surfaces_Horti</v>
      </c>
      <c r="H1073" cm="1">
        <f t="array" aca="1" ref="H1073" ca="1">ROW(INDIRECT(A1073))</f>
        <v>92</v>
      </c>
      <c r="I1073" cm="1">
        <f t="array" aca="1" ref="I1073" ca="1">COLUMN(INDIRECT(A1073))</f>
        <v>2</v>
      </c>
      <c r="M1073" t="str" cm="1">
        <f t="array" aca="1" ref="M1073" ca="1">IF(AND(J1073="O",ISBLANK(INDIRECT(A1073))),"Valeur obligatoire non renseignée","")</f>
        <v/>
      </c>
    </row>
    <row r="1074" spans="1:13" x14ac:dyDescent="0.25">
      <c r="A1074" s="91" t="s">
        <v>3921</v>
      </c>
      <c r="B1074" cm="1">
        <f t="array" aca="1" ref="B1074" ca="1">INDIRECT(A1074)</f>
        <v>0</v>
      </c>
      <c r="C1074">
        <f t="shared" ca="1" si="64"/>
        <v>5</v>
      </c>
      <c r="D1074" t="str" cm="1">
        <f t="array" aca="1" ref="D1074" ca="1">CELL("nomfichier",INDIRECT(A1074))</f>
        <v>G:\SCPE\sdc\bq\6 - Mentions valorisantes\Certification environnementale\TEXTES_REGLEMENTATION_CE\Plans_contrôle et grilles\Grille audit niveau 3\Grille d'audit v1.11\[grille-audit-hvev4-v1.11-vf.xlsx]Surfaces_Horti</v>
      </c>
      <c r="E1074">
        <f t="shared" ca="1" si="65"/>
        <v>200</v>
      </c>
      <c r="F1074">
        <f t="shared" ca="1" si="66"/>
        <v>214</v>
      </c>
      <c r="G1074" t="str">
        <f t="shared" ca="1" si="67"/>
        <v>Surfaces_Horti</v>
      </c>
      <c r="H1074" cm="1">
        <f t="array" aca="1" ref="H1074" ca="1">ROW(INDIRECT(A1074))</f>
        <v>92</v>
      </c>
      <c r="I1074" cm="1">
        <f t="array" aca="1" ref="I1074" ca="1">COLUMN(INDIRECT(A1074))</f>
        <v>3</v>
      </c>
      <c r="M1074" t="str" cm="1">
        <f t="array" aca="1" ref="M1074" ca="1">IF(AND(J1074="O",ISBLANK(INDIRECT(A1074))),"Valeur obligatoire non renseignée","")</f>
        <v/>
      </c>
    </row>
    <row r="1075" spans="1:13" x14ac:dyDescent="0.25">
      <c r="A1075" s="91" t="s">
        <v>3948</v>
      </c>
      <c r="B1075" cm="1">
        <f t="array" aca="1" ref="B1075" ca="1">INDIRECT(A1075)</f>
        <v>0</v>
      </c>
      <c r="C1075">
        <f t="shared" ca="1" si="64"/>
        <v>5</v>
      </c>
      <c r="D1075" t="str" cm="1">
        <f t="array" aca="1" ref="D1075" ca="1">CELL("nomfichier",INDIRECT(A1075))</f>
        <v>G:\SCPE\sdc\bq\6 - Mentions valorisantes\Certification environnementale\TEXTES_REGLEMENTATION_CE\Plans_contrôle et grilles\Grille audit niveau 3\Grille d'audit v1.11\[grille-audit-hvev4-v1.11-vf.xlsx]Surfaces_Horti</v>
      </c>
      <c r="E1075">
        <f t="shared" ca="1" si="65"/>
        <v>200</v>
      </c>
      <c r="F1075">
        <f t="shared" ca="1" si="66"/>
        <v>214</v>
      </c>
      <c r="G1075" t="str">
        <f t="shared" ca="1" si="67"/>
        <v>Surfaces_Horti</v>
      </c>
      <c r="H1075" cm="1">
        <f t="array" aca="1" ref="H1075" ca="1">ROW(INDIRECT(A1075))</f>
        <v>92</v>
      </c>
      <c r="I1075" cm="1">
        <f t="array" aca="1" ref="I1075" ca="1">COLUMN(INDIRECT(A1075))</f>
        <v>4</v>
      </c>
      <c r="M1075" t="str" cm="1">
        <f t="array" aca="1" ref="M1075" ca="1">IF(AND(J1075="O",ISBLANK(INDIRECT(A1075))),"Valeur obligatoire non renseignée","")</f>
        <v/>
      </c>
    </row>
    <row r="1076" spans="1:13" x14ac:dyDescent="0.25">
      <c r="A1076" s="91" t="s">
        <v>3975</v>
      </c>
      <c r="B1076" cm="1">
        <f t="array" aca="1" ref="B1076" ca="1">INDIRECT(A1076)</f>
        <v>0</v>
      </c>
      <c r="C1076">
        <f t="shared" ca="1" si="64"/>
        <v>5</v>
      </c>
      <c r="D1076" t="str" cm="1">
        <f t="array" aca="1" ref="D1076" ca="1">CELL("nomfichier",INDIRECT(A1076))</f>
        <v>G:\SCPE\sdc\bq\6 - Mentions valorisantes\Certification environnementale\TEXTES_REGLEMENTATION_CE\Plans_contrôle et grilles\Grille audit niveau 3\Grille d'audit v1.11\[grille-audit-hvev4-v1.11-vf.xlsx]Surfaces_Horti</v>
      </c>
      <c r="E1076">
        <f t="shared" ca="1" si="65"/>
        <v>200</v>
      </c>
      <c r="F1076">
        <f t="shared" ca="1" si="66"/>
        <v>214</v>
      </c>
      <c r="G1076" t="str">
        <f t="shared" ca="1" si="67"/>
        <v>Surfaces_Horti</v>
      </c>
      <c r="H1076" cm="1">
        <f t="array" aca="1" ref="H1076" ca="1">ROW(INDIRECT(A1076))</f>
        <v>92</v>
      </c>
      <c r="I1076" cm="1">
        <f t="array" aca="1" ref="I1076" ca="1">COLUMN(INDIRECT(A1076))</f>
        <v>5</v>
      </c>
      <c r="M1076" t="str" cm="1">
        <f t="array" aca="1" ref="M1076" ca="1">IF(AND(J1076="O",ISBLANK(INDIRECT(A1076))),"Valeur obligatoire non renseignée","")</f>
        <v/>
      </c>
    </row>
    <row r="1077" spans="1:13" x14ac:dyDescent="0.25">
      <c r="A1077" s="91" t="s">
        <v>4002</v>
      </c>
      <c r="B1077" cm="1">
        <f t="array" aca="1" ref="B1077" ca="1">INDIRECT(A1077)</f>
        <v>0</v>
      </c>
      <c r="C1077">
        <f t="shared" ca="1" si="64"/>
        <v>5</v>
      </c>
      <c r="D1077" t="str" cm="1">
        <f t="array" aca="1" ref="D1077" ca="1">CELL("nomfichier",INDIRECT(A1077))</f>
        <v>G:\SCPE\sdc\bq\6 - Mentions valorisantes\Certification environnementale\TEXTES_REGLEMENTATION_CE\Plans_contrôle et grilles\Grille audit niveau 3\Grille d'audit v1.11\[grille-audit-hvev4-v1.11-vf.xlsx]Surfaces_Horti</v>
      </c>
      <c r="E1077">
        <f t="shared" ca="1" si="65"/>
        <v>200</v>
      </c>
      <c r="F1077">
        <f t="shared" ca="1" si="66"/>
        <v>214</v>
      </c>
      <c r="G1077" t="str">
        <f t="shared" ca="1" si="67"/>
        <v>Surfaces_Horti</v>
      </c>
      <c r="H1077" cm="1">
        <f t="array" aca="1" ref="H1077" ca="1">ROW(INDIRECT(A1077))</f>
        <v>92</v>
      </c>
      <c r="I1077" cm="1">
        <f t="array" aca="1" ref="I1077" ca="1">COLUMN(INDIRECT(A1077))</f>
        <v>6</v>
      </c>
      <c r="M1077" t="str" cm="1">
        <f t="array" aca="1" ref="M1077" ca="1">IF(AND(J1077="O",ISBLANK(INDIRECT(A1077))),"Valeur obligatoire non renseignée","")</f>
        <v/>
      </c>
    </row>
    <row r="1078" spans="1:13" x14ac:dyDescent="0.25">
      <c r="A1078" s="91" t="s">
        <v>4029</v>
      </c>
      <c r="B1078" cm="1">
        <f t="array" aca="1" ref="B1078" ca="1">INDIRECT(A1078)</f>
        <v>0</v>
      </c>
      <c r="C1078">
        <f t="shared" ca="1" si="64"/>
        <v>5</v>
      </c>
      <c r="D1078" t="str" cm="1">
        <f t="array" aca="1" ref="D1078" ca="1">CELL("nomfichier",INDIRECT(A1078))</f>
        <v>G:\SCPE\sdc\bq\6 - Mentions valorisantes\Certification environnementale\TEXTES_REGLEMENTATION_CE\Plans_contrôle et grilles\Grille audit niveau 3\Grille d'audit v1.11\[grille-audit-hvev4-v1.11-vf.xlsx]Surfaces_Horti</v>
      </c>
      <c r="E1078">
        <f t="shared" ca="1" si="65"/>
        <v>200</v>
      </c>
      <c r="F1078">
        <f t="shared" ca="1" si="66"/>
        <v>214</v>
      </c>
      <c r="G1078" t="str">
        <f t="shared" ca="1" si="67"/>
        <v>Surfaces_Horti</v>
      </c>
      <c r="H1078" cm="1">
        <f t="array" aca="1" ref="H1078" ca="1">ROW(INDIRECT(A1078))</f>
        <v>92</v>
      </c>
      <c r="I1078" cm="1">
        <f t="array" aca="1" ref="I1078" ca="1">COLUMN(INDIRECT(A1078))</f>
        <v>7</v>
      </c>
      <c r="M1078" t="str" cm="1">
        <f t="array" aca="1" ref="M1078" ca="1">IF(AND(J1078="O",ISBLANK(INDIRECT(A1078))),"Valeur obligatoire non renseignée","")</f>
        <v/>
      </c>
    </row>
    <row r="1079" spans="1:13" x14ac:dyDescent="0.25">
      <c r="A1079" s="91" t="s">
        <v>4056</v>
      </c>
      <c r="B1079" cm="1">
        <f t="array" aca="1" ref="B1079" ca="1">INDIRECT(A1079)</f>
        <v>0</v>
      </c>
      <c r="C1079">
        <f t="shared" ca="1" si="64"/>
        <v>5</v>
      </c>
      <c r="D1079" t="str" cm="1">
        <f t="array" aca="1" ref="D1079" ca="1">CELL("nomfichier",INDIRECT(A1079))</f>
        <v>G:\SCPE\sdc\bq\6 - Mentions valorisantes\Certification environnementale\TEXTES_REGLEMENTATION_CE\Plans_contrôle et grilles\Grille audit niveau 3\Grille d'audit v1.11\[grille-audit-hvev4-v1.11-vf.xlsx]Surfaces_Horti</v>
      </c>
      <c r="E1079">
        <f t="shared" ca="1" si="65"/>
        <v>200</v>
      </c>
      <c r="F1079">
        <f t="shared" ca="1" si="66"/>
        <v>214</v>
      </c>
      <c r="G1079" t="str">
        <f t="shared" ca="1" si="67"/>
        <v>Surfaces_Horti</v>
      </c>
      <c r="H1079" cm="1">
        <f t="array" aca="1" ref="H1079" ca="1">ROW(INDIRECT(A1079))</f>
        <v>92</v>
      </c>
      <c r="I1079" cm="1">
        <f t="array" aca="1" ref="I1079" ca="1">COLUMN(INDIRECT(A1079))</f>
        <v>8</v>
      </c>
      <c r="M1079" t="str" cm="1">
        <f t="array" aca="1" ref="M1079" ca="1">IF(AND(J1079="O",ISBLANK(INDIRECT(A1079))),"Valeur obligatoire non renseignée","")</f>
        <v/>
      </c>
    </row>
    <row r="1080" spans="1:13" x14ac:dyDescent="0.25">
      <c r="A1080" s="91" t="s">
        <v>4083</v>
      </c>
      <c r="B1080" cm="1">
        <f t="array" aca="1" ref="B1080" ca="1">INDIRECT(A1080)</f>
        <v>0</v>
      </c>
      <c r="C1080">
        <f t="shared" ca="1" si="64"/>
        <v>5</v>
      </c>
      <c r="D1080" t="str" cm="1">
        <f t="array" aca="1" ref="D1080" ca="1">CELL("nomfichier",INDIRECT(A1080))</f>
        <v>G:\SCPE\sdc\bq\6 - Mentions valorisantes\Certification environnementale\TEXTES_REGLEMENTATION_CE\Plans_contrôle et grilles\Grille audit niveau 3\Grille d'audit v1.11\[grille-audit-hvev4-v1.11-vf.xlsx]Surfaces_Horti</v>
      </c>
      <c r="E1080">
        <f t="shared" ca="1" si="65"/>
        <v>200</v>
      </c>
      <c r="F1080">
        <f t="shared" ca="1" si="66"/>
        <v>214</v>
      </c>
      <c r="G1080" t="str">
        <f t="shared" ca="1" si="67"/>
        <v>Surfaces_Horti</v>
      </c>
      <c r="H1080" cm="1">
        <f t="array" aca="1" ref="H1080" ca="1">ROW(INDIRECT(A1080))</f>
        <v>92</v>
      </c>
      <c r="I1080" cm="1">
        <f t="array" aca="1" ref="I1080" ca="1">COLUMN(INDIRECT(A1080))</f>
        <v>9</v>
      </c>
      <c r="M1080" t="str" cm="1">
        <f t="array" aca="1" ref="M1080" ca="1">IF(AND(J1080="O",ISBLANK(INDIRECT(A1080))),"Valeur obligatoire non renseignée","")</f>
        <v/>
      </c>
    </row>
    <row r="1081" spans="1:13" x14ac:dyDescent="0.25">
      <c r="A1081" s="91" t="s">
        <v>4110</v>
      </c>
      <c r="B1081" cm="1">
        <f t="array" aca="1" ref="B1081" ca="1">INDIRECT(A1081)</f>
        <v>0</v>
      </c>
      <c r="C1081">
        <f t="shared" ca="1" si="64"/>
        <v>5</v>
      </c>
      <c r="D1081" t="str" cm="1">
        <f t="array" aca="1" ref="D1081" ca="1">CELL("nomfichier",INDIRECT(A1081))</f>
        <v>G:\SCPE\sdc\bq\6 - Mentions valorisantes\Certification environnementale\TEXTES_REGLEMENTATION_CE\Plans_contrôle et grilles\Grille audit niveau 3\Grille d'audit v1.11\[grille-audit-hvev4-v1.11-vf.xlsx]Surfaces_Horti</v>
      </c>
      <c r="E1081">
        <f t="shared" ca="1" si="65"/>
        <v>200</v>
      </c>
      <c r="F1081">
        <f t="shared" ca="1" si="66"/>
        <v>214</v>
      </c>
      <c r="G1081" t="str">
        <f t="shared" ca="1" si="67"/>
        <v>Surfaces_Horti</v>
      </c>
      <c r="H1081" cm="1">
        <f t="array" aca="1" ref="H1081" ca="1">ROW(INDIRECT(A1081))</f>
        <v>92</v>
      </c>
      <c r="I1081" cm="1">
        <f t="array" aca="1" ref="I1081" ca="1">COLUMN(INDIRECT(A1081))</f>
        <v>10</v>
      </c>
      <c r="M1081" t="str" cm="1">
        <f t="array" aca="1" ref="M1081" ca="1">IF(AND(J1081="O",ISBLANK(INDIRECT(A1081))),"Valeur obligatoire non renseignée","")</f>
        <v/>
      </c>
    </row>
    <row r="1082" spans="1:13" x14ac:dyDescent="0.25">
      <c r="A1082" s="91" t="s">
        <v>4137</v>
      </c>
      <c r="B1082" cm="1">
        <f t="array" aca="1" ref="B1082" ca="1">INDIRECT(A1082)</f>
        <v>0</v>
      </c>
      <c r="C1082">
        <f t="shared" ca="1" si="64"/>
        <v>5</v>
      </c>
      <c r="D1082" t="str" cm="1">
        <f t="array" aca="1" ref="D1082" ca="1">CELL("nomfichier",INDIRECT(A1082))</f>
        <v>G:\SCPE\sdc\bq\6 - Mentions valorisantes\Certification environnementale\TEXTES_REGLEMENTATION_CE\Plans_contrôle et grilles\Grille audit niveau 3\Grille d'audit v1.11\[grille-audit-hvev4-v1.11-vf.xlsx]Surfaces_Horti</v>
      </c>
      <c r="E1082">
        <f t="shared" ca="1" si="65"/>
        <v>200</v>
      </c>
      <c r="F1082">
        <f t="shared" ca="1" si="66"/>
        <v>214</v>
      </c>
      <c r="G1082" t="str">
        <f t="shared" ca="1" si="67"/>
        <v>Surfaces_Horti</v>
      </c>
      <c r="H1082" cm="1">
        <f t="array" aca="1" ref="H1082" ca="1">ROW(INDIRECT(A1082))</f>
        <v>92</v>
      </c>
      <c r="I1082" cm="1">
        <f t="array" aca="1" ref="I1082" ca="1">COLUMN(INDIRECT(A1082))</f>
        <v>11</v>
      </c>
      <c r="M1082" t="str" cm="1">
        <f t="array" aca="1" ref="M1082" ca="1">IF(AND(J1082="O",ISBLANK(INDIRECT(A1082))),"Valeur obligatoire non renseignée","")</f>
        <v/>
      </c>
    </row>
    <row r="1083" spans="1:13" x14ac:dyDescent="0.25">
      <c r="A1083" s="91" t="s">
        <v>4164</v>
      </c>
      <c r="B1083" cm="1">
        <f t="array" aca="1" ref="B1083" ca="1">INDIRECT(A1083)</f>
        <v>0</v>
      </c>
      <c r="C1083">
        <f t="shared" ca="1" si="64"/>
        <v>5</v>
      </c>
      <c r="D1083" t="str" cm="1">
        <f t="array" aca="1" ref="D1083" ca="1">CELL("nomfichier",INDIRECT(A1083))</f>
        <v>G:\SCPE\sdc\bq\6 - Mentions valorisantes\Certification environnementale\TEXTES_REGLEMENTATION_CE\Plans_contrôle et grilles\Grille audit niveau 3\Grille d'audit v1.11\[grille-audit-hvev4-v1.11-vf.xlsx]Surfaces_Horti</v>
      </c>
      <c r="E1083">
        <f t="shared" ca="1" si="65"/>
        <v>200</v>
      </c>
      <c r="F1083">
        <f t="shared" ca="1" si="66"/>
        <v>214</v>
      </c>
      <c r="G1083" t="str">
        <f t="shared" ca="1" si="67"/>
        <v>Surfaces_Horti</v>
      </c>
      <c r="H1083" cm="1">
        <f t="array" aca="1" ref="H1083" ca="1">ROW(INDIRECT(A1083))</f>
        <v>92</v>
      </c>
      <c r="I1083" cm="1">
        <f t="array" aca="1" ref="I1083" ca="1">COLUMN(INDIRECT(A1083))</f>
        <v>12</v>
      </c>
      <c r="M1083" t="str" cm="1">
        <f t="array" aca="1" ref="M1083" ca="1">IF(AND(J1083="O",ISBLANK(INDIRECT(A1083))),"Valeur obligatoire non renseignée","")</f>
        <v/>
      </c>
    </row>
    <row r="1084" spans="1:13" x14ac:dyDescent="0.25">
      <c r="A1084" s="91" t="s">
        <v>4191</v>
      </c>
      <c r="B1084" cm="1">
        <f t="array" aca="1" ref="B1084" ca="1">INDIRECT(A1084)</f>
        <v>0</v>
      </c>
      <c r="C1084">
        <f t="shared" ca="1" si="64"/>
        <v>5</v>
      </c>
      <c r="D1084" t="str" cm="1">
        <f t="array" aca="1" ref="D1084" ca="1">CELL("nomfichier",INDIRECT(A1084))</f>
        <v>G:\SCPE\sdc\bq\6 - Mentions valorisantes\Certification environnementale\TEXTES_REGLEMENTATION_CE\Plans_contrôle et grilles\Grille audit niveau 3\Grille d'audit v1.11\[grille-audit-hvev4-v1.11-vf.xlsx]Surfaces_Horti</v>
      </c>
      <c r="E1084">
        <f t="shared" ca="1" si="65"/>
        <v>200</v>
      </c>
      <c r="F1084">
        <f t="shared" ca="1" si="66"/>
        <v>214</v>
      </c>
      <c r="G1084" t="str">
        <f t="shared" ca="1" si="67"/>
        <v>Surfaces_Horti</v>
      </c>
      <c r="H1084" cm="1">
        <f t="array" aca="1" ref="H1084" ca="1">ROW(INDIRECT(A1084))</f>
        <v>92</v>
      </c>
      <c r="I1084" cm="1">
        <f t="array" aca="1" ref="I1084" ca="1">COLUMN(INDIRECT(A1084))</f>
        <v>13</v>
      </c>
      <c r="M1084" t="str" cm="1">
        <f t="array" aca="1" ref="M1084" ca="1">IF(AND(J1084="O",ISBLANK(INDIRECT(A1084))),"Valeur obligatoire non renseignée","")</f>
        <v/>
      </c>
    </row>
    <row r="1085" spans="1:13" x14ac:dyDescent="0.25">
      <c r="A1085" s="91" t="s">
        <v>4218</v>
      </c>
      <c r="B1085" cm="1">
        <f t="array" aca="1" ref="B1085" ca="1">INDIRECT(A1085)</f>
        <v>0</v>
      </c>
      <c r="C1085">
        <f t="shared" ca="1" si="64"/>
        <v>5</v>
      </c>
      <c r="D1085" t="str" cm="1">
        <f t="array" aca="1" ref="D1085" ca="1">CELL("nomfichier",INDIRECT(A1085))</f>
        <v>G:\SCPE\sdc\bq\6 - Mentions valorisantes\Certification environnementale\TEXTES_REGLEMENTATION_CE\Plans_contrôle et grilles\Grille audit niveau 3\Grille d'audit v1.11\[grille-audit-hvev4-v1.11-vf.xlsx]Surfaces_Horti</v>
      </c>
      <c r="E1085">
        <f t="shared" ca="1" si="65"/>
        <v>200</v>
      </c>
      <c r="F1085">
        <f t="shared" ca="1" si="66"/>
        <v>214</v>
      </c>
      <c r="G1085" t="str">
        <f t="shared" ca="1" si="67"/>
        <v>Surfaces_Horti</v>
      </c>
      <c r="H1085" cm="1">
        <f t="array" aca="1" ref="H1085" ca="1">ROW(INDIRECT(A1085))</f>
        <v>92</v>
      </c>
      <c r="I1085" cm="1">
        <f t="array" aca="1" ref="I1085" ca="1">COLUMN(INDIRECT(A1085))</f>
        <v>14</v>
      </c>
      <c r="M1085" t="str" cm="1">
        <f t="array" aca="1" ref="M1085" ca="1">IF(AND(J1085="O",ISBLANK(INDIRECT(A1085))),"Valeur obligatoire non renseignée","")</f>
        <v/>
      </c>
    </row>
    <row r="1086" spans="1:13" x14ac:dyDescent="0.25">
      <c r="A1086" s="91" t="s">
        <v>3895</v>
      </c>
      <c r="B1086" cm="1">
        <f t="array" aca="1" ref="B1086" ca="1">INDIRECT(A1086)</f>
        <v>0</v>
      </c>
      <c r="C1086">
        <f t="shared" ca="1" si="64"/>
        <v>5</v>
      </c>
      <c r="D1086" t="str" cm="1">
        <f t="array" aca="1" ref="D1086" ca="1">CELL("nomfichier",INDIRECT(A1086))</f>
        <v>G:\SCPE\sdc\bq\6 - Mentions valorisantes\Certification environnementale\TEXTES_REGLEMENTATION_CE\Plans_contrôle et grilles\Grille audit niveau 3\Grille d'audit v1.11\[grille-audit-hvev4-v1.11-vf.xlsx]Surfaces_Horti</v>
      </c>
      <c r="E1086">
        <f t="shared" ca="1" si="65"/>
        <v>200</v>
      </c>
      <c r="F1086">
        <f t="shared" ca="1" si="66"/>
        <v>214</v>
      </c>
      <c r="G1086" t="str">
        <f t="shared" ca="1" si="67"/>
        <v>Surfaces_Horti</v>
      </c>
      <c r="H1086" cm="1">
        <f t="array" aca="1" ref="H1086" ca="1">ROW(INDIRECT(A1086))</f>
        <v>93</v>
      </c>
      <c r="I1086" cm="1">
        <f t="array" aca="1" ref="I1086" ca="1">COLUMN(INDIRECT(A1086))</f>
        <v>2</v>
      </c>
      <c r="M1086" t="str" cm="1">
        <f t="array" aca="1" ref="M1086" ca="1">IF(AND(J1086="O",ISBLANK(INDIRECT(A1086))),"Valeur obligatoire non renseignée","")</f>
        <v/>
      </c>
    </row>
    <row r="1087" spans="1:13" x14ac:dyDescent="0.25">
      <c r="A1087" s="91" t="s">
        <v>3922</v>
      </c>
      <c r="B1087" cm="1">
        <f t="array" aca="1" ref="B1087" ca="1">INDIRECT(A1087)</f>
        <v>0</v>
      </c>
      <c r="C1087">
        <f t="shared" ca="1" si="64"/>
        <v>5</v>
      </c>
      <c r="D1087" t="str" cm="1">
        <f t="array" aca="1" ref="D1087" ca="1">CELL("nomfichier",INDIRECT(A1087))</f>
        <v>G:\SCPE\sdc\bq\6 - Mentions valorisantes\Certification environnementale\TEXTES_REGLEMENTATION_CE\Plans_contrôle et grilles\Grille audit niveau 3\Grille d'audit v1.11\[grille-audit-hvev4-v1.11-vf.xlsx]Surfaces_Horti</v>
      </c>
      <c r="E1087">
        <f t="shared" ca="1" si="65"/>
        <v>200</v>
      </c>
      <c r="F1087">
        <f t="shared" ca="1" si="66"/>
        <v>214</v>
      </c>
      <c r="G1087" t="str">
        <f t="shared" ca="1" si="67"/>
        <v>Surfaces_Horti</v>
      </c>
      <c r="H1087" cm="1">
        <f t="array" aca="1" ref="H1087" ca="1">ROW(INDIRECT(A1087))</f>
        <v>93</v>
      </c>
      <c r="I1087" cm="1">
        <f t="array" aca="1" ref="I1087" ca="1">COLUMN(INDIRECT(A1087))</f>
        <v>3</v>
      </c>
      <c r="M1087" t="str" cm="1">
        <f t="array" aca="1" ref="M1087" ca="1">IF(AND(J1087="O",ISBLANK(INDIRECT(A1087))),"Valeur obligatoire non renseignée","")</f>
        <v/>
      </c>
    </row>
    <row r="1088" spans="1:13" x14ac:dyDescent="0.25">
      <c r="A1088" s="91" t="s">
        <v>3949</v>
      </c>
      <c r="B1088" cm="1">
        <f t="array" aca="1" ref="B1088" ca="1">INDIRECT(A1088)</f>
        <v>0</v>
      </c>
      <c r="C1088">
        <f t="shared" ca="1" si="64"/>
        <v>5</v>
      </c>
      <c r="D1088" t="str" cm="1">
        <f t="array" aca="1" ref="D1088" ca="1">CELL("nomfichier",INDIRECT(A1088))</f>
        <v>G:\SCPE\sdc\bq\6 - Mentions valorisantes\Certification environnementale\TEXTES_REGLEMENTATION_CE\Plans_contrôle et grilles\Grille audit niveau 3\Grille d'audit v1.11\[grille-audit-hvev4-v1.11-vf.xlsx]Surfaces_Horti</v>
      </c>
      <c r="E1088">
        <f t="shared" ca="1" si="65"/>
        <v>200</v>
      </c>
      <c r="F1088">
        <f t="shared" ca="1" si="66"/>
        <v>214</v>
      </c>
      <c r="G1088" t="str">
        <f t="shared" ca="1" si="67"/>
        <v>Surfaces_Horti</v>
      </c>
      <c r="H1088" cm="1">
        <f t="array" aca="1" ref="H1088" ca="1">ROW(INDIRECT(A1088))</f>
        <v>93</v>
      </c>
      <c r="I1088" cm="1">
        <f t="array" aca="1" ref="I1088" ca="1">COLUMN(INDIRECT(A1088))</f>
        <v>4</v>
      </c>
      <c r="M1088" t="str" cm="1">
        <f t="array" aca="1" ref="M1088" ca="1">IF(AND(J1088="O",ISBLANK(INDIRECT(A1088))),"Valeur obligatoire non renseignée","")</f>
        <v/>
      </c>
    </row>
    <row r="1089" spans="1:13" x14ac:dyDescent="0.25">
      <c r="A1089" s="91" t="s">
        <v>3976</v>
      </c>
      <c r="B1089" cm="1">
        <f t="array" aca="1" ref="B1089" ca="1">INDIRECT(A1089)</f>
        <v>0</v>
      </c>
      <c r="C1089">
        <f t="shared" ca="1" si="64"/>
        <v>5</v>
      </c>
      <c r="D1089" t="str" cm="1">
        <f t="array" aca="1" ref="D1089" ca="1">CELL("nomfichier",INDIRECT(A1089))</f>
        <v>G:\SCPE\sdc\bq\6 - Mentions valorisantes\Certification environnementale\TEXTES_REGLEMENTATION_CE\Plans_contrôle et grilles\Grille audit niveau 3\Grille d'audit v1.11\[grille-audit-hvev4-v1.11-vf.xlsx]Surfaces_Horti</v>
      </c>
      <c r="E1089">
        <f t="shared" ca="1" si="65"/>
        <v>200</v>
      </c>
      <c r="F1089">
        <f t="shared" ca="1" si="66"/>
        <v>214</v>
      </c>
      <c r="G1089" t="str">
        <f t="shared" ca="1" si="67"/>
        <v>Surfaces_Horti</v>
      </c>
      <c r="H1089" cm="1">
        <f t="array" aca="1" ref="H1089" ca="1">ROW(INDIRECT(A1089))</f>
        <v>93</v>
      </c>
      <c r="I1089" cm="1">
        <f t="array" aca="1" ref="I1089" ca="1">COLUMN(INDIRECT(A1089))</f>
        <v>5</v>
      </c>
      <c r="M1089" t="str" cm="1">
        <f t="array" aca="1" ref="M1089" ca="1">IF(AND(J1089="O",ISBLANK(INDIRECT(A1089))),"Valeur obligatoire non renseignée","")</f>
        <v/>
      </c>
    </row>
    <row r="1090" spans="1:13" x14ac:dyDescent="0.25">
      <c r="A1090" s="91" t="s">
        <v>4003</v>
      </c>
      <c r="B1090" cm="1">
        <f t="array" aca="1" ref="B1090" ca="1">INDIRECT(A1090)</f>
        <v>0</v>
      </c>
      <c r="C1090">
        <f t="shared" ref="C1090:C1153" ca="1" si="68">_xlfn.SHEET(INDIRECT(A1090))</f>
        <v>5</v>
      </c>
      <c r="D1090" t="str" cm="1">
        <f t="array" aca="1" ref="D1090" ca="1">CELL("nomfichier",INDIRECT(A1090))</f>
        <v>G:\SCPE\sdc\bq\6 - Mentions valorisantes\Certification environnementale\TEXTES_REGLEMENTATION_CE\Plans_contrôle et grilles\Grille audit niveau 3\Grille d'audit v1.11\[grille-audit-hvev4-v1.11-vf.xlsx]Surfaces_Horti</v>
      </c>
      <c r="E1090">
        <f t="shared" ref="E1090:E1153" ca="1" si="69">FIND("]",D1090)</f>
        <v>200</v>
      </c>
      <c r="F1090">
        <f t="shared" ref="F1090:F1153" ca="1" si="70">LEN(D1090)</f>
        <v>214</v>
      </c>
      <c r="G1090" t="str">
        <f t="shared" ref="G1090:G1153" ca="1" si="71">RIGHT(D1090,F1090-E1090)</f>
        <v>Surfaces_Horti</v>
      </c>
      <c r="H1090" cm="1">
        <f t="array" aca="1" ref="H1090" ca="1">ROW(INDIRECT(A1090))</f>
        <v>93</v>
      </c>
      <c r="I1090" cm="1">
        <f t="array" aca="1" ref="I1090" ca="1">COLUMN(INDIRECT(A1090))</f>
        <v>6</v>
      </c>
      <c r="M1090" t="str" cm="1">
        <f t="array" aca="1" ref="M1090" ca="1">IF(AND(J1090="O",ISBLANK(INDIRECT(A1090))),"Valeur obligatoire non renseignée","")</f>
        <v/>
      </c>
    </row>
    <row r="1091" spans="1:13" x14ac:dyDescent="0.25">
      <c r="A1091" s="91" t="s">
        <v>4030</v>
      </c>
      <c r="B1091" cm="1">
        <f t="array" aca="1" ref="B1091" ca="1">INDIRECT(A1091)</f>
        <v>0</v>
      </c>
      <c r="C1091">
        <f t="shared" ca="1" si="68"/>
        <v>5</v>
      </c>
      <c r="D1091" t="str" cm="1">
        <f t="array" aca="1" ref="D1091" ca="1">CELL("nomfichier",INDIRECT(A1091))</f>
        <v>G:\SCPE\sdc\bq\6 - Mentions valorisantes\Certification environnementale\TEXTES_REGLEMENTATION_CE\Plans_contrôle et grilles\Grille audit niveau 3\Grille d'audit v1.11\[grille-audit-hvev4-v1.11-vf.xlsx]Surfaces_Horti</v>
      </c>
      <c r="E1091">
        <f t="shared" ca="1" si="69"/>
        <v>200</v>
      </c>
      <c r="F1091">
        <f t="shared" ca="1" si="70"/>
        <v>214</v>
      </c>
      <c r="G1091" t="str">
        <f t="shared" ca="1" si="71"/>
        <v>Surfaces_Horti</v>
      </c>
      <c r="H1091" cm="1">
        <f t="array" aca="1" ref="H1091" ca="1">ROW(INDIRECT(A1091))</f>
        <v>93</v>
      </c>
      <c r="I1091" cm="1">
        <f t="array" aca="1" ref="I1091" ca="1">COLUMN(INDIRECT(A1091))</f>
        <v>7</v>
      </c>
      <c r="M1091" t="str" cm="1">
        <f t="array" aca="1" ref="M1091" ca="1">IF(AND(J1091="O",ISBLANK(INDIRECT(A1091))),"Valeur obligatoire non renseignée","")</f>
        <v/>
      </c>
    </row>
    <row r="1092" spans="1:13" x14ac:dyDescent="0.25">
      <c r="A1092" s="91" t="s">
        <v>4057</v>
      </c>
      <c r="B1092" cm="1">
        <f t="array" aca="1" ref="B1092" ca="1">INDIRECT(A1092)</f>
        <v>0</v>
      </c>
      <c r="C1092">
        <f t="shared" ca="1" si="68"/>
        <v>5</v>
      </c>
      <c r="D1092" t="str" cm="1">
        <f t="array" aca="1" ref="D1092" ca="1">CELL("nomfichier",INDIRECT(A1092))</f>
        <v>G:\SCPE\sdc\bq\6 - Mentions valorisantes\Certification environnementale\TEXTES_REGLEMENTATION_CE\Plans_contrôle et grilles\Grille audit niveau 3\Grille d'audit v1.11\[grille-audit-hvev4-v1.11-vf.xlsx]Surfaces_Horti</v>
      </c>
      <c r="E1092">
        <f t="shared" ca="1" si="69"/>
        <v>200</v>
      </c>
      <c r="F1092">
        <f t="shared" ca="1" si="70"/>
        <v>214</v>
      </c>
      <c r="G1092" t="str">
        <f t="shared" ca="1" si="71"/>
        <v>Surfaces_Horti</v>
      </c>
      <c r="H1092" cm="1">
        <f t="array" aca="1" ref="H1092" ca="1">ROW(INDIRECT(A1092))</f>
        <v>93</v>
      </c>
      <c r="I1092" cm="1">
        <f t="array" aca="1" ref="I1092" ca="1">COLUMN(INDIRECT(A1092))</f>
        <v>8</v>
      </c>
      <c r="M1092" t="str" cm="1">
        <f t="array" aca="1" ref="M1092" ca="1">IF(AND(J1092="O",ISBLANK(INDIRECT(A1092))),"Valeur obligatoire non renseignée","")</f>
        <v/>
      </c>
    </row>
    <row r="1093" spans="1:13" x14ac:dyDescent="0.25">
      <c r="A1093" s="91" t="s">
        <v>4084</v>
      </c>
      <c r="B1093" cm="1">
        <f t="array" aca="1" ref="B1093" ca="1">INDIRECT(A1093)</f>
        <v>0</v>
      </c>
      <c r="C1093">
        <f t="shared" ca="1" si="68"/>
        <v>5</v>
      </c>
      <c r="D1093" t="str" cm="1">
        <f t="array" aca="1" ref="D1093" ca="1">CELL("nomfichier",INDIRECT(A1093))</f>
        <v>G:\SCPE\sdc\bq\6 - Mentions valorisantes\Certification environnementale\TEXTES_REGLEMENTATION_CE\Plans_contrôle et grilles\Grille audit niveau 3\Grille d'audit v1.11\[grille-audit-hvev4-v1.11-vf.xlsx]Surfaces_Horti</v>
      </c>
      <c r="E1093">
        <f t="shared" ca="1" si="69"/>
        <v>200</v>
      </c>
      <c r="F1093">
        <f t="shared" ca="1" si="70"/>
        <v>214</v>
      </c>
      <c r="G1093" t="str">
        <f t="shared" ca="1" si="71"/>
        <v>Surfaces_Horti</v>
      </c>
      <c r="H1093" cm="1">
        <f t="array" aca="1" ref="H1093" ca="1">ROW(INDIRECT(A1093))</f>
        <v>93</v>
      </c>
      <c r="I1093" cm="1">
        <f t="array" aca="1" ref="I1093" ca="1">COLUMN(INDIRECT(A1093))</f>
        <v>9</v>
      </c>
      <c r="M1093" t="str" cm="1">
        <f t="array" aca="1" ref="M1093" ca="1">IF(AND(J1093="O",ISBLANK(INDIRECT(A1093))),"Valeur obligatoire non renseignée","")</f>
        <v/>
      </c>
    </row>
    <row r="1094" spans="1:13" x14ac:dyDescent="0.25">
      <c r="A1094" s="91" t="s">
        <v>4111</v>
      </c>
      <c r="B1094" cm="1">
        <f t="array" aca="1" ref="B1094" ca="1">INDIRECT(A1094)</f>
        <v>0</v>
      </c>
      <c r="C1094">
        <f t="shared" ca="1" si="68"/>
        <v>5</v>
      </c>
      <c r="D1094" t="str" cm="1">
        <f t="array" aca="1" ref="D1094" ca="1">CELL("nomfichier",INDIRECT(A1094))</f>
        <v>G:\SCPE\sdc\bq\6 - Mentions valorisantes\Certification environnementale\TEXTES_REGLEMENTATION_CE\Plans_contrôle et grilles\Grille audit niveau 3\Grille d'audit v1.11\[grille-audit-hvev4-v1.11-vf.xlsx]Surfaces_Horti</v>
      </c>
      <c r="E1094">
        <f t="shared" ca="1" si="69"/>
        <v>200</v>
      </c>
      <c r="F1094">
        <f t="shared" ca="1" si="70"/>
        <v>214</v>
      </c>
      <c r="G1094" t="str">
        <f t="shared" ca="1" si="71"/>
        <v>Surfaces_Horti</v>
      </c>
      <c r="H1094" cm="1">
        <f t="array" aca="1" ref="H1094" ca="1">ROW(INDIRECT(A1094))</f>
        <v>93</v>
      </c>
      <c r="I1094" cm="1">
        <f t="array" aca="1" ref="I1094" ca="1">COLUMN(INDIRECT(A1094))</f>
        <v>10</v>
      </c>
      <c r="M1094" t="str" cm="1">
        <f t="array" aca="1" ref="M1094" ca="1">IF(AND(J1094="O",ISBLANK(INDIRECT(A1094))),"Valeur obligatoire non renseignée","")</f>
        <v/>
      </c>
    </row>
    <row r="1095" spans="1:13" x14ac:dyDescent="0.25">
      <c r="A1095" s="91" t="s">
        <v>4138</v>
      </c>
      <c r="B1095" cm="1">
        <f t="array" aca="1" ref="B1095" ca="1">INDIRECT(A1095)</f>
        <v>0</v>
      </c>
      <c r="C1095">
        <f t="shared" ca="1" si="68"/>
        <v>5</v>
      </c>
      <c r="D1095" t="str" cm="1">
        <f t="array" aca="1" ref="D1095" ca="1">CELL("nomfichier",INDIRECT(A1095))</f>
        <v>G:\SCPE\sdc\bq\6 - Mentions valorisantes\Certification environnementale\TEXTES_REGLEMENTATION_CE\Plans_contrôle et grilles\Grille audit niveau 3\Grille d'audit v1.11\[grille-audit-hvev4-v1.11-vf.xlsx]Surfaces_Horti</v>
      </c>
      <c r="E1095">
        <f t="shared" ca="1" si="69"/>
        <v>200</v>
      </c>
      <c r="F1095">
        <f t="shared" ca="1" si="70"/>
        <v>214</v>
      </c>
      <c r="G1095" t="str">
        <f t="shared" ca="1" si="71"/>
        <v>Surfaces_Horti</v>
      </c>
      <c r="H1095" cm="1">
        <f t="array" aca="1" ref="H1095" ca="1">ROW(INDIRECT(A1095))</f>
        <v>93</v>
      </c>
      <c r="I1095" cm="1">
        <f t="array" aca="1" ref="I1095" ca="1">COLUMN(INDIRECT(A1095))</f>
        <v>11</v>
      </c>
      <c r="M1095" t="str" cm="1">
        <f t="array" aca="1" ref="M1095" ca="1">IF(AND(J1095="O",ISBLANK(INDIRECT(A1095))),"Valeur obligatoire non renseignée","")</f>
        <v/>
      </c>
    </row>
    <row r="1096" spans="1:13" x14ac:dyDescent="0.25">
      <c r="A1096" s="91" t="s">
        <v>4165</v>
      </c>
      <c r="B1096" cm="1">
        <f t="array" aca="1" ref="B1096" ca="1">INDIRECT(A1096)</f>
        <v>0</v>
      </c>
      <c r="C1096">
        <f t="shared" ca="1" si="68"/>
        <v>5</v>
      </c>
      <c r="D1096" t="str" cm="1">
        <f t="array" aca="1" ref="D1096" ca="1">CELL("nomfichier",INDIRECT(A1096))</f>
        <v>G:\SCPE\sdc\bq\6 - Mentions valorisantes\Certification environnementale\TEXTES_REGLEMENTATION_CE\Plans_contrôle et grilles\Grille audit niveau 3\Grille d'audit v1.11\[grille-audit-hvev4-v1.11-vf.xlsx]Surfaces_Horti</v>
      </c>
      <c r="E1096">
        <f t="shared" ca="1" si="69"/>
        <v>200</v>
      </c>
      <c r="F1096">
        <f t="shared" ca="1" si="70"/>
        <v>214</v>
      </c>
      <c r="G1096" t="str">
        <f t="shared" ca="1" si="71"/>
        <v>Surfaces_Horti</v>
      </c>
      <c r="H1096" cm="1">
        <f t="array" aca="1" ref="H1096" ca="1">ROW(INDIRECT(A1096))</f>
        <v>93</v>
      </c>
      <c r="I1096" cm="1">
        <f t="array" aca="1" ref="I1096" ca="1">COLUMN(INDIRECT(A1096))</f>
        <v>12</v>
      </c>
      <c r="M1096" t="str" cm="1">
        <f t="array" aca="1" ref="M1096" ca="1">IF(AND(J1096="O",ISBLANK(INDIRECT(A1096))),"Valeur obligatoire non renseignée","")</f>
        <v/>
      </c>
    </row>
    <row r="1097" spans="1:13" x14ac:dyDescent="0.25">
      <c r="A1097" s="91" t="s">
        <v>4192</v>
      </c>
      <c r="B1097" cm="1">
        <f t="array" aca="1" ref="B1097" ca="1">INDIRECT(A1097)</f>
        <v>0</v>
      </c>
      <c r="C1097">
        <f t="shared" ca="1" si="68"/>
        <v>5</v>
      </c>
      <c r="D1097" t="str" cm="1">
        <f t="array" aca="1" ref="D1097" ca="1">CELL("nomfichier",INDIRECT(A1097))</f>
        <v>G:\SCPE\sdc\bq\6 - Mentions valorisantes\Certification environnementale\TEXTES_REGLEMENTATION_CE\Plans_contrôle et grilles\Grille audit niveau 3\Grille d'audit v1.11\[grille-audit-hvev4-v1.11-vf.xlsx]Surfaces_Horti</v>
      </c>
      <c r="E1097">
        <f t="shared" ca="1" si="69"/>
        <v>200</v>
      </c>
      <c r="F1097">
        <f t="shared" ca="1" si="70"/>
        <v>214</v>
      </c>
      <c r="G1097" t="str">
        <f t="shared" ca="1" si="71"/>
        <v>Surfaces_Horti</v>
      </c>
      <c r="H1097" cm="1">
        <f t="array" aca="1" ref="H1097" ca="1">ROW(INDIRECT(A1097))</f>
        <v>93</v>
      </c>
      <c r="I1097" cm="1">
        <f t="array" aca="1" ref="I1097" ca="1">COLUMN(INDIRECT(A1097))</f>
        <v>13</v>
      </c>
      <c r="M1097" t="str" cm="1">
        <f t="array" aca="1" ref="M1097" ca="1">IF(AND(J1097="O",ISBLANK(INDIRECT(A1097))),"Valeur obligatoire non renseignée","")</f>
        <v/>
      </c>
    </row>
    <row r="1098" spans="1:13" x14ac:dyDescent="0.25">
      <c r="A1098" s="91" t="s">
        <v>4219</v>
      </c>
      <c r="B1098" cm="1">
        <f t="array" aca="1" ref="B1098" ca="1">INDIRECT(A1098)</f>
        <v>0</v>
      </c>
      <c r="C1098">
        <f t="shared" ca="1" si="68"/>
        <v>5</v>
      </c>
      <c r="D1098" t="str" cm="1">
        <f t="array" aca="1" ref="D1098" ca="1">CELL("nomfichier",INDIRECT(A1098))</f>
        <v>G:\SCPE\sdc\bq\6 - Mentions valorisantes\Certification environnementale\TEXTES_REGLEMENTATION_CE\Plans_contrôle et grilles\Grille audit niveau 3\Grille d'audit v1.11\[grille-audit-hvev4-v1.11-vf.xlsx]Surfaces_Horti</v>
      </c>
      <c r="E1098">
        <f t="shared" ca="1" si="69"/>
        <v>200</v>
      </c>
      <c r="F1098">
        <f t="shared" ca="1" si="70"/>
        <v>214</v>
      </c>
      <c r="G1098" t="str">
        <f t="shared" ca="1" si="71"/>
        <v>Surfaces_Horti</v>
      </c>
      <c r="H1098" cm="1">
        <f t="array" aca="1" ref="H1098" ca="1">ROW(INDIRECT(A1098))</f>
        <v>93</v>
      </c>
      <c r="I1098" cm="1">
        <f t="array" aca="1" ref="I1098" ca="1">COLUMN(INDIRECT(A1098))</f>
        <v>14</v>
      </c>
      <c r="M1098" t="str" cm="1">
        <f t="array" aca="1" ref="M1098" ca="1">IF(AND(J1098="O",ISBLANK(INDIRECT(A1098))),"Valeur obligatoire non renseignée","")</f>
        <v/>
      </c>
    </row>
    <row r="1099" spans="1:13" x14ac:dyDescent="0.25">
      <c r="A1099" s="91" t="s">
        <v>3896</v>
      </c>
      <c r="B1099" cm="1">
        <f t="array" aca="1" ref="B1099" ca="1">INDIRECT(A1099)</f>
        <v>0</v>
      </c>
      <c r="C1099">
        <f t="shared" ca="1" si="68"/>
        <v>5</v>
      </c>
      <c r="D1099" t="str" cm="1">
        <f t="array" aca="1" ref="D1099" ca="1">CELL("nomfichier",INDIRECT(A1099))</f>
        <v>G:\SCPE\sdc\bq\6 - Mentions valorisantes\Certification environnementale\TEXTES_REGLEMENTATION_CE\Plans_contrôle et grilles\Grille audit niveau 3\Grille d'audit v1.11\[grille-audit-hvev4-v1.11-vf.xlsx]Surfaces_Horti</v>
      </c>
      <c r="E1099">
        <f t="shared" ca="1" si="69"/>
        <v>200</v>
      </c>
      <c r="F1099">
        <f t="shared" ca="1" si="70"/>
        <v>214</v>
      </c>
      <c r="G1099" t="str">
        <f t="shared" ca="1" si="71"/>
        <v>Surfaces_Horti</v>
      </c>
      <c r="H1099" cm="1">
        <f t="array" aca="1" ref="H1099" ca="1">ROW(INDIRECT(A1099))</f>
        <v>95</v>
      </c>
      <c r="I1099" cm="1">
        <f t="array" aca="1" ref="I1099" ca="1">COLUMN(INDIRECT(A1099))</f>
        <v>2</v>
      </c>
      <c r="M1099" t="str" cm="1">
        <f t="array" aca="1" ref="M1099" ca="1">IF(AND(J1099="O",ISBLANK(INDIRECT(A1099))),"Valeur obligatoire non renseignée","")</f>
        <v/>
      </c>
    </row>
    <row r="1100" spans="1:13" x14ac:dyDescent="0.25">
      <c r="A1100" s="91" t="s">
        <v>3923</v>
      </c>
      <c r="B1100" cm="1">
        <f t="array" aca="1" ref="B1100" ca="1">INDIRECT(A1100)</f>
        <v>0</v>
      </c>
      <c r="C1100">
        <f t="shared" ca="1" si="68"/>
        <v>5</v>
      </c>
      <c r="D1100" t="str" cm="1">
        <f t="array" aca="1" ref="D1100" ca="1">CELL("nomfichier",INDIRECT(A1100))</f>
        <v>G:\SCPE\sdc\bq\6 - Mentions valorisantes\Certification environnementale\TEXTES_REGLEMENTATION_CE\Plans_contrôle et grilles\Grille audit niveau 3\Grille d'audit v1.11\[grille-audit-hvev4-v1.11-vf.xlsx]Surfaces_Horti</v>
      </c>
      <c r="E1100">
        <f t="shared" ca="1" si="69"/>
        <v>200</v>
      </c>
      <c r="F1100">
        <f t="shared" ca="1" si="70"/>
        <v>214</v>
      </c>
      <c r="G1100" t="str">
        <f t="shared" ca="1" si="71"/>
        <v>Surfaces_Horti</v>
      </c>
      <c r="H1100" cm="1">
        <f t="array" aca="1" ref="H1100" ca="1">ROW(INDIRECT(A1100))</f>
        <v>95</v>
      </c>
      <c r="I1100" cm="1">
        <f t="array" aca="1" ref="I1100" ca="1">COLUMN(INDIRECT(A1100))</f>
        <v>3</v>
      </c>
      <c r="M1100" t="str" cm="1">
        <f t="array" aca="1" ref="M1100" ca="1">IF(AND(J1100="O",ISBLANK(INDIRECT(A1100))),"Valeur obligatoire non renseignée","")</f>
        <v/>
      </c>
    </row>
    <row r="1101" spans="1:13" x14ac:dyDescent="0.25">
      <c r="A1101" s="91" t="s">
        <v>3950</v>
      </c>
      <c r="B1101" cm="1">
        <f t="array" aca="1" ref="B1101" ca="1">INDIRECT(A1101)</f>
        <v>0</v>
      </c>
      <c r="C1101">
        <f t="shared" ca="1" si="68"/>
        <v>5</v>
      </c>
      <c r="D1101" t="str" cm="1">
        <f t="array" aca="1" ref="D1101" ca="1">CELL("nomfichier",INDIRECT(A1101))</f>
        <v>G:\SCPE\sdc\bq\6 - Mentions valorisantes\Certification environnementale\TEXTES_REGLEMENTATION_CE\Plans_contrôle et grilles\Grille audit niveau 3\Grille d'audit v1.11\[grille-audit-hvev4-v1.11-vf.xlsx]Surfaces_Horti</v>
      </c>
      <c r="E1101">
        <f t="shared" ca="1" si="69"/>
        <v>200</v>
      </c>
      <c r="F1101">
        <f t="shared" ca="1" si="70"/>
        <v>214</v>
      </c>
      <c r="G1101" t="str">
        <f t="shared" ca="1" si="71"/>
        <v>Surfaces_Horti</v>
      </c>
      <c r="H1101" cm="1">
        <f t="array" aca="1" ref="H1101" ca="1">ROW(INDIRECT(A1101))</f>
        <v>95</v>
      </c>
      <c r="I1101" cm="1">
        <f t="array" aca="1" ref="I1101" ca="1">COLUMN(INDIRECT(A1101))</f>
        <v>4</v>
      </c>
      <c r="M1101" t="str" cm="1">
        <f t="array" aca="1" ref="M1101" ca="1">IF(AND(J1101="O",ISBLANK(INDIRECT(A1101))),"Valeur obligatoire non renseignée","")</f>
        <v/>
      </c>
    </row>
    <row r="1102" spans="1:13" x14ac:dyDescent="0.25">
      <c r="A1102" s="91" t="s">
        <v>3977</v>
      </c>
      <c r="B1102" cm="1">
        <f t="array" aca="1" ref="B1102" ca="1">INDIRECT(A1102)</f>
        <v>0</v>
      </c>
      <c r="C1102">
        <f t="shared" ca="1" si="68"/>
        <v>5</v>
      </c>
      <c r="D1102" t="str" cm="1">
        <f t="array" aca="1" ref="D1102" ca="1">CELL("nomfichier",INDIRECT(A1102))</f>
        <v>G:\SCPE\sdc\bq\6 - Mentions valorisantes\Certification environnementale\TEXTES_REGLEMENTATION_CE\Plans_contrôle et grilles\Grille audit niveau 3\Grille d'audit v1.11\[grille-audit-hvev4-v1.11-vf.xlsx]Surfaces_Horti</v>
      </c>
      <c r="E1102">
        <f t="shared" ca="1" si="69"/>
        <v>200</v>
      </c>
      <c r="F1102">
        <f t="shared" ca="1" si="70"/>
        <v>214</v>
      </c>
      <c r="G1102" t="str">
        <f t="shared" ca="1" si="71"/>
        <v>Surfaces_Horti</v>
      </c>
      <c r="H1102" cm="1">
        <f t="array" aca="1" ref="H1102" ca="1">ROW(INDIRECT(A1102))</f>
        <v>95</v>
      </c>
      <c r="I1102" cm="1">
        <f t="array" aca="1" ref="I1102" ca="1">COLUMN(INDIRECT(A1102))</f>
        <v>5</v>
      </c>
      <c r="M1102" t="str" cm="1">
        <f t="array" aca="1" ref="M1102" ca="1">IF(AND(J1102="O",ISBLANK(INDIRECT(A1102))),"Valeur obligatoire non renseignée","")</f>
        <v/>
      </c>
    </row>
    <row r="1103" spans="1:13" x14ac:dyDescent="0.25">
      <c r="A1103" s="91" t="s">
        <v>4004</v>
      </c>
      <c r="B1103" cm="1">
        <f t="array" aca="1" ref="B1103" ca="1">INDIRECT(A1103)</f>
        <v>0</v>
      </c>
      <c r="C1103">
        <f t="shared" ca="1" si="68"/>
        <v>5</v>
      </c>
      <c r="D1103" t="str" cm="1">
        <f t="array" aca="1" ref="D1103" ca="1">CELL("nomfichier",INDIRECT(A1103))</f>
        <v>G:\SCPE\sdc\bq\6 - Mentions valorisantes\Certification environnementale\TEXTES_REGLEMENTATION_CE\Plans_contrôle et grilles\Grille audit niveau 3\Grille d'audit v1.11\[grille-audit-hvev4-v1.11-vf.xlsx]Surfaces_Horti</v>
      </c>
      <c r="E1103">
        <f t="shared" ca="1" si="69"/>
        <v>200</v>
      </c>
      <c r="F1103">
        <f t="shared" ca="1" si="70"/>
        <v>214</v>
      </c>
      <c r="G1103" t="str">
        <f t="shared" ca="1" si="71"/>
        <v>Surfaces_Horti</v>
      </c>
      <c r="H1103" cm="1">
        <f t="array" aca="1" ref="H1103" ca="1">ROW(INDIRECT(A1103))</f>
        <v>95</v>
      </c>
      <c r="I1103" cm="1">
        <f t="array" aca="1" ref="I1103" ca="1">COLUMN(INDIRECT(A1103))</f>
        <v>6</v>
      </c>
      <c r="M1103" t="str" cm="1">
        <f t="array" aca="1" ref="M1103" ca="1">IF(AND(J1103="O",ISBLANK(INDIRECT(A1103))),"Valeur obligatoire non renseignée","")</f>
        <v/>
      </c>
    </row>
    <row r="1104" spans="1:13" x14ac:dyDescent="0.25">
      <c r="A1104" s="91" t="s">
        <v>4031</v>
      </c>
      <c r="B1104" cm="1">
        <f t="array" aca="1" ref="B1104" ca="1">INDIRECT(A1104)</f>
        <v>0</v>
      </c>
      <c r="C1104">
        <f t="shared" ca="1" si="68"/>
        <v>5</v>
      </c>
      <c r="D1104" t="str" cm="1">
        <f t="array" aca="1" ref="D1104" ca="1">CELL("nomfichier",INDIRECT(A1104))</f>
        <v>G:\SCPE\sdc\bq\6 - Mentions valorisantes\Certification environnementale\TEXTES_REGLEMENTATION_CE\Plans_contrôle et grilles\Grille audit niveau 3\Grille d'audit v1.11\[grille-audit-hvev4-v1.11-vf.xlsx]Surfaces_Horti</v>
      </c>
      <c r="E1104">
        <f t="shared" ca="1" si="69"/>
        <v>200</v>
      </c>
      <c r="F1104">
        <f t="shared" ca="1" si="70"/>
        <v>214</v>
      </c>
      <c r="G1104" t="str">
        <f t="shared" ca="1" si="71"/>
        <v>Surfaces_Horti</v>
      </c>
      <c r="H1104" cm="1">
        <f t="array" aca="1" ref="H1104" ca="1">ROW(INDIRECT(A1104))</f>
        <v>95</v>
      </c>
      <c r="I1104" cm="1">
        <f t="array" aca="1" ref="I1104" ca="1">COLUMN(INDIRECT(A1104))</f>
        <v>7</v>
      </c>
      <c r="M1104" t="str" cm="1">
        <f t="array" aca="1" ref="M1104" ca="1">IF(AND(J1104="O",ISBLANK(INDIRECT(A1104))),"Valeur obligatoire non renseignée","")</f>
        <v/>
      </c>
    </row>
    <row r="1105" spans="1:13" x14ac:dyDescent="0.25">
      <c r="A1105" s="91" t="s">
        <v>4058</v>
      </c>
      <c r="B1105" cm="1">
        <f t="array" aca="1" ref="B1105" ca="1">INDIRECT(A1105)</f>
        <v>0</v>
      </c>
      <c r="C1105">
        <f t="shared" ca="1" si="68"/>
        <v>5</v>
      </c>
      <c r="D1105" t="str" cm="1">
        <f t="array" aca="1" ref="D1105" ca="1">CELL("nomfichier",INDIRECT(A1105))</f>
        <v>G:\SCPE\sdc\bq\6 - Mentions valorisantes\Certification environnementale\TEXTES_REGLEMENTATION_CE\Plans_contrôle et grilles\Grille audit niveau 3\Grille d'audit v1.11\[grille-audit-hvev4-v1.11-vf.xlsx]Surfaces_Horti</v>
      </c>
      <c r="E1105">
        <f t="shared" ca="1" si="69"/>
        <v>200</v>
      </c>
      <c r="F1105">
        <f t="shared" ca="1" si="70"/>
        <v>214</v>
      </c>
      <c r="G1105" t="str">
        <f t="shared" ca="1" si="71"/>
        <v>Surfaces_Horti</v>
      </c>
      <c r="H1105" cm="1">
        <f t="array" aca="1" ref="H1105" ca="1">ROW(INDIRECT(A1105))</f>
        <v>95</v>
      </c>
      <c r="I1105" cm="1">
        <f t="array" aca="1" ref="I1105" ca="1">COLUMN(INDIRECT(A1105))</f>
        <v>8</v>
      </c>
      <c r="M1105" t="str" cm="1">
        <f t="array" aca="1" ref="M1105" ca="1">IF(AND(J1105="O",ISBLANK(INDIRECT(A1105))),"Valeur obligatoire non renseignée","")</f>
        <v/>
      </c>
    </row>
    <row r="1106" spans="1:13" x14ac:dyDescent="0.25">
      <c r="A1106" s="91" t="s">
        <v>4085</v>
      </c>
      <c r="B1106" cm="1">
        <f t="array" aca="1" ref="B1106" ca="1">INDIRECT(A1106)</f>
        <v>0</v>
      </c>
      <c r="C1106">
        <f t="shared" ca="1" si="68"/>
        <v>5</v>
      </c>
      <c r="D1106" t="str" cm="1">
        <f t="array" aca="1" ref="D1106" ca="1">CELL("nomfichier",INDIRECT(A1106))</f>
        <v>G:\SCPE\sdc\bq\6 - Mentions valorisantes\Certification environnementale\TEXTES_REGLEMENTATION_CE\Plans_contrôle et grilles\Grille audit niveau 3\Grille d'audit v1.11\[grille-audit-hvev4-v1.11-vf.xlsx]Surfaces_Horti</v>
      </c>
      <c r="E1106">
        <f t="shared" ca="1" si="69"/>
        <v>200</v>
      </c>
      <c r="F1106">
        <f t="shared" ca="1" si="70"/>
        <v>214</v>
      </c>
      <c r="G1106" t="str">
        <f t="shared" ca="1" si="71"/>
        <v>Surfaces_Horti</v>
      </c>
      <c r="H1106" cm="1">
        <f t="array" aca="1" ref="H1106" ca="1">ROW(INDIRECT(A1106))</f>
        <v>95</v>
      </c>
      <c r="I1106" cm="1">
        <f t="array" aca="1" ref="I1106" ca="1">COLUMN(INDIRECT(A1106))</f>
        <v>9</v>
      </c>
      <c r="M1106" t="str" cm="1">
        <f t="array" aca="1" ref="M1106" ca="1">IF(AND(J1106="O",ISBLANK(INDIRECT(A1106))),"Valeur obligatoire non renseignée","")</f>
        <v/>
      </c>
    </row>
    <row r="1107" spans="1:13" x14ac:dyDescent="0.25">
      <c r="A1107" s="91" t="s">
        <v>4112</v>
      </c>
      <c r="B1107" cm="1">
        <f t="array" aca="1" ref="B1107" ca="1">INDIRECT(A1107)</f>
        <v>0</v>
      </c>
      <c r="C1107">
        <f t="shared" ca="1" si="68"/>
        <v>5</v>
      </c>
      <c r="D1107" t="str" cm="1">
        <f t="array" aca="1" ref="D1107" ca="1">CELL("nomfichier",INDIRECT(A1107))</f>
        <v>G:\SCPE\sdc\bq\6 - Mentions valorisantes\Certification environnementale\TEXTES_REGLEMENTATION_CE\Plans_contrôle et grilles\Grille audit niveau 3\Grille d'audit v1.11\[grille-audit-hvev4-v1.11-vf.xlsx]Surfaces_Horti</v>
      </c>
      <c r="E1107">
        <f t="shared" ca="1" si="69"/>
        <v>200</v>
      </c>
      <c r="F1107">
        <f t="shared" ca="1" si="70"/>
        <v>214</v>
      </c>
      <c r="G1107" t="str">
        <f t="shared" ca="1" si="71"/>
        <v>Surfaces_Horti</v>
      </c>
      <c r="H1107" cm="1">
        <f t="array" aca="1" ref="H1107" ca="1">ROW(INDIRECT(A1107))</f>
        <v>95</v>
      </c>
      <c r="I1107" cm="1">
        <f t="array" aca="1" ref="I1107" ca="1">COLUMN(INDIRECT(A1107))</f>
        <v>10</v>
      </c>
      <c r="M1107" t="str" cm="1">
        <f t="array" aca="1" ref="M1107" ca="1">IF(AND(J1107="O",ISBLANK(INDIRECT(A1107))),"Valeur obligatoire non renseignée","")</f>
        <v/>
      </c>
    </row>
    <row r="1108" spans="1:13" x14ac:dyDescent="0.25">
      <c r="A1108" s="91" t="s">
        <v>4139</v>
      </c>
      <c r="B1108" cm="1">
        <f t="array" aca="1" ref="B1108" ca="1">INDIRECT(A1108)</f>
        <v>0</v>
      </c>
      <c r="C1108">
        <f t="shared" ca="1" si="68"/>
        <v>5</v>
      </c>
      <c r="D1108" t="str" cm="1">
        <f t="array" aca="1" ref="D1108" ca="1">CELL("nomfichier",INDIRECT(A1108))</f>
        <v>G:\SCPE\sdc\bq\6 - Mentions valorisantes\Certification environnementale\TEXTES_REGLEMENTATION_CE\Plans_contrôle et grilles\Grille audit niveau 3\Grille d'audit v1.11\[grille-audit-hvev4-v1.11-vf.xlsx]Surfaces_Horti</v>
      </c>
      <c r="E1108">
        <f t="shared" ca="1" si="69"/>
        <v>200</v>
      </c>
      <c r="F1108">
        <f t="shared" ca="1" si="70"/>
        <v>214</v>
      </c>
      <c r="G1108" t="str">
        <f t="shared" ca="1" si="71"/>
        <v>Surfaces_Horti</v>
      </c>
      <c r="H1108" cm="1">
        <f t="array" aca="1" ref="H1108" ca="1">ROW(INDIRECT(A1108))</f>
        <v>95</v>
      </c>
      <c r="I1108" cm="1">
        <f t="array" aca="1" ref="I1108" ca="1">COLUMN(INDIRECT(A1108))</f>
        <v>11</v>
      </c>
      <c r="M1108" t="str" cm="1">
        <f t="array" aca="1" ref="M1108" ca="1">IF(AND(J1108="O",ISBLANK(INDIRECT(A1108))),"Valeur obligatoire non renseignée","")</f>
        <v/>
      </c>
    </row>
    <row r="1109" spans="1:13" x14ac:dyDescent="0.25">
      <c r="A1109" s="91" t="s">
        <v>4166</v>
      </c>
      <c r="B1109" cm="1">
        <f t="array" aca="1" ref="B1109" ca="1">INDIRECT(A1109)</f>
        <v>0</v>
      </c>
      <c r="C1109">
        <f t="shared" ca="1" si="68"/>
        <v>5</v>
      </c>
      <c r="D1109" t="str" cm="1">
        <f t="array" aca="1" ref="D1109" ca="1">CELL("nomfichier",INDIRECT(A1109))</f>
        <v>G:\SCPE\sdc\bq\6 - Mentions valorisantes\Certification environnementale\TEXTES_REGLEMENTATION_CE\Plans_contrôle et grilles\Grille audit niveau 3\Grille d'audit v1.11\[grille-audit-hvev4-v1.11-vf.xlsx]Surfaces_Horti</v>
      </c>
      <c r="E1109">
        <f t="shared" ca="1" si="69"/>
        <v>200</v>
      </c>
      <c r="F1109">
        <f t="shared" ca="1" si="70"/>
        <v>214</v>
      </c>
      <c r="G1109" t="str">
        <f t="shared" ca="1" si="71"/>
        <v>Surfaces_Horti</v>
      </c>
      <c r="H1109" cm="1">
        <f t="array" aca="1" ref="H1109" ca="1">ROW(INDIRECT(A1109))</f>
        <v>95</v>
      </c>
      <c r="I1109" cm="1">
        <f t="array" aca="1" ref="I1109" ca="1">COLUMN(INDIRECT(A1109))</f>
        <v>12</v>
      </c>
      <c r="M1109" t="str" cm="1">
        <f t="array" aca="1" ref="M1109" ca="1">IF(AND(J1109="O",ISBLANK(INDIRECT(A1109))),"Valeur obligatoire non renseignée","")</f>
        <v/>
      </c>
    </row>
    <row r="1110" spans="1:13" x14ac:dyDescent="0.25">
      <c r="A1110" s="91" t="s">
        <v>4193</v>
      </c>
      <c r="B1110" cm="1">
        <f t="array" aca="1" ref="B1110" ca="1">INDIRECT(A1110)</f>
        <v>0</v>
      </c>
      <c r="C1110">
        <f t="shared" ca="1" si="68"/>
        <v>5</v>
      </c>
      <c r="D1110" t="str" cm="1">
        <f t="array" aca="1" ref="D1110" ca="1">CELL("nomfichier",INDIRECT(A1110))</f>
        <v>G:\SCPE\sdc\bq\6 - Mentions valorisantes\Certification environnementale\TEXTES_REGLEMENTATION_CE\Plans_contrôle et grilles\Grille audit niveau 3\Grille d'audit v1.11\[grille-audit-hvev4-v1.11-vf.xlsx]Surfaces_Horti</v>
      </c>
      <c r="E1110">
        <f t="shared" ca="1" si="69"/>
        <v>200</v>
      </c>
      <c r="F1110">
        <f t="shared" ca="1" si="70"/>
        <v>214</v>
      </c>
      <c r="G1110" t="str">
        <f t="shared" ca="1" si="71"/>
        <v>Surfaces_Horti</v>
      </c>
      <c r="H1110" cm="1">
        <f t="array" aca="1" ref="H1110" ca="1">ROW(INDIRECT(A1110))</f>
        <v>95</v>
      </c>
      <c r="I1110" cm="1">
        <f t="array" aca="1" ref="I1110" ca="1">COLUMN(INDIRECT(A1110))</f>
        <v>13</v>
      </c>
      <c r="M1110" t="str" cm="1">
        <f t="array" aca="1" ref="M1110" ca="1">IF(AND(J1110="O",ISBLANK(INDIRECT(A1110))),"Valeur obligatoire non renseignée","")</f>
        <v/>
      </c>
    </row>
    <row r="1111" spans="1:13" x14ac:dyDescent="0.25">
      <c r="A1111" s="91" t="s">
        <v>4220</v>
      </c>
      <c r="B1111" cm="1">
        <f t="array" aca="1" ref="B1111" ca="1">INDIRECT(A1111)</f>
        <v>0</v>
      </c>
      <c r="C1111">
        <f t="shared" ca="1" si="68"/>
        <v>5</v>
      </c>
      <c r="D1111" t="str" cm="1">
        <f t="array" aca="1" ref="D1111" ca="1">CELL("nomfichier",INDIRECT(A1111))</f>
        <v>G:\SCPE\sdc\bq\6 - Mentions valorisantes\Certification environnementale\TEXTES_REGLEMENTATION_CE\Plans_contrôle et grilles\Grille audit niveau 3\Grille d'audit v1.11\[grille-audit-hvev4-v1.11-vf.xlsx]Surfaces_Horti</v>
      </c>
      <c r="E1111">
        <f t="shared" ca="1" si="69"/>
        <v>200</v>
      </c>
      <c r="F1111">
        <f t="shared" ca="1" si="70"/>
        <v>214</v>
      </c>
      <c r="G1111" t="str">
        <f t="shared" ca="1" si="71"/>
        <v>Surfaces_Horti</v>
      </c>
      <c r="H1111" cm="1">
        <f t="array" aca="1" ref="H1111" ca="1">ROW(INDIRECT(A1111))</f>
        <v>95</v>
      </c>
      <c r="I1111" cm="1">
        <f t="array" aca="1" ref="I1111" ca="1">COLUMN(INDIRECT(A1111))</f>
        <v>14</v>
      </c>
      <c r="M1111" t="str" cm="1">
        <f t="array" aca="1" ref="M1111" ca="1">IF(AND(J1111="O",ISBLANK(INDIRECT(A1111))),"Valeur obligatoire non renseignée","")</f>
        <v/>
      </c>
    </row>
    <row r="1112" spans="1:13" x14ac:dyDescent="0.25">
      <c r="A1112" s="91" t="s">
        <v>3897</v>
      </c>
      <c r="B1112" cm="1">
        <f t="array" aca="1" ref="B1112" ca="1">INDIRECT(A1112)</f>
        <v>0</v>
      </c>
      <c r="C1112">
        <f t="shared" ca="1" si="68"/>
        <v>5</v>
      </c>
      <c r="D1112" t="str" cm="1">
        <f t="array" aca="1" ref="D1112" ca="1">CELL("nomfichier",INDIRECT(A1112))</f>
        <v>G:\SCPE\sdc\bq\6 - Mentions valorisantes\Certification environnementale\TEXTES_REGLEMENTATION_CE\Plans_contrôle et grilles\Grille audit niveau 3\Grille d'audit v1.11\[grille-audit-hvev4-v1.11-vf.xlsx]Surfaces_Horti</v>
      </c>
      <c r="E1112">
        <f t="shared" ca="1" si="69"/>
        <v>200</v>
      </c>
      <c r="F1112">
        <f t="shared" ca="1" si="70"/>
        <v>214</v>
      </c>
      <c r="G1112" t="str">
        <f t="shared" ca="1" si="71"/>
        <v>Surfaces_Horti</v>
      </c>
      <c r="H1112" cm="1">
        <f t="array" aca="1" ref="H1112" ca="1">ROW(INDIRECT(A1112))</f>
        <v>96</v>
      </c>
      <c r="I1112" cm="1">
        <f t="array" aca="1" ref="I1112" ca="1">COLUMN(INDIRECT(A1112))</f>
        <v>2</v>
      </c>
      <c r="M1112" t="str" cm="1">
        <f t="array" aca="1" ref="M1112" ca="1">IF(AND(J1112="O",ISBLANK(INDIRECT(A1112))),"Valeur obligatoire non renseignée","")</f>
        <v/>
      </c>
    </row>
    <row r="1113" spans="1:13" x14ac:dyDescent="0.25">
      <c r="A1113" s="91" t="s">
        <v>3924</v>
      </c>
      <c r="B1113" cm="1">
        <f t="array" aca="1" ref="B1113" ca="1">INDIRECT(A1113)</f>
        <v>0</v>
      </c>
      <c r="C1113">
        <f t="shared" ca="1" si="68"/>
        <v>5</v>
      </c>
      <c r="D1113" t="str" cm="1">
        <f t="array" aca="1" ref="D1113" ca="1">CELL("nomfichier",INDIRECT(A1113))</f>
        <v>G:\SCPE\sdc\bq\6 - Mentions valorisantes\Certification environnementale\TEXTES_REGLEMENTATION_CE\Plans_contrôle et grilles\Grille audit niveau 3\Grille d'audit v1.11\[grille-audit-hvev4-v1.11-vf.xlsx]Surfaces_Horti</v>
      </c>
      <c r="E1113">
        <f t="shared" ca="1" si="69"/>
        <v>200</v>
      </c>
      <c r="F1113">
        <f t="shared" ca="1" si="70"/>
        <v>214</v>
      </c>
      <c r="G1113" t="str">
        <f t="shared" ca="1" si="71"/>
        <v>Surfaces_Horti</v>
      </c>
      <c r="H1113" cm="1">
        <f t="array" aca="1" ref="H1113" ca="1">ROW(INDIRECT(A1113))</f>
        <v>96</v>
      </c>
      <c r="I1113" cm="1">
        <f t="array" aca="1" ref="I1113" ca="1">COLUMN(INDIRECT(A1113))</f>
        <v>3</v>
      </c>
      <c r="M1113" t="str" cm="1">
        <f t="array" aca="1" ref="M1113" ca="1">IF(AND(J1113="O",ISBLANK(INDIRECT(A1113))),"Valeur obligatoire non renseignée","")</f>
        <v/>
      </c>
    </row>
    <row r="1114" spans="1:13" x14ac:dyDescent="0.25">
      <c r="A1114" s="91" t="s">
        <v>3951</v>
      </c>
      <c r="B1114" cm="1">
        <f t="array" aca="1" ref="B1114" ca="1">INDIRECT(A1114)</f>
        <v>0</v>
      </c>
      <c r="C1114">
        <f t="shared" ca="1" si="68"/>
        <v>5</v>
      </c>
      <c r="D1114" t="str" cm="1">
        <f t="array" aca="1" ref="D1114" ca="1">CELL("nomfichier",INDIRECT(A1114))</f>
        <v>G:\SCPE\sdc\bq\6 - Mentions valorisantes\Certification environnementale\TEXTES_REGLEMENTATION_CE\Plans_contrôle et grilles\Grille audit niveau 3\Grille d'audit v1.11\[grille-audit-hvev4-v1.11-vf.xlsx]Surfaces_Horti</v>
      </c>
      <c r="E1114">
        <f t="shared" ca="1" si="69"/>
        <v>200</v>
      </c>
      <c r="F1114">
        <f t="shared" ca="1" si="70"/>
        <v>214</v>
      </c>
      <c r="G1114" t="str">
        <f t="shared" ca="1" si="71"/>
        <v>Surfaces_Horti</v>
      </c>
      <c r="H1114" cm="1">
        <f t="array" aca="1" ref="H1114" ca="1">ROW(INDIRECT(A1114))</f>
        <v>96</v>
      </c>
      <c r="I1114" cm="1">
        <f t="array" aca="1" ref="I1114" ca="1">COLUMN(INDIRECT(A1114))</f>
        <v>4</v>
      </c>
      <c r="M1114" t="str" cm="1">
        <f t="array" aca="1" ref="M1114" ca="1">IF(AND(J1114="O",ISBLANK(INDIRECT(A1114))),"Valeur obligatoire non renseignée","")</f>
        <v/>
      </c>
    </row>
    <row r="1115" spans="1:13" x14ac:dyDescent="0.25">
      <c r="A1115" s="91" t="s">
        <v>3978</v>
      </c>
      <c r="B1115" cm="1">
        <f t="array" aca="1" ref="B1115" ca="1">INDIRECT(A1115)</f>
        <v>0</v>
      </c>
      <c r="C1115">
        <f t="shared" ca="1" si="68"/>
        <v>5</v>
      </c>
      <c r="D1115" t="str" cm="1">
        <f t="array" aca="1" ref="D1115" ca="1">CELL("nomfichier",INDIRECT(A1115))</f>
        <v>G:\SCPE\sdc\bq\6 - Mentions valorisantes\Certification environnementale\TEXTES_REGLEMENTATION_CE\Plans_contrôle et grilles\Grille audit niveau 3\Grille d'audit v1.11\[grille-audit-hvev4-v1.11-vf.xlsx]Surfaces_Horti</v>
      </c>
      <c r="E1115">
        <f t="shared" ca="1" si="69"/>
        <v>200</v>
      </c>
      <c r="F1115">
        <f t="shared" ca="1" si="70"/>
        <v>214</v>
      </c>
      <c r="G1115" t="str">
        <f t="shared" ca="1" si="71"/>
        <v>Surfaces_Horti</v>
      </c>
      <c r="H1115" cm="1">
        <f t="array" aca="1" ref="H1115" ca="1">ROW(INDIRECT(A1115))</f>
        <v>96</v>
      </c>
      <c r="I1115" cm="1">
        <f t="array" aca="1" ref="I1115" ca="1">COLUMN(INDIRECT(A1115))</f>
        <v>5</v>
      </c>
      <c r="M1115" t="str" cm="1">
        <f t="array" aca="1" ref="M1115" ca="1">IF(AND(J1115="O",ISBLANK(INDIRECT(A1115))),"Valeur obligatoire non renseignée","")</f>
        <v/>
      </c>
    </row>
    <row r="1116" spans="1:13" x14ac:dyDescent="0.25">
      <c r="A1116" s="91" t="s">
        <v>4005</v>
      </c>
      <c r="B1116" cm="1">
        <f t="array" aca="1" ref="B1116" ca="1">INDIRECT(A1116)</f>
        <v>0</v>
      </c>
      <c r="C1116">
        <f t="shared" ca="1" si="68"/>
        <v>5</v>
      </c>
      <c r="D1116" t="str" cm="1">
        <f t="array" aca="1" ref="D1116" ca="1">CELL("nomfichier",INDIRECT(A1116))</f>
        <v>G:\SCPE\sdc\bq\6 - Mentions valorisantes\Certification environnementale\TEXTES_REGLEMENTATION_CE\Plans_contrôle et grilles\Grille audit niveau 3\Grille d'audit v1.11\[grille-audit-hvev4-v1.11-vf.xlsx]Surfaces_Horti</v>
      </c>
      <c r="E1116">
        <f t="shared" ca="1" si="69"/>
        <v>200</v>
      </c>
      <c r="F1116">
        <f t="shared" ca="1" si="70"/>
        <v>214</v>
      </c>
      <c r="G1116" t="str">
        <f t="shared" ca="1" si="71"/>
        <v>Surfaces_Horti</v>
      </c>
      <c r="H1116" cm="1">
        <f t="array" aca="1" ref="H1116" ca="1">ROW(INDIRECT(A1116))</f>
        <v>96</v>
      </c>
      <c r="I1116" cm="1">
        <f t="array" aca="1" ref="I1116" ca="1">COLUMN(INDIRECT(A1116))</f>
        <v>6</v>
      </c>
      <c r="M1116" t="str" cm="1">
        <f t="array" aca="1" ref="M1116" ca="1">IF(AND(J1116="O",ISBLANK(INDIRECT(A1116))),"Valeur obligatoire non renseignée","")</f>
        <v/>
      </c>
    </row>
    <row r="1117" spans="1:13" x14ac:dyDescent="0.25">
      <c r="A1117" s="91" t="s">
        <v>4032</v>
      </c>
      <c r="B1117" cm="1">
        <f t="array" aca="1" ref="B1117" ca="1">INDIRECT(A1117)</f>
        <v>0</v>
      </c>
      <c r="C1117">
        <f t="shared" ca="1" si="68"/>
        <v>5</v>
      </c>
      <c r="D1117" t="str" cm="1">
        <f t="array" aca="1" ref="D1117" ca="1">CELL("nomfichier",INDIRECT(A1117))</f>
        <v>G:\SCPE\sdc\bq\6 - Mentions valorisantes\Certification environnementale\TEXTES_REGLEMENTATION_CE\Plans_contrôle et grilles\Grille audit niveau 3\Grille d'audit v1.11\[grille-audit-hvev4-v1.11-vf.xlsx]Surfaces_Horti</v>
      </c>
      <c r="E1117">
        <f t="shared" ca="1" si="69"/>
        <v>200</v>
      </c>
      <c r="F1117">
        <f t="shared" ca="1" si="70"/>
        <v>214</v>
      </c>
      <c r="G1117" t="str">
        <f t="shared" ca="1" si="71"/>
        <v>Surfaces_Horti</v>
      </c>
      <c r="H1117" cm="1">
        <f t="array" aca="1" ref="H1117" ca="1">ROW(INDIRECT(A1117))</f>
        <v>96</v>
      </c>
      <c r="I1117" cm="1">
        <f t="array" aca="1" ref="I1117" ca="1">COLUMN(INDIRECT(A1117))</f>
        <v>7</v>
      </c>
      <c r="M1117" t="str" cm="1">
        <f t="array" aca="1" ref="M1117" ca="1">IF(AND(J1117="O",ISBLANK(INDIRECT(A1117))),"Valeur obligatoire non renseignée","")</f>
        <v/>
      </c>
    </row>
    <row r="1118" spans="1:13" x14ac:dyDescent="0.25">
      <c r="A1118" s="91" t="s">
        <v>4059</v>
      </c>
      <c r="B1118" cm="1">
        <f t="array" aca="1" ref="B1118" ca="1">INDIRECT(A1118)</f>
        <v>0</v>
      </c>
      <c r="C1118">
        <f t="shared" ca="1" si="68"/>
        <v>5</v>
      </c>
      <c r="D1118" t="str" cm="1">
        <f t="array" aca="1" ref="D1118" ca="1">CELL("nomfichier",INDIRECT(A1118))</f>
        <v>G:\SCPE\sdc\bq\6 - Mentions valorisantes\Certification environnementale\TEXTES_REGLEMENTATION_CE\Plans_contrôle et grilles\Grille audit niveau 3\Grille d'audit v1.11\[grille-audit-hvev4-v1.11-vf.xlsx]Surfaces_Horti</v>
      </c>
      <c r="E1118">
        <f t="shared" ca="1" si="69"/>
        <v>200</v>
      </c>
      <c r="F1118">
        <f t="shared" ca="1" si="70"/>
        <v>214</v>
      </c>
      <c r="G1118" t="str">
        <f t="shared" ca="1" si="71"/>
        <v>Surfaces_Horti</v>
      </c>
      <c r="H1118" cm="1">
        <f t="array" aca="1" ref="H1118" ca="1">ROW(INDIRECT(A1118))</f>
        <v>96</v>
      </c>
      <c r="I1118" cm="1">
        <f t="array" aca="1" ref="I1118" ca="1">COLUMN(INDIRECT(A1118))</f>
        <v>8</v>
      </c>
      <c r="M1118" t="str" cm="1">
        <f t="array" aca="1" ref="M1118" ca="1">IF(AND(J1118="O",ISBLANK(INDIRECT(A1118))),"Valeur obligatoire non renseignée","")</f>
        <v/>
      </c>
    </row>
    <row r="1119" spans="1:13" x14ac:dyDescent="0.25">
      <c r="A1119" s="91" t="s">
        <v>4086</v>
      </c>
      <c r="B1119" cm="1">
        <f t="array" aca="1" ref="B1119" ca="1">INDIRECT(A1119)</f>
        <v>0</v>
      </c>
      <c r="C1119">
        <f t="shared" ca="1" si="68"/>
        <v>5</v>
      </c>
      <c r="D1119" t="str" cm="1">
        <f t="array" aca="1" ref="D1119" ca="1">CELL("nomfichier",INDIRECT(A1119))</f>
        <v>G:\SCPE\sdc\bq\6 - Mentions valorisantes\Certification environnementale\TEXTES_REGLEMENTATION_CE\Plans_contrôle et grilles\Grille audit niveau 3\Grille d'audit v1.11\[grille-audit-hvev4-v1.11-vf.xlsx]Surfaces_Horti</v>
      </c>
      <c r="E1119">
        <f t="shared" ca="1" si="69"/>
        <v>200</v>
      </c>
      <c r="F1119">
        <f t="shared" ca="1" si="70"/>
        <v>214</v>
      </c>
      <c r="G1119" t="str">
        <f t="shared" ca="1" si="71"/>
        <v>Surfaces_Horti</v>
      </c>
      <c r="H1119" cm="1">
        <f t="array" aca="1" ref="H1119" ca="1">ROW(INDIRECT(A1119))</f>
        <v>96</v>
      </c>
      <c r="I1119" cm="1">
        <f t="array" aca="1" ref="I1119" ca="1">COLUMN(INDIRECT(A1119))</f>
        <v>9</v>
      </c>
      <c r="M1119" t="str" cm="1">
        <f t="array" aca="1" ref="M1119" ca="1">IF(AND(J1119="O",ISBLANK(INDIRECT(A1119))),"Valeur obligatoire non renseignée","")</f>
        <v/>
      </c>
    </row>
    <row r="1120" spans="1:13" x14ac:dyDescent="0.25">
      <c r="A1120" s="91" t="s">
        <v>4113</v>
      </c>
      <c r="B1120" cm="1">
        <f t="array" aca="1" ref="B1120" ca="1">INDIRECT(A1120)</f>
        <v>0</v>
      </c>
      <c r="C1120">
        <f t="shared" ca="1" si="68"/>
        <v>5</v>
      </c>
      <c r="D1120" t="str" cm="1">
        <f t="array" aca="1" ref="D1120" ca="1">CELL("nomfichier",INDIRECT(A1120))</f>
        <v>G:\SCPE\sdc\bq\6 - Mentions valorisantes\Certification environnementale\TEXTES_REGLEMENTATION_CE\Plans_contrôle et grilles\Grille audit niveau 3\Grille d'audit v1.11\[grille-audit-hvev4-v1.11-vf.xlsx]Surfaces_Horti</v>
      </c>
      <c r="E1120">
        <f t="shared" ca="1" si="69"/>
        <v>200</v>
      </c>
      <c r="F1120">
        <f t="shared" ca="1" si="70"/>
        <v>214</v>
      </c>
      <c r="G1120" t="str">
        <f t="shared" ca="1" si="71"/>
        <v>Surfaces_Horti</v>
      </c>
      <c r="H1120" cm="1">
        <f t="array" aca="1" ref="H1120" ca="1">ROW(INDIRECT(A1120))</f>
        <v>96</v>
      </c>
      <c r="I1120" cm="1">
        <f t="array" aca="1" ref="I1120" ca="1">COLUMN(INDIRECT(A1120))</f>
        <v>10</v>
      </c>
      <c r="M1120" t="str" cm="1">
        <f t="array" aca="1" ref="M1120" ca="1">IF(AND(J1120="O",ISBLANK(INDIRECT(A1120))),"Valeur obligatoire non renseignée","")</f>
        <v/>
      </c>
    </row>
    <row r="1121" spans="1:13" x14ac:dyDescent="0.25">
      <c r="A1121" s="91" t="s">
        <v>4140</v>
      </c>
      <c r="B1121" cm="1">
        <f t="array" aca="1" ref="B1121" ca="1">INDIRECT(A1121)</f>
        <v>0</v>
      </c>
      <c r="C1121">
        <f t="shared" ca="1" si="68"/>
        <v>5</v>
      </c>
      <c r="D1121" t="str" cm="1">
        <f t="array" aca="1" ref="D1121" ca="1">CELL("nomfichier",INDIRECT(A1121))</f>
        <v>G:\SCPE\sdc\bq\6 - Mentions valorisantes\Certification environnementale\TEXTES_REGLEMENTATION_CE\Plans_contrôle et grilles\Grille audit niveau 3\Grille d'audit v1.11\[grille-audit-hvev4-v1.11-vf.xlsx]Surfaces_Horti</v>
      </c>
      <c r="E1121">
        <f t="shared" ca="1" si="69"/>
        <v>200</v>
      </c>
      <c r="F1121">
        <f t="shared" ca="1" si="70"/>
        <v>214</v>
      </c>
      <c r="G1121" t="str">
        <f t="shared" ca="1" si="71"/>
        <v>Surfaces_Horti</v>
      </c>
      <c r="H1121" cm="1">
        <f t="array" aca="1" ref="H1121" ca="1">ROW(INDIRECT(A1121))</f>
        <v>96</v>
      </c>
      <c r="I1121" cm="1">
        <f t="array" aca="1" ref="I1121" ca="1">COLUMN(INDIRECT(A1121))</f>
        <v>11</v>
      </c>
      <c r="M1121" t="str" cm="1">
        <f t="array" aca="1" ref="M1121" ca="1">IF(AND(J1121="O",ISBLANK(INDIRECT(A1121))),"Valeur obligatoire non renseignée","")</f>
        <v/>
      </c>
    </row>
    <row r="1122" spans="1:13" x14ac:dyDescent="0.25">
      <c r="A1122" s="91" t="s">
        <v>4167</v>
      </c>
      <c r="B1122" cm="1">
        <f t="array" aca="1" ref="B1122" ca="1">INDIRECT(A1122)</f>
        <v>0</v>
      </c>
      <c r="C1122">
        <f t="shared" ca="1" si="68"/>
        <v>5</v>
      </c>
      <c r="D1122" t="str" cm="1">
        <f t="array" aca="1" ref="D1122" ca="1">CELL("nomfichier",INDIRECT(A1122))</f>
        <v>G:\SCPE\sdc\bq\6 - Mentions valorisantes\Certification environnementale\TEXTES_REGLEMENTATION_CE\Plans_contrôle et grilles\Grille audit niveau 3\Grille d'audit v1.11\[grille-audit-hvev4-v1.11-vf.xlsx]Surfaces_Horti</v>
      </c>
      <c r="E1122">
        <f t="shared" ca="1" si="69"/>
        <v>200</v>
      </c>
      <c r="F1122">
        <f t="shared" ca="1" si="70"/>
        <v>214</v>
      </c>
      <c r="G1122" t="str">
        <f t="shared" ca="1" si="71"/>
        <v>Surfaces_Horti</v>
      </c>
      <c r="H1122" cm="1">
        <f t="array" aca="1" ref="H1122" ca="1">ROW(INDIRECT(A1122))</f>
        <v>96</v>
      </c>
      <c r="I1122" cm="1">
        <f t="array" aca="1" ref="I1122" ca="1">COLUMN(INDIRECT(A1122))</f>
        <v>12</v>
      </c>
      <c r="M1122" t="str" cm="1">
        <f t="array" aca="1" ref="M1122" ca="1">IF(AND(J1122="O",ISBLANK(INDIRECT(A1122))),"Valeur obligatoire non renseignée","")</f>
        <v/>
      </c>
    </row>
    <row r="1123" spans="1:13" x14ac:dyDescent="0.25">
      <c r="A1123" s="91" t="s">
        <v>4194</v>
      </c>
      <c r="B1123" cm="1">
        <f t="array" aca="1" ref="B1123" ca="1">INDIRECT(A1123)</f>
        <v>0</v>
      </c>
      <c r="C1123">
        <f t="shared" ca="1" si="68"/>
        <v>5</v>
      </c>
      <c r="D1123" t="str" cm="1">
        <f t="array" aca="1" ref="D1123" ca="1">CELL("nomfichier",INDIRECT(A1123))</f>
        <v>G:\SCPE\sdc\bq\6 - Mentions valorisantes\Certification environnementale\TEXTES_REGLEMENTATION_CE\Plans_contrôle et grilles\Grille audit niveau 3\Grille d'audit v1.11\[grille-audit-hvev4-v1.11-vf.xlsx]Surfaces_Horti</v>
      </c>
      <c r="E1123">
        <f t="shared" ca="1" si="69"/>
        <v>200</v>
      </c>
      <c r="F1123">
        <f t="shared" ca="1" si="70"/>
        <v>214</v>
      </c>
      <c r="G1123" t="str">
        <f t="shared" ca="1" si="71"/>
        <v>Surfaces_Horti</v>
      </c>
      <c r="H1123" cm="1">
        <f t="array" aca="1" ref="H1123" ca="1">ROW(INDIRECT(A1123))</f>
        <v>96</v>
      </c>
      <c r="I1123" cm="1">
        <f t="array" aca="1" ref="I1123" ca="1">COLUMN(INDIRECT(A1123))</f>
        <v>13</v>
      </c>
      <c r="M1123" t="str" cm="1">
        <f t="array" aca="1" ref="M1123" ca="1">IF(AND(J1123="O",ISBLANK(INDIRECT(A1123))),"Valeur obligatoire non renseignée","")</f>
        <v/>
      </c>
    </row>
    <row r="1124" spans="1:13" x14ac:dyDescent="0.25">
      <c r="A1124" s="91" t="s">
        <v>4221</v>
      </c>
      <c r="B1124" cm="1">
        <f t="array" aca="1" ref="B1124" ca="1">INDIRECT(A1124)</f>
        <v>0</v>
      </c>
      <c r="C1124">
        <f t="shared" ca="1" si="68"/>
        <v>5</v>
      </c>
      <c r="D1124" t="str" cm="1">
        <f t="array" aca="1" ref="D1124" ca="1">CELL("nomfichier",INDIRECT(A1124))</f>
        <v>G:\SCPE\sdc\bq\6 - Mentions valorisantes\Certification environnementale\TEXTES_REGLEMENTATION_CE\Plans_contrôle et grilles\Grille audit niveau 3\Grille d'audit v1.11\[grille-audit-hvev4-v1.11-vf.xlsx]Surfaces_Horti</v>
      </c>
      <c r="E1124">
        <f t="shared" ca="1" si="69"/>
        <v>200</v>
      </c>
      <c r="F1124">
        <f t="shared" ca="1" si="70"/>
        <v>214</v>
      </c>
      <c r="G1124" t="str">
        <f t="shared" ca="1" si="71"/>
        <v>Surfaces_Horti</v>
      </c>
      <c r="H1124" cm="1">
        <f t="array" aca="1" ref="H1124" ca="1">ROW(INDIRECT(A1124))</f>
        <v>96</v>
      </c>
      <c r="I1124" cm="1">
        <f t="array" aca="1" ref="I1124" ca="1">COLUMN(INDIRECT(A1124))</f>
        <v>14</v>
      </c>
      <c r="M1124" t="str" cm="1">
        <f t="array" aca="1" ref="M1124" ca="1">IF(AND(J1124="O",ISBLANK(INDIRECT(A1124))),"Valeur obligatoire non renseignée","")</f>
        <v/>
      </c>
    </row>
    <row r="1125" spans="1:13" x14ac:dyDescent="0.25">
      <c r="A1125" s="91" t="s">
        <v>3898</v>
      </c>
      <c r="B1125" cm="1">
        <f t="array" aca="1" ref="B1125" ca="1">INDIRECT(A1125)</f>
        <v>0</v>
      </c>
      <c r="C1125">
        <f t="shared" ca="1" si="68"/>
        <v>5</v>
      </c>
      <c r="D1125" t="str" cm="1">
        <f t="array" aca="1" ref="D1125" ca="1">CELL("nomfichier",INDIRECT(A1125))</f>
        <v>G:\SCPE\sdc\bq\6 - Mentions valorisantes\Certification environnementale\TEXTES_REGLEMENTATION_CE\Plans_contrôle et grilles\Grille audit niveau 3\Grille d'audit v1.11\[grille-audit-hvev4-v1.11-vf.xlsx]Surfaces_Horti</v>
      </c>
      <c r="E1125">
        <f t="shared" ca="1" si="69"/>
        <v>200</v>
      </c>
      <c r="F1125">
        <f t="shared" ca="1" si="70"/>
        <v>214</v>
      </c>
      <c r="G1125" t="str">
        <f t="shared" ca="1" si="71"/>
        <v>Surfaces_Horti</v>
      </c>
      <c r="H1125" cm="1">
        <f t="array" aca="1" ref="H1125" ca="1">ROW(INDIRECT(A1125))</f>
        <v>97</v>
      </c>
      <c r="I1125" cm="1">
        <f t="array" aca="1" ref="I1125" ca="1">COLUMN(INDIRECT(A1125))</f>
        <v>2</v>
      </c>
      <c r="M1125" t="str" cm="1">
        <f t="array" aca="1" ref="M1125" ca="1">IF(AND(J1125="O",ISBLANK(INDIRECT(A1125))),"Valeur obligatoire non renseignée","")</f>
        <v/>
      </c>
    </row>
    <row r="1126" spans="1:13" x14ac:dyDescent="0.25">
      <c r="A1126" s="91" t="s">
        <v>3925</v>
      </c>
      <c r="B1126" cm="1">
        <f t="array" aca="1" ref="B1126" ca="1">INDIRECT(A1126)</f>
        <v>0</v>
      </c>
      <c r="C1126">
        <f t="shared" ca="1" si="68"/>
        <v>5</v>
      </c>
      <c r="D1126" t="str" cm="1">
        <f t="array" aca="1" ref="D1126" ca="1">CELL("nomfichier",INDIRECT(A1126))</f>
        <v>G:\SCPE\sdc\bq\6 - Mentions valorisantes\Certification environnementale\TEXTES_REGLEMENTATION_CE\Plans_contrôle et grilles\Grille audit niveau 3\Grille d'audit v1.11\[grille-audit-hvev4-v1.11-vf.xlsx]Surfaces_Horti</v>
      </c>
      <c r="E1126">
        <f t="shared" ca="1" si="69"/>
        <v>200</v>
      </c>
      <c r="F1126">
        <f t="shared" ca="1" si="70"/>
        <v>214</v>
      </c>
      <c r="G1126" t="str">
        <f t="shared" ca="1" si="71"/>
        <v>Surfaces_Horti</v>
      </c>
      <c r="H1126" cm="1">
        <f t="array" aca="1" ref="H1126" ca="1">ROW(INDIRECT(A1126))</f>
        <v>97</v>
      </c>
      <c r="I1126" cm="1">
        <f t="array" aca="1" ref="I1126" ca="1">COLUMN(INDIRECT(A1126))</f>
        <v>3</v>
      </c>
      <c r="M1126" t="str" cm="1">
        <f t="array" aca="1" ref="M1126" ca="1">IF(AND(J1126="O",ISBLANK(INDIRECT(A1126))),"Valeur obligatoire non renseignée","")</f>
        <v/>
      </c>
    </row>
    <row r="1127" spans="1:13" x14ac:dyDescent="0.25">
      <c r="A1127" s="91" t="s">
        <v>3952</v>
      </c>
      <c r="B1127" cm="1">
        <f t="array" aca="1" ref="B1127" ca="1">INDIRECT(A1127)</f>
        <v>0</v>
      </c>
      <c r="C1127">
        <f t="shared" ca="1" si="68"/>
        <v>5</v>
      </c>
      <c r="D1127" t="str" cm="1">
        <f t="array" aca="1" ref="D1127" ca="1">CELL("nomfichier",INDIRECT(A1127))</f>
        <v>G:\SCPE\sdc\bq\6 - Mentions valorisantes\Certification environnementale\TEXTES_REGLEMENTATION_CE\Plans_contrôle et grilles\Grille audit niveau 3\Grille d'audit v1.11\[grille-audit-hvev4-v1.11-vf.xlsx]Surfaces_Horti</v>
      </c>
      <c r="E1127">
        <f t="shared" ca="1" si="69"/>
        <v>200</v>
      </c>
      <c r="F1127">
        <f t="shared" ca="1" si="70"/>
        <v>214</v>
      </c>
      <c r="G1127" t="str">
        <f t="shared" ca="1" si="71"/>
        <v>Surfaces_Horti</v>
      </c>
      <c r="H1127" cm="1">
        <f t="array" aca="1" ref="H1127" ca="1">ROW(INDIRECT(A1127))</f>
        <v>97</v>
      </c>
      <c r="I1127" cm="1">
        <f t="array" aca="1" ref="I1127" ca="1">COLUMN(INDIRECT(A1127))</f>
        <v>4</v>
      </c>
      <c r="M1127" t="str" cm="1">
        <f t="array" aca="1" ref="M1127" ca="1">IF(AND(J1127="O",ISBLANK(INDIRECT(A1127))),"Valeur obligatoire non renseignée","")</f>
        <v/>
      </c>
    </row>
    <row r="1128" spans="1:13" x14ac:dyDescent="0.25">
      <c r="A1128" s="91" t="s">
        <v>3979</v>
      </c>
      <c r="B1128" cm="1">
        <f t="array" aca="1" ref="B1128" ca="1">INDIRECT(A1128)</f>
        <v>0</v>
      </c>
      <c r="C1128">
        <f t="shared" ca="1" si="68"/>
        <v>5</v>
      </c>
      <c r="D1128" t="str" cm="1">
        <f t="array" aca="1" ref="D1128" ca="1">CELL("nomfichier",INDIRECT(A1128))</f>
        <v>G:\SCPE\sdc\bq\6 - Mentions valorisantes\Certification environnementale\TEXTES_REGLEMENTATION_CE\Plans_contrôle et grilles\Grille audit niveau 3\Grille d'audit v1.11\[grille-audit-hvev4-v1.11-vf.xlsx]Surfaces_Horti</v>
      </c>
      <c r="E1128">
        <f t="shared" ca="1" si="69"/>
        <v>200</v>
      </c>
      <c r="F1128">
        <f t="shared" ca="1" si="70"/>
        <v>214</v>
      </c>
      <c r="G1128" t="str">
        <f t="shared" ca="1" si="71"/>
        <v>Surfaces_Horti</v>
      </c>
      <c r="H1128" cm="1">
        <f t="array" aca="1" ref="H1128" ca="1">ROW(INDIRECT(A1128))</f>
        <v>97</v>
      </c>
      <c r="I1128" cm="1">
        <f t="array" aca="1" ref="I1128" ca="1">COLUMN(INDIRECT(A1128))</f>
        <v>5</v>
      </c>
      <c r="M1128" t="str" cm="1">
        <f t="array" aca="1" ref="M1128" ca="1">IF(AND(J1128="O",ISBLANK(INDIRECT(A1128))),"Valeur obligatoire non renseignée","")</f>
        <v/>
      </c>
    </row>
    <row r="1129" spans="1:13" x14ac:dyDescent="0.25">
      <c r="A1129" s="91" t="s">
        <v>4006</v>
      </c>
      <c r="B1129" cm="1">
        <f t="array" aca="1" ref="B1129" ca="1">INDIRECT(A1129)</f>
        <v>0</v>
      </c>
      <c r="C1129">
        <f t="shared" ca="1" si="68"/>
        <v>5</v>
      </c>
      <c r="D1129" t="str" cm="1">
        <f t="array" aca="1" ref="D1129" ca="1">CELL("nomfichier",INDIRECT(A1129))</f>
        <v>G:\SCPE\sdc\bq\6 - Mentions valorisantes\Certification environnementale\TEXTES_REGLEMENTATION_CE\Plans_contrôle et grilles\Grille audit niveau 3\Grille d'audit v1.11\[grille-audit-hvev4-v1.11-vf.xlsx]Surfaces_Horti</v>
      </c>
      <c r="E1129">
        <f t="shared" ca="1" si="69"/>
        <v>200</v>
      </c>
      <c r="F1129">
        <f t="shared" ca="1" si="70"/>
        <v>214</v>
      </c>
      <c r="G1129" t="str">
        <f t="shared" ca="1" si="71"/>
        <v>Surfaces_Horti</v>
      </c>
      <c r="H1129" cm="1">
        <f t="array" aca="1" ref="H1129" ca="1">ROW(INDIRECT(A1129))</f>
        <v>97</v>
      </c>
      <c r="I1129" cm="1">
        <f t="array" aca="1" ref="I1129" ca="1">COLUMN(INDIRECT(A1129))</f>
        <v>6</v>
      </c>
      <c r="M1129" t="str" cm="1">
        <f t="array" aca="1" ref="M1129" ca="1">IF(AND(J1129="O",ISBLANK(INDIRECT(A1129))),"Valeur obligatoire non renseignée","")</f>
        <v/>
      </c>
    </row>
    <row r="1130" spans="1:13" x14ac:dyDescent="0.25">
      <c r="A1130" s="91" t="s">
        <v>4033</v>
      </c>
      <c r="B1130" cm="1">
        <f t="array" aca="1" ref="B1130" ca="1">INDIRECT(A1130)</f>
        <v>0</v>
      </c>
      <c r="C1130">
        <f t="shared" ca="1" si="68"/>
        <v>5</v>
      </c>
      <c r="D1130" t="str" cm="1">
        <f t="array" aca="1" ref="D1130" ca="1">CELL("nomfichier",INDIRECT(A1130))</f>
        <v>G:\SCPE\sdc\bq\6 - Mentions valorisantes\Certification environnementale\TEXTES_REGLEMENTATION_CE\Plans_contrôle et grilles\Grille audit niveau 3\Grille d'audit v1.11\[grille-audit-hvev4-v1.11-vf.xlsx]Surfaces_Horti</v>
      </c>
      <c r="E1130">
        <f t="shared" ca="1" si="69"/>
        <v>200</v>
      </c>
      <c r="F1130">
        <f t="shared" ca="1" si="70"/>
        <v>214</v>
      </c>
      <c r="G1130" t="str">
        <f t="shared" ca="1" si="71"/>
        <v>Surfaces_Horti</v>
      </c>
      <c r="H1130" cm="1">
        <f t="array" aca="1" ref="H1130" ca="1">ROW(INDIRECT(A1130))</f>
        <v>97</v>
      </c>
      <c r="I1130" cm="1">
        <f t="array" aca="1" ref="I1130" ca="1">COLUMN(INDIRECT(A1130))</f>
        <v>7</v>
      </c>
      <c r="M1130" t="str" cm="1">
        <f t="array" aca="1" ref="M1130" ca="1">IF(AND(J1130="O",ISBLANK(INDIRECT(A1130))),"Valeur obligatoire non renseignée","")</f>
        <v/>
      </c>
    </row>
    <row r="1131" spans="1:13" x14ac:dyDescent="0.25">
      <c r="A1131" s="91" t="s">
        <v>4060</v>
      </c>
      <c r="B1131" cm="1">
        <f t="array" aca="1" ref="B1131" ca="1">INDIRECT(A1131)</f>
        <v>0</v>
      </c>
      <c r="C1131">
        <f t="shared" ca="1" si="68"/>
        <v>5</v>
      </c>
      <c r="D1131" t="str" cm="1">
        <f t="array" aca="1" ref="D1131" ca="1">CELL("nomfichier",INDIRECT(A1131))</f>
        <v>G:\SCPE\sdc\bq\6 - Mentions valorisantes\Certification environnementale\TEXTES_REGLEMENTATION_CE\Plans_contrôle et grilles\Grille audit niveau 3\Grille d'audit v1.11\[grille-audit-hvev4-v1.11-vf.xlsx]Surfaces_Horti</v>
      </c>
      <c r="E1131">
        <f t="shared" ca="1" si="69"/>
        <v>200</v>
      </c>
      <c r="F1131">
        <f t="shared" ca="1" si="70"/>
        <v>214</v>
      </c>
      <c r="G1131" t="str">
        <f t="shared" ca="1" si="71"/>
        <v>Surfaces_Horti</v>
      </c>
      <c r="H1131" cm="1">
        <f t="array" aca="1" ref="H1131" ca="1">ROW(INDIRECT(A1131))</f>
        <v>97</v>
      </c>
      <c r="I1131" cm="1">
        <f t="array" aca="1" ref="I1131" ca="1">COLUMN(INDIRECT(A1131))</f>
        <v>8</v>
      </c>
      <c r="M1131" t="str" cm="1">
        <f t="array" aca="1" ref="M1131" ca="1">IF(AND(J1131="O",ISBLANK(INDIRECT(A1131))),"Valeur obligatoire non renseignée","")</f>
        <v/>
      </c>
    </row>
    <row r="1132" spans="1:13" x14ac:dyDescent="0.25">
      <c r="A1132" s="91" t="s">
        <v>4087</v>
      </c>
      <c r="B1132" cm="1">
        <f t="array" aca="1" ref="B1132" ca="1">INDIRECT(A1132)</f>
        <v>0</v>
      </c>
      <c r="C1132">
        <f t="shared" ca="1" si="68"/>
        <v>5</v>
      </c>
      <c r="D1132" t="str" cm="1">
        <f t="array" aca="1" ref="D1132" ca="1">CELL("nomfichier",INDIRECT(A1132))</f>
        <v>G:\SCPE\sdc\bq\6 - Mentions valorisantes\Certification environnementale\TEXTES_REGLEMENTATION_CE\Plans_contrôle et grilles\Grille audit niveau 3\Grille d'audit v1.11\[grille-audit-hvev4-v1.11-vf.xlsx]Surfaces_Horti</v>
      </c>
      <c r="E1132">
        <f t="shared" ca="1" si="69"/>
        <v>200</v>
      </c>
      <c r="F1132">
        <f t="shared" ca="1" si="70"/>
        <v>214</v>
      </c>
      <c r="G1132" t="str">
        <f t="shared" ca="1" si="71"/>
        <v>Surfaces_Horti</v>
      </c>
      <c r="H1132" cm="1">
        <f t="array" aca="1" ref="H1132" ca="1">ROW(INDIRECT(A1132))</f>
        <v>97</v>
      </c>
      <c r="I1132" cm="1">
        <f t="array" aca="1" ref="I1132" ca="1">COLUMN(INDIRECT(A1132))</f>
        <v>9</v>
      </c>
      <c r="M1132" t="str" cm="1">
        <f t="array" aca="1" ref="M1132" ca="1">IF(AND(J1132="O",ISBLANK(INDIRECT(A1132))),"Valeur obligatoire non renseignée","")</f>
        <v/>
      </c>
    </row>
    <row r="1133" spans="1:13" x14ac:dyDescent="0.25">
      <c r="A1133" s="91" t="s">
        <v>4114</v>
      </c>
      <c r="B1133" cm="1">
        <f t="array" aca="1" ref="B1133" ca="1">INDIRECT(A1133)</f>
        <v>0</v>
      </c>
      <c r="C1133">
        <f t="shared" ca="1" si="68"/>
        <v>5</v>
      </c>
      <c r="D1133" t="str" cm="1">
        <f t="array" aca="1" ref="D1133" ca="1">CELL("nomfichier",INDIRECT(A1133))</f>
        <v>G:\SCPE\sdc\bq\6 - Mentions valorisantes\Certification environnementale\TEXTES_REGLEMENTATION_CE\Plans_contrôle et grilles\Grille audit niveau 3\Grille d'audit v1.11\[grille-audit-hvev4-v1.11-vf.xlsx]Surfaces_Horti</v>
      </c>
      <c r="E1133">
        <f t="shared" ca="1" si="69"/>
        <v>200</v>
      </c>
      <c r="F1133">
        <f t="shared" ca="1" si="70"/>
        <v>214</v>
      </c>
      <c r="G1133" t="str">
        <f t="shared" ca="1" si="71"/>
        <v>Surfaces_Horti</v>
      </c>
      <c r="H1133" cm="1">
        <f t="array" aca="1" ref="H1133" ca="1">ROW(INDIRECT(A1133))</f>
        <v>97</v>
      </c>
      <c r="I1133" cm="1">
        <f t="array" aca="1" ref="I1133" ca="1">COLUMN(INDIRECT(A1133))</f>
        <v>10</v>
      </c>
      <c r="M1133" t="str" cm="1">
        <f t="array" aca="1" ref="M1133" ca="1">IF(AND(J1133="O",ISBLANK(INDIRECT(A1133))),"Valeur obligatoire non renseignée","")</f>
        <v/>
      </c>
    </row>
    <row r="1134" spans="1:13" x14ac:dyDescent="0.25">
      <c r="A1134" s="91" t="s">
        <v>4141</v>
      </c>
      <c r="B1134" cm="1">
        <f t="array" aca="1" ref="B1134" ca="1">INDIRECT(A1134)</f>
        <v>0</v>
      </c>
      <c r="C1134">
        <f t="shared" ca="1" si="68"/>
        <v>5</v>
      </c>
      <c r="D1134" t="str" cm="1">
        <f t="array" aca="1" ref="D1134" ca="1">CELL("nomfichier",INDIRECT(A1134))</f>
        <v>G:\SCPE\sdc\bq\6 - Mentions valorisantes\Certification environnementale\TEXTES_REGLEMENTATION_CE\Plans_contrôle et grilles\Grille audit niveau 3\Grille d'audit v1.11\[grille-audit-hvev4-v1.11-vf.xlsx]Surfaces_Horti</v>
      </c>
      <c r="E1134">
        <f t="shared" ca="1" si="69"/>
        <v>200</v>
      </c>
      <c r="F1134">
        <f t="shared" ca="1" si="70"/>
        <v>214</v>
      </c>
      <c r="G1134" t="str">
        <f t="shared" ca="1" si="71"/>
        <v>Surfaces_Horti</v>
      </c>
      <c r="H1134" cm="1">
        <f t="array" aca="1" ref="H1134" ca="1">ROW(INDIRECT(A1134))</f>
        <v>97</v>
      </c>
      <c r="I1134" cm="1">
        <f t="array" aca="1" ref="I1134" ca="1">COLUMN(INDIRECT(A1134))</f>
        <v>11</v>
      </c>
      <c r="M1134" t="str" cm="1">
        <f t="array" aca="1" ref="M1134" ca="1">IF(AND(J1134="O",ISBLANK(INDIRECT(A1134))),"Valeur obligatoire non renseignée","")</f>
        <v/>
      </c>
    </row>
    <row r="1135" spans="1:13" x14ac:dyDescent="0.25">
      <c r="A1135" s="91" t="s">
        <v>4168</v>
      </c>
      <c r="B1135" cm="1">
        <f t="array" aca="1" ref="B1135" ca="1">INDIRECT(A1135)</f>
        <v>0</v>
      </c>
      <c r="C1135">
        <f t="shared" ca="1" si="68"/>
        <v>5</v>
      </c>
      <c r="D1135" t="str" cm="1">
        <f t="array" aca="1" ref="D1135" ca="1">CELL("nomfichier",INDIRECT(A1135))</f>
        <v>G:\SCPE\sdc\bq\6 - Mentions valorisantes\Certification environnementale\TEXTES_REGLEMENTATION_CE\Plans_contrôle et grilles\Grille audit niveau 3\Grille d'audit v1.11\[grille-audit-hvev4-v1.11-vf.xlsx]Surfaces_Horti</v>
      </c>
      <c r="E1135">
        <f t="shared" ca="1" si="69"/>
        <v>200</v>
      </c>
      <c r="F1135">
        <f t="shared" ca="1" si="70"/>
        <v>214</v>
      </c>
      <c r="G1135" t="str">
        <f t="shared" ca="1" si="71"/>
        <v>Surfaces_Horti</v>
      </c>
      <c r="H1135" cm="1">
        <f t="array" aca="1" ref="H1135" ca="1">ROW(INDIRECT(A1135))</f>
        <v>97</v>
      </c>
      <c r="I1135" cm="1">
        <f t="array" aca="1" ref="I1135" ca="1">COLUMN(INDIRECT(A1135))</f>
        <v>12</v>
      </c>
      <c r="M1135" t="str" cm="1">
        <f t="array" aca="1" ref="M1135" ca="1">IF(AND(J1135="O",ISBLANK(INDIRECT(A1135))),"Valeur obligatoire non renseignée","")</f>
        <v/>
      </c>
    </row>
    <row r="1136" spans="1:13" x14ac:dyDescent="0.25">
      <c r="A1136" s="91" t="s">
        <v>4195</v>
      </c>
      <c r="B1136" cm="1">
        <f t="array" aca="1" ref="B1136" ca="1">INDIRECT(A1136)</f>
        <v>0</v>
      </c>
      <c r="C1136">
        <f t="shared" ca="1" si="68"/>
        <v>5</v>
      </c>
      <c r="D1136" t="str" cm="1">
        <f t="array" aca="1" ref="D1136" ca="1">CELL("nomfichier",INDIRECT(A1136))</f>
        <v>G:\SCPE\sdc\bq\6 - Mentions valorisantes\Certification environnementale\TEXTES_REGLEMENTATION_CE\Plans_contrôle et grilles\Grille audit niveau 3\Grille d'audit v1.11\[grille-audit-hvev4-v1.11-vf.xlsx]Surfaces_Horti</v>
      </c>
      <c r="E1136">
        <f t="shared" ca="1" si="69"/>
        <v>200</v>
      </c>
      <c r="F1136">
        <f t="shared" ca="1" si="70"/>
        <v>214</v>
      </c>
      <c r="G1136" t="str">
        <f t="shared" ca="1" si="71"/>
        <v>Surfaces_Horti</v>
      </c>
      <c r="H1136" cm="1">
        <f t="array" aca="1" ref="H1136" ca="1">ROW(INDIRECT(A1136))</f>
        <v>97</v>
      </c>
      <c r="I1136" cm="1">
        <f t="array" aca="1" ref="I1136" ca="1">COLUMN(INDIRECT(A1136))</f>
        <v>13</v>
      </c>
      <c r="M1136" t="str" cm="1">
        <f t="array" aca="1" ref="M1136" ca="1">IF(AND(J1136="O",ISBLANK(INDIRECT(A1136))),"Valeur obligatoire non renseignée","")</f>
        <v/>
      </c>
    </row>
    <row r="1137" spans="1:13" x14ac:dyDescent="0.25">
      <c r="A1137" s="91" t="s">
        <v>4222</v>
      </c>
      <c r="B1137" cm="1">
        <f t="array" aca="1" ref="B1137" ca="1">INDIRECT(A1137)</f>
        <v>0</v>
      </c>
      <c r="C1137">
        <f t="shared" ca="1" si="68"/>
        <v>5</v>
      </c>
      <c r="D1137" t="str" cm="1">
        <f t="array" aca="1" ref="D1137" ca="1">CELL("nomfichier",INDIRECT(A1137))</f>
        <v>G:\SCPE\sdc\bq\6 - Mentions valorisantes\Certification environnementale\TEXTES_REGLEMENTATION_CE\Plans_contrôle et grilles\Grille audit niveau 3\Grille d'audit v1.11\[grille-audit-hvev4-v1.11-vf.xlsx]Surfaces_Horti</v>
      </c>
      <c r="E1137">
        <f t="shared" ca="1" si="69"/>
        <v>200</v>
      </c>
      <c r="F1137">
        <f t="shared" ca="1" si="70"/>
        <v>214</v>
      </c>
      <c r="G1137" t="str">
        <f t="shared" ca="1" si="71"/>
        <v>Surfaces_Horti</v>
      </c>
      <c r="H1137" cm="1">
        <f t="array" aca="1" ref="H1137" ca="1">ROW(INDIRECT(A1137))</f>
        <v>97</v>
      </c>
      <c r="I1137" cm="1">
        <f t="array" aca="1" ref="I1137" ca="1">COLUMN(INDIRECT(A1137))</f>
        <v>14</v>
      </c>
      <c r="M1137" t="str" cm="1">
        <f t="array" aca="1" ref="M1137" ca="1">IF(AND(J1137="O",ISBLANK(INDIRECT(A1137))),"Valeur obligatoire non renseignée","")</f>
        <v/>
      </c>
    </row>
    <row r="1138" spans="1:13" x14ac:dyDescent="0.25">
      <c r="A1138" s="91" t="s">
        <v>3899</v>
      </c>
      <c r="B1138" cm="1">
        <f t="array" aca="1" ref="B1138" ca="1">INDIRECT(A1138)</f>
        <v>0</v>
      </c>
      <c r="C1138">
        <f t="shared" ca="1" si="68"/>
        <v>5</v>
      </c>
      <c r="D1138" t="str" cm="1">
        <f t="array" aca="1" ref="D1138" ca="1">CELL("nomfichier",INDIRECT(A1138))</f>
        <v>G:\SCPE\sdc\bq\6 - Mentions valorisantes\Certification environnementale\TEXTES_REGLEMENTATION_CE\Plans_contrôle et grilles\Grille audit niveau 3\Grille d'audit v1.11\[grille-audit-hvev4-v1.11-vf.xlsx]Surfaces_Horti</v>
      </c>
      <c r="E1138">
        <f t="shared" ca="1" si="69"/>
        <v>200</v>
      </c>
      <c r="F1138">
        <f t="shared" ca="1" si="70"/>
        <v>214</v>
      </c>
      <c r="G1138" t="str">
        <f t="shared" ca="1" si="71"/>
        <v>Surfaces_Horti</v>
      </c>
      <c r="H1138" cm="1">
        <f t="array" aca="1" ref="H1138" ca="1">ROW(INDIRECT(A1138))</f>
        <v>98</v>
      </c>
      <c r="I1138" cm="1">
        <f t="array" aca="1" ref="I1138" ca="1">COLUMN(INDIRECT(A1138))</f>
        <v>2</v>
      </c>
      <c r="M1138" t="str" cm="1">
        <f t="array" aca="1" ref="M1138" ca="1">IF(AND(J1138="O",ISBLANK(INDIRECT(A1138))),"Valeur obligatoire non renseignée","")</f>
        <v/>
      </c>
    </row>
    <row r="1139" spans="1:13" x14ac:dyDescent="0.25">
      <c r="A1139" s="91" t="s">
        <v>3926</v>
      </c>
      <c r="B1139" cm="1">
        <f t="array" aca="1" ref="B1139" ca="1">INDIRECT(A1139)</f>
        <v>0</v>
      </c>
      <c r="C1139">
        <f t="shared" ca="1" si="68"/>
        <v>5</v>
      </c>
      <c r="D1139" t="str" cm="1">
        <f t="array" aca="1" ref="D1139" ca="1">CELL("nomfichier",INDIRECT(A1139))</f>
        <v>G:\SCPE\sdc\bq\6 - Mentions valorisantes\Certification environnementale\TEXTES_REGLEMENTATION_CE\Plans_contrôle et grilles\Grille audit niveau 3\Grille d'audit v1.11\[grille-audit-hvev4-v1.11-vf.xlsx]Surfaces_Horti</v>
      </c>
      <c r="E1139">
        <f t="shared" ca="1" si="69"/>
        <v>200</v>
      </c>
      <c r="F1139">
        <f t="shared" ca="1" si="70"/>
        <v>214</v>
      </c>
      <c r="G1139" t="str">
        <f t="shared" ca="1" si="71"/>
        <v>Surfaces_Horti</v>
      </c>
      <c r="H1139" cm="1">
        <f t="array" aca="1" ref="H1139" ca="1">ROW(INDIRECT(A1139))</f>
        <v>98</v>
      </c>
      <c r="I1139" cm="1">
        <f t="array" aca="1" ref="I1139" ca="1">COLUMN(INDIRECT(A1139))</f>
        <v>3</v>
      </c>
      <c r="M1139" t="str" cm="1">
        <f t="array" aca="1" ref="M1139" ca="1">IF(AND(J1139="O",ISBLANK(INDIRECT(A1139))),"Valeur obligatoire non renseignée","")</f>
        <v/>
      </c>
    </row>
    <row r="1140" spans="1:13" x14ac:dyDescent="0.25">
      <c r="A1140" s="91" t="s">
        <v>3953</v>
      </c>
      <c r="B1140" cm="1">
        <f t="array" aca="1" ref="B1140" ca="1">INDIRECT(A1140)</f>
        <v>0</v>
      </c>
      <c r="C1140">
        <f t="shared" ca="1" si="68"/>
        <v>5</v>
      </c>
      <c r="D1140" t="str" cm="1">
        <f t="array" aca="1" ref="D1140" ca="1">CELL("nomfichier",INDIRECT(A1140))</f>
        <v>G:\SCPE\sdc\bq\6 - Mentions valorisantes\Certification environnementale\TEXTES_REGLEMENTATION_CE\Plans_contrôle et grilles\Grille audit niveau 3\Grille d'audit v1.11\[grille-audit-hvev4-v1.11-vf.xlsx]Surfaces_Horti</v>
      </c>
      <c r="E1140">
        <f t="shared" ca="1" si="69"/>
        <v>200</v>
      </c>
      <c r="F1140">
        <f t="shared" ca="1" si="70"/>
        <v>214</v>
      </c>
      <c r="G1140" t="str">
        <f t="shared" ca="1" si="71"/>
        <v>Surfaces_Horti</v>
      </c>
      <c r="H1140" cm="1">
        <f t="array" aca="1" ref="H1140" ca="1">ROW(INDIRECT(A1140))</f>
        <v>98</v>
      </c>
      <c r="I1140" cm="1">
        <f t="array" aca="1" ref="I1140" ca="1">COLUMN(INDIRECT(A1140))</f>
        <v>4</v>
      </c>
      <c r="M1140" t="str" cm="1">
        <f t="array" aca="1" ref="M1140" ca="1">IF(AND(J1140="O",ISBLANK(INDIRECT(A1140))),"Valeur obligatoire non renseignée","")</f>
        <v/>
      </c>
    </row>
    <row r="1141" spans="1:13" x14ac:dyDescent="0.25">
      <c r="A1141" s="91" t="s">
        <v>3980</v>
      </c>
      <c r="B1141" cm="1">
        <f t="array" aca="1" ref="B1141" ca="1">INDIRECT(A1141)</f>
        <v>0</v>
      </c>
      <c r="C1141">
        <f t="shared" ca="1" si="68"/>
        <v>5</v>
      </c>
      <c r="D1141" t="str" cm="1">
        <f t="array" aca="1" ref="D1141" ca="1">CELL("nomfichier",INDIRECT(A1141))</f>
        <v>G:\SCPE\sdc\bq\6 - Mentions valorisantes\Certification environnementale\TEXTES_REGLEMENTATION_CE\Plans_contrôle et grilles\Grille audit niveau 3\Grille d'audit v1.11\[grille-audit-hvev4-v1.11-vf.xlsx]Surfaces_Horti</v>
      </c>
      <c r="E1141">
        <f t="shared" ca="1" si="69"/>
        <v>200</v>
      </c>
      <c r="F1141">
        <f t="shared" ca="1" si="70"/>
        <v>214</v>
      </c>
      <c r="G1141" t="str">
        <f t="shared" ca="1" si="71"/>
        <v>Surfaces_Horti</v>
      </c>
      <c r="H1141" cm="1">
        <f t="array" aca="1" ref="H1141" ca="1">ROW(INDIRECT(A1141))</f>
        <v>98</v>
      </c>
      <c r="I1141" cm="1">
        <f t="array" aca="1" ref="I1141" ca="1">COLUMN(INDIRECT(A1141))</f>
        <v>5</v>
      </c>
      <c r="M1141" t="str" cm="1">
        <f t="array" aca="1" ref="M1141" ca="1">IF(AND(J1141="O",ISBLANK(INDIRECT(A1141))),"Valeur obligatoire non renseignée","")</f>
        <v/>
      </c>
    </row>
    <row r="1142" spans="1:13" x14ac:dyDescent="0.25">
      <c r="A1142" s="91" t="s">
        <v>4007</v>
      </c>
      <c r="B1142" cm="1">
        <f t="array" aca="1" ref="B1142" ca="1">INDIRECT(A1142)</f>
        <v>0</v>
      </c>
      <c r="C1142">
        <f t="shared" ca="1" si="68"/>
        <v>5</v>
      </c>
      <c r="D1142" t="str" cm="1">
        <f t="array" aca="1" ref="D1142" ca="1">CELL("nomfichier",INDIRECT(A1142))</f>
        <v>G:\SCPE\sdc\bq\6 - Mentions valorisantes\Certification environnementale\TEXTES_REGLEMENTATION_CE\Plans_contrôle et grilles\Grille audit niveau 3\Grille d'audit v1.11\[grille-audit-hvev4-v1.11-vf.xlsx]Surfaces_Horti</v>
      </c>
      <c r="E1142">
        <f t="shared" ca="1" si="69"/>
        <v>200</v>
      </c>
      <c r="F1142">
        <f t="shared" ca="1" si="70"/>
        <v>214</v>
      </c>
      <c r="G1142" t="str">
        <f t="shared" ca="1" si="71"/>
        <v>Surfaces_Horti</v>
      </c>
      <c r="H1142" cm="1">
        <f t="array" aca="1" ref="H1142" ca="1">ROW(INDIRECT(A1142))</f>
        <v>98</v>
      </c>
      <c r="I1142" cm="1">
        <f t="array" aca="1" ref="I1142" ca="1">COLUMN(INDIRECT(A1142))</f>
        <v>6</v>
      </c>
      <c r="M1142" t="str" cm="1">
        <f t="array" aca="1" ref="M1142" ca="1">IF(AND(J1142="O",ISBLANK(INDIRECT(A1142))),"Valeur obligatoire non renseignée","")</f>
        <v/>
      </c>
    </row>
    <row r="1143" spans="1:13" x14ac:dyDescent="0.25">
      <c r="A1143" s="91" t="s">
        <v>4034</v>
      </c>
      <c r="B1143" cm="1">
        <f t="array" aca="1" ref="B1143" ca="1">INDIRECT(A1143)</f>
        <v>0</v>
      </c>
      <c r="C1143">
        <f t="shared" ca="1" si="68"/>
        <v>5</v>
      </c>
      <c r="D1143" t="str" cm="1">
        <f t="array" aca="1" ref="D1143" ca="1">CELL("nomfichier",INDIRECT(A1143))</f>
        <v>G:\SCPE\sdc\bq\6 - Mentions valorisantes\Certification environnementale\TEXTES_REGLEMENTATION_CE\Plans_contrôle et grilles\Grille audit niveau 3\Grille d'audit v1.11\[grille-audit-hvev4-v1.11-vf.xlsx]Surfaces_Horti</v>
      </c>
      <c r="E1143">
        <f t="shared" ca="1" si="69"/>
        <v>200</v>
      </c>
      <c r="F1143">
        <f t="shared" ca="1" si="70"/>
        <v>214</v>
      </c>
      <c r="G1143" t="str">
        <f t="shared" ca="1" si="71"/>
        <v>Surfaces_Horti</v>
      </c>
      <c r="H1143" cm="1">
        <f t="array" aca="1" ref="H1143" ca="1">ROW(INDIRECT(A1143))</f>
        <v>98</v>
      </c>
      <c r="I1143" cm="1">
        <f t="array" aca="1" ref="I1143" ca="1">COLUMN(INDIRECT(A1143))</f>
        <v>7</v>
      </c>
      <c r="M1143" t="str" cm="1">
        <f t="array" aca="1" ref="M1143" ca="1">IF(AND(J1143="O",ISBLANK(INDIRECT(A1143))),"Valeur obligatoire non renseignée","")</f>
        <v/>
      </c>
    </row>
    <row r="1144" spans="1:13" x14ac:dyDescent="0.25">
      <c r="A1144" s="91" t="s">
        <v>4061</v>
      </c>
      <c r="B1144" cm="1">
        <f t="array" aca="1" ref="B1144" ca="1">INDIRECT(A1144)</f>
        <v>0</v>
      </c>
      <c r="C1144">
        <f t="shared" ca="1" si="68"/>
        <v>5</v>
      </c>
      <c r="D1144" t="str" cm="1">
        <f t="array" aca="1" ref="D1144" ca="1">CELL("nomfichier",INDIRECT(A1144))</f>
        <v>G:\SCPE\sdc\bq\6 - Mentions valorisantes\Certification environnementale\TEXTES_REGLEMENTATION_CE\Plans_contrôle et grilles\Grille audit niveau 3\Grille d'audit v1.11\[grille-audit-hvev4-v1.11-vf.xlsx]Surfaces_Horti</v>
      </c>
      <c r="E1144">
        <f t="shared" ca="1" si="69"/>
        <v>200</v>
      </c>
      <c r="F1144">
        <f t="shared" ca="1" si="70"/>
        <v>214</v>
      </c>
      <c r="G1144" t="str">
        <f t="shared" ca="1" si="71"/>
        <v>Surfaces_Horti</v>
      </c>
      <c r="H1144" cm="1">
        <f t="array" aca="1" ref="H1144" ca="1">ROW(INDIRECT(A1144))</f>
        <v>98</v>
      </c>
      <c r="I1144" cm="1">
        <f t="array" aca="1" ref="I1144" ca="1">COLUMN(INDIRECT(A1144))</f>
        <v>8</v>
      </c>
      <c r="M1144" t="str" cm="1">
        <f t="array" aca="1" ref="M1144" ca="1">IF(AND(J1144="O",ISBLANK(INDIRECT(A1144))),"Valeur obligatoire non renseignée","")</f>
        <v/>
      </c>
    </row>
    <row r="1145" spans="1:13" x14ac:dyDescent="0.25">
      <c r="A1145" s="91" t="s">
        <v>4088</v>
      </c>
      <c r="B1145" cm="1">
        <f t="array" aca="1" ref="B1145" ca="1">INDIRECT(A1145)</f>
        <v>0</v>
      </c>
      <c r="C1145">
        <f t="shared" ca="1" si="68"/>
        <v>5</v>
      </c>
      <c r="D1145" t="str" cm="1">
        <f t="array" aca="1" ref="D1145" ca="1">CELL("nomfichier",INDIRECT(A1145))</f>
        <v>G:\SCPE\sdc\bq\6 - Mentions valorisantes\Certification environnementale\TEXTES_REGLEMENTATION_CE\Plans_contrôle et grilles\Grille audit niveau 3\Grille d'audit v1.11\[grille-audit-hvev4-v1.11-vf.xlsx]Surfaces_Horti</v>
      </c>
      <c r="E1145">
        <f t="shared" ca="1" si="69"/>
        <v>200</v>
      </c>
      <c r="F1145">
        <f t="shared" ca="1" si="70"/>
        <v>214</v>
      </c>
      <c r="G1145" t="str">
        <f t="shared" ca="1" si="71"/>
        <v>Surfaces_Horti</v>
      </c>
      <c r="H1145" cm="1">
        <f t="array" aca="1" ref="H1145" ca="1">ROW(INDIRECT(A1145))</f>
        <v>98</v>
      </c>
      <c r="I1145" cm="1">
        <f t="array" aca="1" ref="I1145" ca="1">COLUMN(INDIRECT(A1145))</f>
        <v>9</v>
      </c>
      <c r="M1145" t="str" cm="1">
        <f t="array" aca="1" ref="M1145" ca="1">IF(AND(J1145="O",ISBLANK(INDIRECT(A1145))),"Valeur obligatoire non renseignée","")</f>
        <v/>
      </c>
    </row>
    <row r="1146" spans="1:13" x14ac:dyDescent="0.25">
      <c r="A1146" s="91" t="s">
        <v>4115</v>
      </c>
      <c r="B1146" cm="1">
        <f t="array" aca="1" ref="B1146" ca="1">INDIRECT(A1146)</f>
        <v>0</v>
      </c>
      <c r="C1146">
        <f t="shared" ca="1" si="68"/>
        <v>5</v>
      </c>
      <c r="D1146" t="str" cm="1">
        <f t="array" aca="1" ref="D1146" ca="1">CELL("nomfichier",INDIRECT(A1146))</f>
        <v>G:\SCPE\sdc\bq\6 - Mentions valorisantes\Certification environnementale\TEXTES_REGLEMENTATION_CE\Plans_contrôle et grilles\Grille audit niveau 3\Grille d'audit v1.11\[grille-audit-hvev4-v1.11-vf.xlsx]Surfaces_Horti</v>
      </c>
      <c r="E1146">
        <f t="shared" ca="1" si="69"/>
        <v>200</v>
      </c>
      <c r="F1146">
        <f t="shared" ca="1" si="70"/>
        <v>214</v>
      </c>
      <c r="G1146" t="str">
        <f t="shared" ca="1" si="71"/>
        <v>Surfaces_Horti</v>
      </c>
      <c r="H1146" cm="1">
        <f t="array" aca="1" ref="H1146" ca="1">ROW(INDIRECT(A1146))</f>
        <v>98</v>
      </c>
      <c r="I1146" cm="1">
        <f t="array" aca="1" ref="I1146" ca="1">COLUMN(INDIRECT(A1146))</f>
        <v>10</v>
      </c>
      <c r="M1146" t="str" cm="1">
        <f t="array" aca="1" ref="M1146" ca="1">IF(AND(J1146="O",ISBLANK(INDIRECT(A1146))),"Valeur obligatoire non renseignée","")</f>
        <v/>
      </c>
    </row>
    <row r="1147" spans="1:13" x14ac:dyDescent="0.25">
      <c r="A1147" s="91" t="s">
        <v>4142</v>
      </c>
      <c r="B1147" cm="1">
        <f t="array" aca="1" ref="B1147" ca="1">INDIRECT(A1147)</f>
        <v>0</v>
      </c>
      <c r="C1147">
        <f t="shared" ca="1" si="68"/>
        <v>5</v>
      </c>
      <c r="D1147" t="str" cm="1">
        <f t="array" aca="1" ref="D1147" ca="1">CELL("nomfichier",INDIRECT(A1147))</f>
        <v>G:\SCPE\sdc\bq\6 - Mentions valorisantes\Certification environnementale\TEXTES_REGLEMENTATION_CE\Plans_contrôle et grilles\Grille audit niveau 3\Grille d'audit v1.11\[grille-audit-hvev4-v1.11-vf.xlsx]Surfaces_Horti</v>
      </c>
      <c r="E1147">
        <f t="shared" ca="1" si="69"/>
        <v>200</v>
      </c>
      <c r="F1147">
        <f t="shared" ca="1" si="70"/>
        <v>214</v>
      </c>
      <c r="G1147" t="str">
        <f t="shared" ca="1" si="71"/>
        <v>Surfaces_Horti</v>
      </c>
      <c r="H1147" cm="1">
        <f t="array" aca="1" ref="H1147" ca="1">ROW(INDIRECT(A1147))</f>
        <v>98</v>
      </c>
      <c r="I1147" cm="1">
        <f t="array" aca="1" ref="I1147" ca="1">COLUMN(INDIRECT(A1147))</f>
        <v>11</v>
      </c>
      <c r="M1147" t="str" cm="1">
        <f t="array" aca="1" ref="M1147" ca="1">IF(AND(J1147="O",ISBLANK(INDIRECT(A1147))),"Valeur obligatoire non renseignée","")</f>
        <v/>
      </c>
    </row>
    <row r="1148" spans="1:13" x14ac:dyDescent="0.25">
      <c r="A1148" s="91" t="s">
        <v>4169</v>
      </c>
      <c r="B1148" cm="1">
        <f t="array" aca="1" ref="B1148" ca="1">INDIRECT(A1148)</f>
        <v>0</v>
      </c>
      <c r="C1148">
        <f t="shared" ca="1" si="68"/>
        <v>5</v>
      </c>
      <c r="D1148" t="str" cm="1">
        <f t="array" aca="1" ref="D1148" ca="1">CELL("nomfichier",INDIRECT(A1148))</f>
        <v>G:\SCPE\sdc\bq\6 - Mentions valorisantes\Certification environnementale\TEXTES_REGLEMENTATION_CE\Plans_contrôle et grilles\Grille audit niveau 3\Grille d'audit v1.11\[grille-audit-hvev4-v1.11-vf.xlsx]Surfaces_Horti</v>
      </c>
      <c r="E1148">
        <f t="shared" ca="1" si="69"/>
        <v>200</v>
      </c>
      <c r="F1148">
        <f t="shared" ca="1" si="70"/>
        <v>214</v>
      </c>
      <c r="G1148" t="str">
        <f t="shared" ca="1" si="71"/>
        <v>Surfaces_Horti</v>
      </c>
      <c r="H1148" cm="1">
        <f t="array" aca="1" ref="H1148" ca="1">ROW(INDIRECT(A1148))</f>
        <v>98</v>
      </c>
      <c r="I1148" cm="1">
        <f t="array" aca="1" ref="I1148" ca="1">COLUMN(INDIRECT(A1148))</f>
        <v>12</v>
      </c>
      <c r="M1148" t="str" cm="1">
        <f t="array" aca="1" ref="M1148" ca="1">IF(AND(J1148="O",ISBLANK(INDIRECT(A1148))),"Valeur obligatoire non renseignée","")</f>
        <v/>
      </c>
    </row>
    <row r="1149" spans="1:13" x14ac:dyDescent="0.25">
      <c r="A1149" s="91" t="s">
        <v>4196</v>
      </c>
      <c r="B1149" cm="1">
        <f t="array" aca="1" ref="B1149" ca="1">INDIRECT(A1149)</f>
        <v>0</v>
      </c>
      <c r="C1149">
        <f t="shared" ca="1" si="68"/>
        <v>5</v>
      </c>
      <c r="D1149" t="str" cm="1">
        <f t="array" aca="1" ref="D1149" ca="1">CELL("nomfichier",INDIRECT(A1149))</f>
        <v>G:\SCPE\sdc\bq\6 - Mentions valorisantes\Certification environnementale\TEXTES_REGLEMENTATION_CE\Plans_contrôle et grilles\Grille audit niveau 3\Grille d'audit v1.11\[grille-audit-hvev4-v1.11-vf.xlsx]Surfaces_Horti</v>
      </c>
      <c r="E1149">
        <f t="shared" ca="1" si="69"/>
        <v>200</v>
      </c>
      <c r="F1149">
        <f t="shared" ca="1" si="70"/>
        <v>214</v>
      </c>
      <c r="G1149" t="str">
        <f t="shared" ca="1" si="71"/>
        <v>Surfaces_Horti</v>
      </c>
      <c r="H1149" cm="1">
        <f t="array" aca="1" ref="H1149" ca="1">ROW(INDIRECT(A1149))</f>
        <v>98</v>
      </c>
      <c r="I1149" cm="1">
        <f t="array" aca="1" ref="I1149" ca="1">COLUMN(INDIRECT(A1149))</f>
        <v>13</v>
      </c>
      <c r="M1149" t="str" cm="1">
        <f t="array" aca="1" ref="M1149" ca="1">IF(AND(J1149="O",ISBLANK(INDIRECT(A1149))),"Valeur obligatoire non renseignée","")</f>
        <v/>
      </c>
    </row>
    <row r="1150" spans="1:13" x14ac:dyDescent="0.25">
      <c r="A1150" s="91" t="s">
        <v>4223</v>
      </c>
      <c r="B1150" cm="1">
        <f t="array" aca="1" ref="B1150" ca="1">INDIRECT(A1150)</f>
        <v>0</v>
      </c>
      <c r="C1150">
        <f t="shared" ca="1" si="68"/>
        <v>5</v>
      </c>
      <c r="D1150" t="str" cm="1">
        <f t="array" aca="1" ref="D1150" ca="1">CELL("nomfichier",INDIRECT(A1150))</f>
        <v>G:\SCPE\sdc\bq\6 - Mentions valorisantes\Certification environnementale\TEXTES_REGLEMENTATION_CE\Plans_contrôle et grilles\Grille audit niveau 3\Grille d'audit v1.11\[grille-audit-hvev4-v1.11-vf.xlsx]Surfaces_Horti</v>
      </c>
      <c r="E1150">
        <f t="shared" ca="1" si="69"/>
        <v>200</v>
      </c>
      <c r="F1150">
        <f t="shared" ca="1" si="70"/>
        <v>214</v>
      </c>
      <c r="G1150" t="str">
        <f t="shared" ca="1" si="71"/>
        <v>Surfaces_Horti</v>
      </c>
      <c r="H1150" cm="1">
        <f t="array" aca="1" ref="H1150" ca="1">ROW(INDIRECT(A1150))</f>
        <v>98</v>
      </c>
      <c r="I1150" cm="1">
        <f t="array" aca="1" ref="I1150" ca="1">COLUMN(INDIRECT(A1150))</f>
        <v>14</v>
      </c>
      <c r="M1150" t="str" cm="1">
        <f t="array" aca="1" ref="M1150" ca="1">IF(AND(J1150="O",ISBLANK(INDIRECT(A1150))),"Valeur obligatoire non renseignée","")</f>
        <v/>
      </c>
    </row>
    <row r="1151" spans="1:13" x14ac:dyDescent="0.25">
      <c r="A1151" s="91" t="s">
        <v>3900</v>
      </c>
      <c r="B1151" cm="1">
        <f t="array" aca="1" ref="B1151" ca="1">INDIRECT(A1151)</f>
        <v>0</v>
      </c>
      <c r="C1151">
        <f t="shared" ca="1" si="68"/>
        <v>5</v>
      </c>
      <c r="D1151" t="str" cm="1">
        <f t="array" aca="1" ref="D1151" ca="1">CELL("nomfichier",INDIRECT(A1151))</f>
        <v>G:\SCPE\sdc\bq\6 - Mentions valorisantes\Certification environnementale\TEXTES_REGLEMENTATION_CE\Plans_contrôle et grilles\Grille audit niveau 3\Grille d'audit v1.11\[grille-audit-hvev4-v1.11-vf.xlsx]Surfaces_Horti</v>
      </c>
      <c r="E1151">
        <f t="shared" ca="1" si="69"/>
        <v>200</v>
      </c>
      <c r="F1151">
        <f t="shared" ca="1" si="70"/>
        <v>214</v>
      </c>
      <c r="G1151" t="str">
        <f t="shared" ca="1" si="71"/>
        <v>Surfaces_Horti</v>
      </c>
      <c r="H1151" cm="1">
        <f t="array" aca="1" ref="H1151" ca="1">ROW(INDIRECT(A1151))</f>
        <v>99</v>
      </c>
      <c r="I1151" cm="1">
        <f t="array" aca="1" ref="I1151" ca="1">COLUMN(INDIRECT(A1151))</f>
        <v>2</v>
      </c>
      <c r="M1151" t="str" cm="1">
        <f t="array" aca="1" ref="M1151" ca="1">IF(AND(J1151="O",ISBLANK(INDIRECT(A1151))),"Valeur obligatoire non renseignée","")</f>
        <v/>
      </c>
    </row>
    <row r="1152" spans="1:13" x14ac:dyDescent="0.25">
      <c r="A1152" s="91" t="s">
        <v>3927</v>
      </c>
      <c r="B1152" cm="1">
        <f t="array" aca="1" ref="B1152" ca="1">INDIRECT(A1152)</f>
        <v>0</v>
      </c>
      <c r="C1152">
        <f t="shared" ca="1" si="68"/>
        <v>5</v>
      </c>
      <c r="D1152" t="str" cm="1">
        <f t="array" aca="1" ref="D1152" ca="1">CELL("nomfichier",INDIRECT(A1152))</f>
        <v>G:\SCPE\sdc\bq\6 - Mentions valorisantes\Certification environnementale\TEXTES_REGLEMENTATION_CE\Plans_contrôle et grilles\Grille audit niveau 3\Grille d'audit v1.11\[grille-audit-hvev4-v1.11-vf.xlsx]Surfaces_Horti</v>
      </c>
      <c r="E1152">
        <f t="shared" ca="1" si="69"/>
        <v>200</v>
      </c>
      <c r="F1152">
        <f t="shared" ca="1" si="70"/>
        <v>214</v>
      </c>
      <c r="G1152" t="str">
        <f t="shared" ca="1" si="71"/>
        <v>Surfaces_Horti</v>
      </c>
      <c r="H1152" cm="1">
        <f t="array" aca="1" ref="H1152" ca="1">ROW(INDIRECT(A1152))</f>
        <v>99</v>
      </c>
      <c r="I1152" cm="1">
        <f t="array" aca="1" ref="I1152" ca="1">COLUMN(INDIRECT(A1152))</f>
        <v>3</v>
      </c>
      <c r="M1152" t="str" cm="1">
        <f t="array" aca="1" ref="M1152" ca="1">IF(AND(J1152="O",ISBLANK(INDIRECT(A1152))),"Valeur obligatoire non renseignée","")</f>
        <v/>
      </c>
    </row>
    <row r="1153" spans="1:13" x14ac:dyDescent="0.25">
      <c r="A1153" s="91" t="s">
        <v>3954</v>
      </c>
      <c r="B1153" cm="1">
        <f t="array" aca="1" ref="B1153" ca="1">INDIRECT(A1153)</f>
        <v>0</v>
      </c>
      <c r="C1153">
        <f t="shared" ca="1" si="68"/>
        <v>5</v>
      </c>
      <c r="D1153" t="str" cm="1">
        <f t="array" aca="1" ref="D1153" ca="1">CELL("nomfichier",INDIRECT(A1153))</f>
        <v>G:\SCPE\sdc\bq\6 - Mentions valorisantes\Certification environnementale\TEXTES_REGLEMENTATION_CE\Plans_contrôle et grilles\Grille audit niveau 3\Grille d'audit v1.11\[grille-audit-hvev4-v1.11-vf.xlsx]Surfaces_Horti</v>
      </c>
      <c r="E1153">
        <f t="shared" ca="1" si="69"/>
        <v>200</v>
      </c>
      <c r="F1153">
        <f t="shared" ca="1" si="70"/>
        <v>214</v>
      </c>
      <c r="G1153" t="str">
        <f t="shared" ca="1" si="71"/>
        <v>Surfaces_Horti</v>
      </c>
      <c r="H1153" cm="1">
        <f t="array" aca="1" ref="H1153" ca="1">ROW(INDIRECT(A1153))</f>
        <v>99</v>
      </c>
      <c r="I1153" cm="1">
        <f t="array" aca="1" ref="I1153" ca="1">COLUMN(INDIRECT(A1153))</f>
        <v>4</v>
      </c>
      <c r="M1153" t="str" cm="1">
        <f t="array" aca="1" ref="M1153" ca="1">IF(AND(J1153="O",ISBLANK(INDIRECT(A1153))),"Valeur obligatoire non renseignée","")</f>
        <v/>
      </c>
    </row>
    <row r="1154" spans="1:13" x14ac:dyDescent="0.25">
      <c r="A1154" s="91" t="s">
        <v>3981</v>
      </c>
      <c r="B1154" cm="1">
        <f t="array" aca="1" ref="B1154" ca="1">INDIRECT(A1154)</f>
        <v>0</v>
      </c>
      <c r="C1154">
        <f t="shared" ref="C1154:C1217" ca="1" si="72">_xlfn.SHEET(INDIRECT(A1154))</f>
        <v>5</v>
      </c>
      <c r="D1154" t="str" cm="1">
        <f t="array" aca="1" ref="D1154" ca="1">CELL("nomfichier",INDIRECT(A1154))</f>
        <v>G:\SCPE\sdc\bq\6 - Mentions valorisantes\Certification environnementale\TEXTES_REGLEMENTATION_CE\Plans_contrôle et grilles\Grille audit niveau 3\Grille d'audit v1.11\[grille-audit-hvev4-v1.11-vf.xlsx]Surfaces_Horti</v>
      </c>
      <c r="E1154">
        <f t="shared" ref="E1154:E1217" ca="1" si="73">FIND("]",D1154)</f>
        <v>200</v>
      </c>
      <c r="F1154">
        <f t="shared" ref="F1154:F1217" ca="1" si="74">LEN(D1154)</f>
        <v>214</v>
      </c>
      <c r="G1154" t="str">
        <f t="shared" ref="G1154:G1217" ca="1" si="75">RIGHT(D1154,F1154-E1154)</f>
        <v>Surfaces_Horti</v>
      </c>
      <c r="H1154" cm="1">
        <f t="array" aca="1" ref="H1154" ca="1">ROW(INDIRECT(A1154))</f>
        <v>99</v>
      </c>
      <c r="I1154" cm="1">
        <f t="array" aca="1" ref="I1154" ca="1">COLUMN(INDIRECT(A1154))</f>
        <v>5</v>
      </c>
      <c r="M1154" t="str" cm="1">
        <f t="array" aca="1" ref="M1154" ca="1">IF(AND(J1154="O",ISBLANK(INDIRECT(A1154))),"Valeur obligatoire non renseignée","")</f>
        <v/>
      </c>
    </row>
    <row r="1155" spans="1:13" x14ac:dyDescent="0.25">
      <c r="A1155" s="91" t="s">
        <v>4008</v>
      </c>
      <c r="B1155" cm="1">
        <f t="array" aca="1" ref="B1155" ca="1">INDIRECT(A1155)</f>
        <v>0</v>
      </c>
      <c r="C1155">
        <f t="shared" ca="1" si="72"/>
        <v>5</v>
      </c>
      <c r="D1155" t="str" cm="1">
        <f t="array" aca="1" ref="D1155" ca="1">CELL("nomfichier",INDIRECT(A1155))</f>
        <v>G:\SCPE\sdc\bq\6 - Mentions valorisantes\Certification environnementale\TEXTES_REGLEMENTATION_CE\Plans_contrôle et grilles\Grille audit niveau 3\Grille d'audit v1.11\[grille-audit-hvev4-v1.11-vf.xlsx]Surfaces_Horti</v>
      </c>
      <c r="E1155">
        <f t="shared" ca="1" si="73"/>
        <v>200</v>
      </c>
      <c r="F1155">
        <f t="shared" ca="1" si="74"/>
        <v>214</v>
      </c>
      <c r="G1155" t="str">
        <f t="shared" ca="1" si="75"/>
        <v>Surfaces_Horti</v>
      </c>
      <c r="H1155" cm="1">
        <f t="array" aca="1" ref="H1155" ca="1">ROW(INDIRECT(A1155))</f>
        <v>99</v>
      </c>
      <c r="I1155" cm="1">
        <f t="array" aca="1" ref="I1155" ca="1">COLUMN(INDIRECT(A1155))</f>
        <v>6</v>
      </c>
      <c r="M1155" t="str" cm="1">
        <f t="array" aca="1" ref="M1155" ca="1">IF(AND(J1155="O",ISBLANK(INDIRECT(A1155))),"Valeur obligatoire non renseignée","")</f>
        <v/>
      </c>
    </row>
    <row r="1156" spans="1:13" x14ac:dyDescent="0.25">
      <c r="A1156" s="91" t="s">
        <v>4035</v>
      </c>
      <c r="B1156" cm="1">
        <f t="array" aca="1" ref="B1156" ca="1">INDIRECT(A1156)</f>
        <v>0</v>
      </c>
      <c r="C1156">
        <f t="shared" ca="1" si="72"/>
        <v>5</v>
      </c>
      <c r="D1156" t="str" cm="1">
        <f t="array" aca="1" ref="D1156" ca="1">CELL("nomfichier",INDIRECT(A1156))</f>
        <v>G:\SCPE\sdc\bq\6 - Mentions valorisantes\Certification environnementale\TEXTES_REGLEMENTATION_CE\Plans_contrôle et grilles\Grille audit niveau 3\Grille d'audit v1.11\[grille-audit-hvev4-v1.11-vf.xlsx]Surfaces_Horti</v>
      </c>
      <c r="E1156">
        <f t="shared" ca="1" si="73"/>
        <v>200</v>
      </c>
      <c r="F1156">
        <f t="shared" ca="1" si="74"/>
        <v>214</v>
      </c>
      <c r="G1156" t="str">
        <f t="shared" ca="1" si="75"/>
        <v>Surfaces_Horti</v>
      </c>
      <c r="H1156" cm="1">
        <f t="array" aca="1" ref="H1156" ca="1">ROW(INDIRECT(A1156))</f>
        <v>99</v>
      </c>
      <c r="I1156" cm="1">
        <f t="array" aca="1" ref="I1156" ca="1">COLUMN(INDIRECT(A1156))</f>
        <v>7</v>
      </c>
      <c r="M1156" t="str" cm="1">
        <f t="array" aca="1" ref="M1156" ca="1">IF(AND(J1156="O",ISBLANK(INDIRECT(A1156))),"Valeur obligatoire non renseignée","")</f>
        <v/>
      </c>
    </row>
    <row r="1157" spans="1:13" x14ac:dyDescent="0.25">
      <c r="A1157" s="91" t="s">
        <v>4062</v>
      </c>
      <c r="B1157" cm="1">
        <f t="array" aca="1" ref="B1157" ca="1">INDIRECT(A1157)</f>
        <v>0</v>
      </c>
      <c r="C1157">
        <f t="shared" ca="1" si="72"/>
        <v>5</v>
      </c>
      <c r="D1157" t="str" cm="1">
        <f t="array" aca="1" ref="D1157" ca="1">CELL("nomfichier",INDIRECT(A1157))</f>
        <v>G:\SCPE\sdc\bq\6 - Mentions valorisantes\Certification environnementale\TEXTES_REGLEMENTATION_CE\Plans_contrôle et grilles\Grille audit niveau 3\Grille d'audit v1.11\[grille-audit-hvev4-v1.11-vf.xlsx]Surfaces_Horti</v>
      </c>
      <c r="E1157">
        <f t="shared" ca="1" si="73"/>
        <v>200</v>
      </c>
      <c r="F1157">
        <f t="shared" ca="1" si="74"/>
        <v>214</v>
      </c>
      <c r="G1157" t="str">
        <f t="shared" ca="1" si="75"/>
        <v>Surfaces_Horti</v>
      </c>
      <c r="H1157" cm="1">
        <f t="array" aca="1" ref="H1157" ca="1">ROW(INDIRECT(A1157))</f>
        <v>99</v>
      </c>
      <c r="I1157" cm="1">
        <f t="array" aca="1" ref="I1157" ca="1">COLUMN(INDIRECT(A1157))</f>
        <v>8</v>
      </c>
      <c r="M1157" t="str" cm="1">
        <f t="array" aca="1" ref="M1157" ca="1">IF(AND(J1157="O",ISBLANK(INDIRECT(A1157))),"Valeur obligatoire non renseignée","")</f>
        <v/>
      </c>
    </row>
    <row r="1158" spans="1:13" x14ac:dyDescent="0.25">
      <c r="A1158" s="91" t="s">
        <v>4089</v>
      </c>
      <c r="B1158" cm="1">
        <f t="array" aca="1" ref="B1158" ca="1">INDIRECT(A1158)</f>
        <v>0</v>
      </c>
      <c r="C1158">
        <f t="shared" ca="1" si="72"/>
        <v>5</v>
      </c>
      <c r="D1158" t="str" cm="1">
        <f t="array" aca="1" ref="D1158" ca="1">CELL("nomfichier",INDIRECT(A1158))</f>
        <v>G:\SCPE\sdc\bq\6 - Mentions valorisantes\Certification environnementale\TEXTES_REGLEMENTATION_CE\Plans_contrôle et grilles\Grille audit niveau 3\Grille d'audit v1.11\[grille-audit-hvev4-v1.11-vf.xlsx]Surfaces_Horti</v>
      </c>
      <c r="E1158">
        <f t="shared" ca="1" si="73"/>
        <v>200</v>
      </c>
      <c r="F1158">
        <f t="shared" ca="1" si="74"/>
        <v>214</v>
      </c>
      <c r="G1158" t="str">
        <f t="shared" ca="1" si="75"/>
        <v>Surfaces_Horti</v>
      </c>
      <c r="H1158" cm="1">
        <f t="array" aca="1" ref="H1158" ca="1">ROW(INDIRECT(A1158))</f>
        <v>99</v>
      </c>
      <c r="I1158" cm="1">
        <f t="array" aca="1" ref="I1158" ca="1">COLUMN(INDIRECT(A1158))</f>
        <v>9</v>
      </c>
      <c r="M1158" t="str" cm="1">
        <f t="array" aca="1" ref="M1158" ca="1">IF(AND(J1158="O",ISBLANK(INDIRECT(A1158))),"Valeur obligatoire non renseignée","")</f>
        <v/>
      </c>
    </row>
    <row r="1159" spans="1:13" x14ac:dyDescent="0.25">
      <c r="A1159" s="91" t="s">
        <v>4116</v>
      </c>
      <c r="B1159" cm="1">
        <f t="array" aca="1" ref="B1159" ca="1">INDIRECT(A1159)</f>
        <v>0</v>
      </c>
      <c r="C1159">
        <f t="shared" ca="1" si="72"/>
        <v>5</v>
      </c>
      <c r="D1159" t="str" cm="1">
        <f t="array" aca="1" ref="D1159" ca="1">CELL("nomfichier",INDIRECT(A1159))</f>
        <v>G:\SCPE\sdc\bq\6 - Mentions valorisantes\Certification environnementale\TEXTES_REGLEMENTATION_CE\Plans_contrôle et grilles\Grille audit niveau 3\Grille d'audit v1.11\[grille-audit-hvev4-v1.11-vf.xlsx]Surfaces_Horti</v>
      </c>
      <c r="E1159">
        <f t="shared" ca="1" si="73"/>
        <v>200</v>
      </c>
      <c r="F1159">
        <f t="shared" ca="1" si="74"/>
        <v>214</v>
      </c>
      <c r="G1159" t="str">
        <f t="shared" ca="1" si="75"/>
        <v>Surfaces_Horti</v>
      </c>
      <c r="H1159" cm="1">
        <f t="array" aca="1" ref="H1159" ca="1">ROW(INDIRECT(A1159))</f>
        <v>99</v>
      </c>
      <c r="I1159" cm="1">
        <f t="array" aca="1" ref="I1159" ca="1">COLUMN(INDIRECT(A1159))</f>
        <v>10</v>
      </c>
      <c r="M1159" t="str" cm="1">
        <f t="array" aca="1" ref="M1159" ca="1">IF(AND(J1159="O",ISBLANK(INDIRECT(A1159))),"Valeur obligatoire non renseignée","")</f>
        <v/>
      </c>
    </row>
    <row r="1160" spans="1:13" x14ac:dyDescent="0.25">
      <c r="A1160" s="91" t="s">
        <v>4143</v>
      </c>
      <c r="B1160" cm="1">
        <f t="array" aca="1" ref="B1160" ca="1">INDIRECT(A1160)</f>
        <v>0</v>
      </c>
      <c r="C1160">
        <f t="shared" ca="1" si="72"/>
        <v>5</v>
      </c>
      <c r="D1160" t="str" cm="1">
        <f t="array" aca="1" ref="D1160" ca="1">CELL("nomfichier",INDIRECT(A1160))</f>
        <v>G:\SCPE\sdc\bq\6 - Mentions valorisantes\Certification environnementale\TEXTES_REGLEMENTATION_CE\Plans_contrôle et grilles\Grille audit niveau 3\Grille d'audit v1.11\[grille-audit-hvev4-v1.11-vf.xlsx]Surfaces_Horti</v>
      </c>
      <c r="E1160">
        <f t="shared" ca="1" si="73"/>
        <v>200</v>
      </c>
      <c r="F1160">
        <f t="shared" ca="1" si="74"/>
        <v>214</v>
      </c>
      <c r="G1160" t="str">
        <f t="shared" ca="1" si="75"/>
        <v>Surfaces_Horti</v>
      </c>
      <c r="H1160" cm="1">
        <f t="array" aca="1" ref="H1160" ca="1">ROW(INDIRECT(A1160))</f>
        <v>99</v>
      </c>
      <c r="I1160" cm="1">
        <f t="array" aca="1" ref="I1160" ca="1">COLUMN(INDIRECT(A1160))</f>
        <v>11</v>
      </c>
      <c r="M1160" t="str" cm="1">
        <f t="array" aca="1" ref="M1160" ca="1">IF(AND(J1160="O",ISBLANK(INDIRECT(A1160))),"Valeur obligatoire non renseignée","")</f>
        <v/>
      </c>
    </row>
    <row r="1161" spans="1:13" x14ac:dyDescent="0.25">
      <c r="A1161" s="91" t="s">
        <v>4170</v>
      </c>
      <c r="B1161" cm="1">
        <f t="array" aca="1" ref="B1161" ca="1">INDIRECT(A1161)</f>
        <v>0</v>
      </c>
      <c r="C1161">
        <f t="shared" ca="1" si="72"/>
        <v>5</v>
      </c>
      <c r="D1161" t="str" cm="1">
        <f t="array" aca="1" ref="D1161" ca="1">CELL("nomfichier",INDIRECT(A1161))</f>
        <v>G:\SCPE\sdc\bq\6 - Mentions valorisantes\Certification environnementale\TEXTES_REGLEMENTATION_CE\Plans_contrôle et grilles\Grille audit niveau 3\Grille d'audit v1.11\[grille-audit-hvev4-v1.11-vf.xlsx]Surfaces_Horti</v>
      </c>
      <c r="E1161">
        <f t="shared" ca="1" si="73"/>
        <v>200</v>
      </c>
      <c r="F1161">
        <f t="shared" ca="1" si="74"/>
        <v>214</v>
      </c>
      <c r="G1161" t="str">
        <f t="shared" ca="1" si="75"/>
        <v>Surfaces_Horti</v>
      </c>
      <c r="H1161" cm="1">
        <f t="array" aca="1" ref="H1161" ca="1">ROW(INDIRECT(A1161))</f>
        <v>99</v>
      </c>
      <c r="I1161" cm="1">
        <f t="array" aca="1" ref="I1161" ca="1">COLUMN(INDIRECT(A1161))</f>
        <v>12</v>
      </c>
      <c r="M1161" t="str" cm="1">
        <f t="array" aca="1" ref="M1161" ca="1">IF(AND(J1161="O",ISBLANK(INDIRECT(A1161))),"Valeur obligatoire non renseignée","")</f>
        <v/>
      </c>
    </row>
    <row r="1162" spans="1:13" x14ac:dyDescent="0.25">
      <c r="A1162" s="91" t="s">
        <v>4197</v>
      </c>
      <c r="B1162" cm="1">
        <f t="array" aca="1" ref="B1162" ca="1">INDIRECT(A1162)</f>
        <v>0</v>
      </c>
      <c r="C1162">
        <f t="shared" ca="1" si="72"/>
        <v>5</v>
      </c>
      <c r="D1162" t="str" cm="1">
        <f t="array" aca="1" ref="D1162" ca="1">CELL("nomfichier",INDIRECT(A1162))</f>
        <v>G:\SCPE\sdc\bq\6 - Mentions valorisantes\Certification environnementale\TEXTES_REGLEMENTATION_CE\Plans_contrôle et grilles\Grille audit niveau 3\Grille d'audit v1.11\[grille-audit-hvev4-v1.11-vf.xlsx]Surfaces_Horti</v>
      </c>
      <c r="E1162">
        <f t="shared" ca="1" si="73"/>
        <v>200</v>
      </c>
      <c r="F1162">
        <f t="shared" ca="1" si="74"/>
        <v>214</v>
      </c>
      <c r="G1162" t="str">
        <f t="shared" ca="1" si="75"/>
        <v>Surfaces_Horti</v>
      </c>
      <c r="H1162" cm="1">
        <f t="array" aca="1" ref="H1162" ca="1">ROW(INDIRECT(A1162))</f>
        <v>99</v>
      </c>
      <c r="I1162" cm="1">
        <f t="array" aca="1" ref="I1162" ca="1">COLUMN(INDIRECT(A1162))</f>
        <v>13</v>
      </c>
      <c r="M1162" t="str" cm="1">
        <f t="array" aca="1" ref="M1162" ca="1">IF(AND(J1162="O",ISBLANK(INDIRECT(A1162))),"Valeur obligatoire non renseignée","")</f>
        <v/>
      </c>
    </row>
    <row r="1163" spans="1:13" x14ac:dyDescent="0.25">
      <c r="A1163" s="91" t="s">
        <v>4224</v>
      </c>
      <c r="B1163" cm="1">
        <f t="array" aca="1" ref="B1163" ca="1">INDIRECT(A1163)</f>
        <v>0</v>
      </c>
      <c r="C1163">
        <f t="shared" ca="1" si="72"/>
        <v>5</v>
      </c>
      <c r="D1163" t="str" cm="1">
        <f t="array" aca="1" ref="D1163" ca="1">CELL("nomfichier",INDIRECT(A1163))</f>
        <v>G:\SCPE\sdc\bq\6 - Mentions valorisantes\Certification environnementale\TEXTES_REGLEMENTATION_CE\Plans_contrôle et grilles\Grille audit niveau 3\Grille d'audit v1.11\[grille-audit-hvev4-v1.11-vf.xlsx]Surfaces_Horti</v>
      </c>
      <c r="E1163">
        <f t="shared" ca="1" si="73"/>
        <v>200</v>
      </c>
      <c r="F1163">
        <f t="shared" ca="1" si="74"/>
        <v>214</v>
      </c>
      <c r="G1163" t="str">
        <f t="shared" ca="1" si="75"/>
        <v>Surfaces_Horti</v>
      </c>
      <c r="H1163" cm="1">
        <f t="array" aca="1" ref="H1163" ca="1">ROW(INDIRECT(A1163))</f>
        <v>99</v>
      </c>
      <c r="I1163" cm="1">
        <f t="array" aca="1" ref="I1163" ca="1">COLUMN(INDIRECT(A1163))</f>
        <v>14</v>
      </c>
      <c r="M1163" t="str" cm="1">
        <f t="array" aca="1" ref="M1163" ca="1">IF(AND(J1163="O",ISBLANK(INDIRECT(A1163))),"Valeur obligatoire non renseignée","")</f>
        <v/>
      </c>
    </row>
    <row r="1164" spans="1:13" x14ac:dyDescent="0.25">
      <c r="A1164" s="91" t="s">
        <v>3901</v>
      </c>
      <c r="B1164" cm="1">
        <f t="array" aca="1" ref="B1164" ca="1">INDIRECT(A1164)</f>
        <v>0</v>
      </c>
      <c r="C1164">
        <f t="shared" ca="1" si="72"/>
        <v>5</v>
      </c>
      <c r="D1164" t="str" cm="1">
        <f t="array" aca="1" ref="D1164" ca="1">CELL("nomfichier",INDIRECT(A1164))</f>
        <v>G:\SCPE\sdc\bq\6 - Mentions valorisantes\Certification environnementale\TEXTES_REGLEMENTATION_CE\Plans_contrôle et grilles\Grille audit niveau 3\Grille d'audit v1.11\[grille-audit-hvev4-v1.11-vf.xlsx]Surfaces_Horti</v>
      </c>
      <c r="E1164">
        <f t="shared" ca="1" si="73"/>
        <v>200</v>
      </c>
      <c r="F1164">
        <f t="shared" ca="1" si="74"/>
        <v>214</v>
      </c>
      <c r="G1164" t="str">
        <f t="shared" ca="1" si="75"/>
        <v>Surfaces_Horti</v>
      </c>
      <c r="H1164" cm="1">
        <f t="array" aca="1" ref="H1164" ca="1">ROW(INDIRECT(A1164))</f>
        <v>100</v>
      </c>
      <c r="I1164" cm="1">
        <f t="array" aca="1" ref="I1164" ca="1">COLUMN(INDIRECT(A1164))</f>
        <v>2</v>
      </c>
      <c r="M1164" t="str" cm="1">
        <f t="array" aca="1" ref="M1164" ca="1">IF(AND(J1164="O",ISBLANK(INDIRECT(A1164))),"Valeur obligatoire non renseignée","")</f>
        <v/>
      </c>
    </row>
    <row r="1165" spans="1:13" x14ac:dyDescent="0.25">
      <c r="A1165" s="91" t="s">
        <v>3928</v>
      </c>
      <c r="B1165" cm="1">
        <f t="array" aca="1" ref="B1165" ca="1">INDIRECT(A1165)</f>
        <v>0</v>
      </c>
      <c r="C1165">
        <f t="shared" ca="1" si="72"/>
        <v>5</v>
      </c>
      <c r="D1165" t="str" cm="1">
        <f t="array" aca="1" ref="D1165" ca="1">CELL("nomfichier",INDIRECT(A1165))</f>
        <v>G:\SCPE\sdc\bq\6 - Mentions valorisantes\Certification environnementale\TEXTES_REGLEMENTATION_CE\Plans_contrôle et grilles\Grille audit niveau 3\Grille d'audit v1.11\[grille-audit-hvev4-v1.11-vf.xlsx]Surfaces_Horti</v>
      </c>
      <c r="E1165">
        <f t="shared" ca="1" si="73"/>
        <v>200</v>
      </c>
      <c r="F1165">
        <f t="shared" ca="1" si="74"/>
        <v>214</v>
      </c>
      <c r="G1165" t="str">
        <f t="shared" ca="1" si="75"/>
        <v>Surfaces_Horti</v>
      </c>
      <c r="H1165" cm="1">
        <f t="array" aca="1" ref="H1165" ca="1">ROW(INDIRECT(A1165))</f>
        <v>100</v>
      </c>
      <c r="I1165" cm="1">
        <f t="array" aca="1" ref="I1165" ca="1">COLUMN(INDIRECT(A1165))</f>
        <v>3</v>
      </c>
      <c r="M1165" t="str" cm="1">
        <f t="array" aca="1" ref="M1165" ca="1">IF(AND(J1165="O",ISBLANK(INDIRECT(A1165))),"Valeur obligatoire non renseignée","")</f>
        <v/>
      </c>
    </row>
    <row r="1166" spans="1:13" x14ac:dyDescent="0.25">
      <c r="A1166" s="91" t="s">
        <v>3955</v>
      </c>
      <c r="B1166" cm="1">
        <f t="array" aca="1" ref="B1166" ca="1">INDIRECT(A1166)</f>
        <v>0</v>
      </c>
      <c r="C1166">
        <f t="shared" ca="1" si="72"/>
        <v>5</v>
      </c>
      <c r="D1166" t="str" cm="1">
        <f t="array" aca="1" ref="D1166" ca="1">CELL("nomfichier",INDIRECT(A1166))</f>
        <v>G:\SCPE\sdc\bq\6 - Mentions valorisantes\Certification environnementale\TEXTES_REGLEMENTATION_CE\Plans_contrôle et grilles\Grille audit niveau 3\Grille d'audit v1.11\[grille-audit-hvev4-v1.11-vf.xlsx]Surfaces_Horti</v>
      </c>
      <c r="E1166">
        <f t="shared" ca="1" si="73"/>
        <v>200</v>
      </c>
      <c r="F1166">
        <f t="shared" ca="1" si="74"/>
        <v>214</v>
      </c>
      <c r="G1166" t="str">
        <f t="shared" ca="1" si="75"/>
        <v>Surfaces_Horti</v>
      </c>
      <c r="H1166" cm="1">
        <f t="array" aca="1" ref="H1166" ca="1">ROW(INDIRECT(A1166))</f>
        <v>100</v>
      </c>
      <c r="I1166" cm="1">
        <f t="array" aca="1" ref="I1166" ca="1">COLUMN(INDIRECT(A1166))</f>
        <v>4</v>
      </c>
      <c r="M1166" t="str" cm="1">
        <f t="array" aca="1" ref="M1166" ca="1">IF(AND(J1166="O",ISBLANK(INDIRECT(A1166))),"Valeur obligatoire non renseignée","")</f>
        <v/>
      </c>
    </row>
    <row r="1167" spans="1:13" x14ac:dyDescent="0.25">
      <c r="A1167" s="91" t="s">
        <v>3982</v>
      </c>
      <c r="B1167" cm="1">
        <f t="array" aca="1" ref="B1167" ca="1">INDIRECT(A1167)</f>
        <v>0</v>
      </c>
      <c r="C1167">
        <f t="shared" ca="1" si="72"/>
        <v>5</v>
      </c>
      <c r="D1167" t="str" cm="1">
        <f t="array" aca="1" ref="D1167" ca="1">CELL("nomfichier",INDIRECT(A1167))</f>
        <v>G:\SCPE\sdc\bq\6 - Mentions valorisantes\Certification environnementale\TEXTES_REGLEMENTATION_CE\Plans_contrôle et grilles\Grille audit niveau 3\Grille d'audit v1.11\[grille-audit-hvev4-v1.11-vf.xlsx]Surfaces_Horti</v>
      </c>
      <c r="E1167">
        <f t="shared" ca="1" si="73"/>
        <v>200</v>
      </c>
      <c r="F1167">
        <f t="shared" ca="1" si="74"/>
        <v>214</v>
      </c>
      <c r="G1167" t="str">
        <f t="shared" ca="1" si="75"/>
        <v>Surfaces_Horti</v>
      </c>
      <c r="H1167" cm="1">
        <f t="array" aca="1" ref="H1167" ca="1">ROW(INDIRECT(A1167))</f>
        <v>100</v>
      </c>
      <c r="I1167" cm="1">
        <f t="array" aca="1" ref="I1167" ca="1">COLUMN(INDIRECT(A1167))</f>
        <v>5</v>
      </c>
      <c r="M1167" t="str" cm="1">
        <f t="array" aca="1" ref="M1167" ca="1">IF(AND(J1167="O",ISBLANK(INDIRECT(A1167))),"Valeur obligatoire non renseignée","")</f>
        <v/>
      </c>
    </row>
    <row r="1168" spans="1:13" x14ac:dyDescent="0.25">
      <c r="A1168" s="91" t="s">
        <v>4009</v>
      </c>
      <c r="B1168" cm="1">
        <f t="array" aca="1" ref="B1168" ca="1">INDIRECT(A1168)</f>
        <v>0</v>
      </c>
      <c r="C1168">
        <f t="shared" ca="1" si="72"/>
        <v>5</v>
      </c>
      <c r="D1168" t="str" cm="1">
        <f t="array" aca="1" ref="D1168" ca="1">CELL("nomfichier",INDIRECT(A1168))</f>
        <v>G:\SCPE\sdc\bq\6 - Mentions valorisantes\Certification environnementale\TEXTES_REGLEMENTATION_CE\Plans_contrôle et grilles\Grille audit niveau 3\Grille d'audit v1.11\[grille-audit-hvev4-v1.11-vf.xlsx]Surfaces_Horti</v>
      </c>
      <c r="E1168">
        <f t="shared" ca="1" si="73"/>
        <v>200</v>
      </c>
      <c r="F1168">
        <f t="shared" ca="1" si="74"/>
        <v>214</v>
      </c>
      <c r="G1168" t="str">
        <f t="shared" ca="1" si="75"/>
        <v>Surfaces_Horti</v>
      </c>
      <c r="H1168" cm="1">
        <f t="array" aca="1" ref="H1168" ca="1">ROW(INDIRECT(A1168))</f>
        <v>100</v>
      </c>
      <c r="I1168" cm="1">
        <f t="array" aca="1" ref="I1168" ca="1">COLUMN(INDIRECT(A1168))</f>
        <v>6</v>
      </c>
      <c r="M1168" t="str" cm="1">
        <f t="array" aca="1" ref="M1168" ca="1">IF(AND(J1168="O",ISBLANK(INDIRECT(A1168))),"Valeur obligatoire non renseignée","")</f>
        <v/>
      </c>
    </row>
    <row r="1169" spans="1:13" x14ac:dyDescent="0.25">
      <c r="A1169" s="91" t="s">
        <v>4036</v>
      </c>
      <c r="B1169" cm="1">
        <f t="array" aca="1" ref="B1169" ca="1">INDIRECT(A1169)</f>
        <v>0</v>
      </c>
      <c r="C1169">
        <f t="shared" ca="1" si="72"/>
        <v>5</v>
      </c>
      <c r="D1169" t="str" cm="1">
        <f t="array" aca="1" ref="D1169" ca="1">CELL("nomfichier",INDIRECT(A1169))</f>
        <v>G:\SCPE\sdc\bq\6 - Mentions valorisantes\Certification environnementale\TEXTES_REGLEMENTATION_CE\Plans_contrôle et grilles\Grille audit niveau 3\Grille d'audit v1.11\[grille-audit-hvev4-v1.11-vf.xlsx]Surfaces_Horti</v>
      </c>
      <c r="E1169">
        <f t="shared" ca="1" si="73"/>
        <v>200</v>
      </c>
      <c r="F1169">
        <f t="shared" ca="1" si="74"/>
        <v>214</v>
      </c>
      <c r="G1169" t="str">
        <f t="shared" ca="1" si="75"/>
        <v>Surfaces_Horti</v>
      </c>
      <c r="H1169" cm="1">
        <f t="array" aca="1" ref="H1169" ca="1">ROW(INDIRECT(A1169))</f>
        <v>100</v>
      </c>
      <c r="I1169" cm="1">
        <f t="array" aca="1" ref="I1169" ca="1">COLUMN(INDIRECT(A1169))</f>
        <v>7</v>
      </c>
      <c r="M1169" t="str" cm="1">
        <f t="array" aca="1" ref="M1169" ca="1">IF(AND(J1169="O",ISBLANK(INDIRECT(A1169))),"Valeur obligatoire non renseignée","")</f>
        <v/>
      </c>
    </row>
    <row r="1170" spans="1:13" x14ac:dyDescent="0.25">
      <c r="A1170" s="91" t="s">
        <v>4063</v>
      </c>
      <c r="B1170" cm="1">
        <f t="array" aca="1" ref="B1170" ca="1">INDIRECT(A1170)</f>
        <v>0</v>
      </c>
      <c r="C1170">
        <f t="shared" ca="1" si="72"/>
        <v>5</v>
      </c>
      <c r="D1170" t="str" cm="1">
        <f t="array" aca="1" ref="D1170" ca="1">CELL("nomfichier",INDIRECT(A1170))</f>
        <v>G:\SCPE\sdc\bq\6 - Mentions valorisantes\Certification environnementale\TEXTES_REGLEMENTATION_CE\Plans_contrôle et grilles\Grille audit niveau 3\Grille d'audit v1.11\[grille-audit-hvev4-v1.11-vf.xlsx]Surfaces_Horti</v>
      </c>
      <c r="E1170">
        <f t="shared" ca="1" si="73"/>
        <v>200</v>
      </c>
      <c r="F1170">
        <f t="shared" ca="1" si="74"/>
        <v>214</v>
      </c>
      <c r="G1170" t="str">
        <f t="shared" ca="1" si="75"/>
        <v>Surfaces_Horti</v>
      </c>
      <c r="H1170" cm="1">
        <f t="array" aca="1" ref="H1170" ca="1">ROW(INDIRECT(A1170))</f>
        <v>100</v>
      </c>
      <c r="I1170" cm="1">
        <f t="array" aca="1" ref="I1170" ca="1">COLUMN(INDIRECT(A1170))</f>
        <v>8</v>
      </c>
      <c r="M1170" t="str" cm="1">
        <f t="array" aca="1" ref="M1170" ca="1">IF(AND(J1170="O",ISBLANK(INDIRECT(A1170))),"Valeur obligatoire non renseignée","")</f>
        <v/>
      </c>
    </row>
    <row r="1171" spans="1:13" x14ac:dyDescent="0.25">
      <c r="A1171" s="91" t="s">
        <v>4090</v>
      </c>
      <c r="B1171" cm="1">
        <f t="array" aca="1" ref="B1171" ca="1">INDIRECT(A1171)</f>
        <v>0</v>
      </c>
      <c r="C1171">
        <f t="shared" ca="1" si="72"/>
        <v>5</v>
      </c>
      <c r="D1171" t="str" cm="1">
        <f t="array" aca="1" ref="D1171" ca="1">CELL("nomfichier",INDIRECT(A1171))</f>
        <v>G:\SCPE\sdc\bq\6 - Mentions valorisantes\Certification environnementale\TEXTES_REGLEMENTATION_CE\Plans_contrôle et grilles\Grille audit niveau 3\Grille d'audit v1.11\[grille-audit-hvev4-v1.11-vf.xlsx]Surfaces_Horti</v>
      </c>
      <c r="E1171">
        <f t="shared" ca="1" si="73"/>
        <v>200</v>
      </c>
      <c r="F1171">
        <f t="shared" ca="1" si="74"/>
        <v>214</v>
      </c>
      <c r="G1171" t="str">
        <f t="shared" ca="1" si="75"/>
        <v>Surfaces_Horti</v>
      </c>
      <c r="H1171" cm="1">
        <f t="array" aca="1" ref="H1171" ca="1">ROW(INDIRECT(A1171))</f>
        <v>100</v>
      </c>
      <c r="I1171" cm="1">
        <f t="array" aca="1" ref="I1171" ca="1">COLUMN(INDIRECT(A1171))</f>
        <v>9</v>
      </c>
      <c r="M1171" t="str" cm="1">
        <f t="array" aca="1" ref="M1171" ca="1">IF(AND(J1171="O",ISBLANK(INDIRECT(A1171))),"Valeur obligatoire non renseignée","")</f>
        <v/>
      </c>
    </row>
    <row r="1172" spans="1:13" x14ac:dyDescent="0.25">
      <c r="A1172" s="91" t="s">
        <v>4117</v>
      </c>
      <c r="B1172" cm="1">
        <f t="array" aca="1" ref="B1172" ca="1">INDIRECT(A1172)</f>
        <v>0</v>
      </c>
      <c r="C1172">
        <f t="shared" ca="1" si="72"/>
        <v>5</v>
      </c>
      <c r="D1172" t="str" cm="1">
        <f t="array" aca="1" ref="D1172" ca="1">CELL("nomfichier",INDIRECT(A1172))</f>
        <v>G:\SCPE\sdc\bq\6 - Mentions valorisantes\Certification environnementale\TEXTES_REGLEMENTATION_CE\Plans_contrôle et grilles\Grille audit niveau 3\Grille d'audit v1.11\[grille-audit-hvev4-v1.11-vf.xlsx]Surfaces_Horti</v>
      </c>
      <c r="E1172">
        <f t="shared" ca="1" si="73"/>
        <v>200</v>
      </c>
      <c r="F1172">
        <f t="shared" ca="1" si="74"/>
        <v>214</v>
      </c>
      <c r="G1172" t="str">
        <f t="shared" ca="1" si="75"/>
        <v>Surfaces_Horti</v>
      </c>
      <c r="H1172" cm="1">
        <f t="array" aca="1" ref="H1172" ca="1">ROW(INDIRECT(A1172))</f>
        <v>100</v>
      </c>
      <c r="I1172" cm="1">
        <f t="array" aca="1" ref="I1172" ca="1">COLUMN(INDIRECT(A1172))</f>
        <v>10</v>
      </c>
      <c r="M1172" t="str" cm="1">
        <f t="array" aca="1" ref="M1172" ca="1">IF(AND(J1172="O",ISBLANK(INDIRECT(A1172))),"Valeur obligatoire non renseignée","")</f>
        <v/>
      </c>
    </row>
    <row r="1173" spans="1:13" x14ac:dyDescent="0.25">
      <c r="A1173" s="91" t="s">
        <v>4144</v>
      </c>
      <c r="B1173" cm="1">
        <f t="array" aca="1" ref="B1173" ca="1">INDIRECT(A1173)</f>
        <v>0</v>
      </c>
      <c r="C1173">
        <f t="shared" ca="1" si="72"/>
        <v>5</v>
      </c>
      <c r="D1173" t="str" cm="1">
        <f t="array" aca="1" ref="D1173" ca="1">CELL("nomfichier",INDIRECT(A1173))</f>
        <v>G:\SCPE\sdc\bq\6 - Mentions valorisantes\Certification environnementale\TEXTES_REGLEMENTATION_CE\Plans_contrôle et grilles\Grille audit niveau 3\Grille d'audit v1.11\[grille-audit-hvev4-v1.11-vf.xlsx]Surfaces_Horti</v>
      </c>
      <c r="E1173">
        <f t="shared" ca="1" si="73"/>
        <v>200</v>
      </c>
      <c r="F1173">
        <f t="shared" ca="1" si="74"/>
        <v>214</v>
      </c>
      <c r="G1173" t="str">
        <f t="shared" ca="1" si="75"/>
        <v>Surfaces_Horti</v>
      </c>
      <c r="H1173" cm="1">
        <f t="array" aca="1" ref="H1173" ca="1">ROW(INDIRECT(A1173))</f>
        <v>100</v>
      </c>
      <c r="I1173" cm="1">
        <f t="array" aca="1" ref="I1173" ca="1">COLUMN(INDIRECT(A1173))</f>
        <v>11</v>
      </c>
      <c r="M1173" t="str" cm="1">
        <f t="array" aca="1" ref="M1173" ca="1">IF(AND(J1173="O",ISBLANK(INDIRECT(A1173))),"Valeur obligatoire non renseignée","")</f>
        <v/>
      </c>
    </row>
    <row r="1174" spans="1:13" x14ac:dyDescent="0.25">
      <c r="A1174" s="91" t="s">
        <v>4171</v>
      </c>
      <c r="B1174" cm="1">
        <f t="array" aca="1" ref="B1174" ca="1">INDIRECT(A1174)</f>
        <v>0</v>
      </c>
      <c r="C1174">
        <f t="shared" ca="1" si="72"/>
        <v>5</v>
      </c>
      <c r="D1174" t="str" cm="1">
        <f t="array" aca="1" ref="D1174" ca="1">CELL("nomfichier",INDIRECT(A1174))</f>
        <v>G:\SCPE\sdc\bq\6 - Mentions valorisantes\Certification environnementale\TEXTES_REGLEMENTATION_CE\Plans_contrôle et grilles\Grille audit niveau 3\Grille d'audit v1.11\[grille-audit-hvev4-v1.11-vf.xlsx]Surfaces_Horti</v>
      </c>
      <c r="E1174">
        <f t="shared" ca="1" si="73"/>
        <v>200</v>
      </c>
      <c r="F1174">
        <f t="shared" ca="1" si="74"/>
        <v>214</v>
      </c>
      <c r="G1174" t="str">
        <f t="shared" ca="1" si="75"/>
        <v>Surfaces_Horti</v>
      </c>
      <c r="H1174" cm="1">
        <f t="array" aca="1" ref="H1174" ca="1">ROW(INDIRECT(A1174))</f>
        <v>100</v>
      </c>
      <c r="I1174" cm="1">
        <f t="array" aca="1" ref="I1174" ca="1">COLUMN(INDIRECT(A1174))</f>
        <v>12</v>
      </c>
      <c r="M1174" t="str" cm="1">
        <f t="array" aca="1" ref="M1174" ca="1">IF(AND(J1174="O",ISBLANK(INDIRECT(A1174))),"Valeur obligatoire non renseignée","")</f>
        <v/>
      </c>
    </row>
    <row r="1175" spans="1:13" x14ac:dyDescent="0.25">
      <c r="A1175" s="91" t="s">
        <v>4198</v>
      </c>
      <c r="B1175" cm="1">
        <f t="array" aca="1" ref="B1175" ca="1">INDIRECT(A1175)</f>
        <v>0</v>
      </c>
      <c r="C1175">
        <f t="shared" ca="1" si="72"/>
        <v>5</v>
      </c>
      <c r="D1175" t="str" cm="1">
        <f t="array" aca="1" ref="D1175" ca="1">CELL("nomfichier",INDIRECT(A1175))</f>
        <v>G:\SCPE\sdc\bq\6 - Mentions valorisantes\Certification environnementale\TEXTES_REGLEMENTATION_CE\Plans_contrôle et grilles\Grille audit niveau 3\Grille d'audit v1.11\[grille-audit-hvev4-v1.11-vf.xlsx]Surfaces_Horti</v>
      </c>
      <c r="E1175">
        <f t="shared" ca="1" si="73"/>
        <v>200</v>
      </c>
      <c r="F1175">
        <f t="shared" ca="1" si="74"/>
        <v>214</v>
      </c>
      <c r="G1175" t="str">
        <f t="shared" ca="1" si="75"/>
        <v>Surfaces_Horti</v>
      </c>
      <c r="H1175" cm="1">
        <f t="array" aca="1" ref="H1175" ca="1">ROW(INDIRECT(A1175))</f>
        <v>100</v>
      </c>
      <c r="I1175" cm="1">
        <f t="array" aca="1" ref="I1175" ca="1">COLUMN(INDIRECT(A1175))</f>
        <v>13</v>
      </c>
      <c r="M1175" t="str" cm="1">
        <f t="array" aca="1" ref="M1175" ca="1">IF(AND(J1175="O",ISBLANK(INDIRECT(A1175))),"Valeur obligatoire non renseignée","")</f>
        <v/>
      </c>
    </row>
    <row r="1176" spans="1:13" x14ac:dyDescent="0.25">
      <c r="A1176" s="91" t="s">
        <v>4225</v>
      </c>
      <c r="B1176" cm="1">
        <f t="array" aca="1" ref="B1176" ca="1">INDIRECT(A1176)</f>
        <v>0</v>
      </c>
      <c r="C1176">
        <f t="shared" ca="1" si="72"/>
        <v>5</v>
      </c>
      <c r="D1176" t="str" cm="1">
        <f t="array" aca="1" ref="D1176" ca="1">CELL("nomfichier",INDIRECT(A1176))</f>
        <v>G:\SCPE\sdc\bq\6 - Mentions valorisantes\Certification environnementale\TEXTES_REGLEMENTATION_CE\Plans_contrôle et grilles\Grille audit niveau 3\Grille d'audit v1.11\[grille-audit-hvev4-v1.11-vf.xlsx]Surfaces_Horti</v>
      </c>
      <c r="E1176">
        <f t="shared" ca="1" si="73"/>
        <v>200</v>
      </c>
      <c r="F1176">
        <f t="shared" ca="1" si="74"/>
        <v>214</v>
      </c>
      <c r="G1176" t="str">
        <f t="shared" ca="1" si="75"/>
        <v>Surfaces_Horti</v>
      </c>
      <c r="H1176" cm="1">
        <f t="array" aca="1" ref="H1176" ca="1">ROW(INDIRECT(A1176))</f>
        <v>100</v>
      </c>
      <c r="I1176" cm="1">
        <f t="array" aca="1" ref="I1176" ca="1">COLUMN(INDIRECT(A1176))</f>
        <v>14</v>
      </c>
      <c r="M1176" t="str" cm="1">
        <f t="array" aca="1" ref="M1176" ca="1">IF(AND(J1176="O",ISBLANK(INDIRECT(A1176))),"Valeur obligatoire non renseignée","")</f>
        <v/>
      </c>
    </row>
    <row r="1177" spans="1:13" x14ac:dyDescent="0.25">
      <c r="A1177" s="91" t="s">
        <v>3902</v>
      </c>
      <c r="B1177" cm="1">
        <f t="array" aca="1" ref="B1177" ca="1">INDIRECT(A1177)</f>
        <v>0</v>
      </c>
      <c r="C1177">
        <f t="shared" ca="1" si="72"/>
        <v>5</v>
      </c>
      <c r="D1177" t="str" cm="1">
        <f t="array" aca="1" ref="D1177" ca="1">CELL("nomfichier",INDIRECT(A1177))</f>
        <v>G:\SCPE\sdc\bq\6 - Mentions valorisantes\Certification environnementale\TEXTES_REGLEMENTATION_CE\Plans_contrôle et grilles\Grille audit niveau 3\Grille d'audit v1.11\[grille-audit-hvev4-v1.11-vf.xlsx]Surfaces_Horti</v>
      </c>
      <c r="E1177">
        <f t="shared" ca="1" si="73"/>
        <v>200</v>
      </c>
      <c r="F1177">
        <f t="shared" ca="1" si="74"/>
        <v>214</v>
      </c>
      <c r="G1177" t="str">
        <f t="shared" ca="1" si="75"/>
        <v>Surfaces_Horti</v>
      </c>
      <c r="H1177" cm="1">
        <f t="array" aca="1" ref="H1177" ca="1">ROW(INDIRECT(A1177))</f>
        <v>101</v>
      </c>
      <c r="I1177" cm="1">
        <f t="array" aca="1" ref="I1177" ca="1">COLUMN(INDIRECT(A1177))</f>
        <v>2</v>
      </c>
      <c r="M1177" t="str" cm="1">
        <f t="array" aca="1" ref="M1177" ca="1">IF(AND(J1177="O",ISBLANK(INDIRECT(A1177))),"Valeur obligatoire non renseignée","")</f>
        <v/>
      </c>
    </row>
    <row r="1178" spans="1:13" x14ac:dyDescent="0.25">
      <c r="A1178" s="91" t="s">
        <v>3929</v>
      </c>
      <c r="B1178" cm="1">
        <f t="array" aca="1" ref="B1178" ca="1">INDIRECT(A1178)</f>
        <v>0</v>
      </c>
      <c r="C1178">
        <f t="shared" ca="1" si="72"/>
        <v>5</v>
      </c>
      <c r="D1178" t="str" cm="1">
        <f t="array" aca="1" ref="D1178" ca="1">CELL("nomfichier",INDIRECT(A1178))</f>
        <v>G:\SCPE\sdc\bq\6 - Mentions valorisantes\Certification environnementale\TEXTES_REGLEMENTATION_CE\Plans_contrôle et grilles\Grille audit niveau 3\Grille d'audit v1.11\[grille-audit-hvev4-v1.11-vf.xlsx]Surfaces_Horti</v>
      </c>
      <c r="E1178">
        <f t="shared" ca="1" si="73"/>
        <v>200</v>
      </c>
      <c r="F1178">
        <f t="shared" ca="1" si="74"/>
        <v>214</v>
      </c>
      <c r="G1178" t="str">
        <f t="shared" ca="1" si="75"/>
        <v>Surfaces_Horti</v>
      </c>
      <c r="H1178" cm="1">
        <f t="array" aca="1" ref="H1178" ca="1">ROW(INDIRECT(A1178))</f>
        <v>101</v>
      </c>
      <c r="I1178" cm="1">
        <f t="array" aca="1" ref="I1178" ca="1">COLUMN(INDIRECT(A1178))</f>
        <v>3</v>
      </c>
      <c r="M1178" t="str" cm="1">
        <f t="array" aca="1" ref="M1178" ca="1">IF(AND(J1178="O",ISBLANK(INDIRECT(A1178))),"Valeur obligatoire non renseignée","")</f>
        <v/>
      </c>
    </row>
    <row r="1179" spans="1:13" x14ac:dyDescent="0.25">
      <c r="A1179" s="91" t="s">
        <v>3956</v>
      </c>
      <c r="B1179" cm="1">
        <f t="array" aca="1" ref="B1179" ca="1">INDIRECT(A1179)</f>
        <v>0</v>
      </c>
      <c r="C1179">
        <f t="shared" ca="1" si="72"/>
        <v>5</v>
      </c>
      <c r="D1179" t="str" cm="1">
        <f t="array" aca="1" ref="D1179" ca="1">CELL("nomfichier",INDIRECT(A1179))</f>
        <v>G:\SCPE\sdc\bq\6 - Mentions valorisantes\Certification environnementale\TEXTES_REGLEMENTATION_CE\Plans_contrôle et grilles\Grille audit niveau 3\Grille d'audit v1.11\[grille-audit-hvev4-v1.11-vf.xlsx]Surfaces_Horti</v>
      </c>
      <c r="E1179">
        <f t="shared" ca="1" si="73"/>
        <v>200</v>
      </c>
      <c r="F1179">
        <f t="shared" ca="1" si="74"/>
        <v>214</v>
      </c>
      <c r="G1179" t="str">
        <f t="shared" ca="1" si="75"/>
        <v>Surfaces_Horti</v>
      </c>
      <c r="H1179" cm="1">
        <f t="array" aca="1" ref="H1179" ca="1">ROW(INDIRECT(A1179))</f>
        <v>101</v>
      </c>
      <c r="I1179" cm="1">
        <f t="array" aca="1" ref="I1179" ca="1">COLUMN(INDIRECT(A1179))</f>
        <v>4</v>
      </c>
      <c r="M1179" t="str" cm="1">
        <f t="array" aca="1" ref="M1179" ca="1">IF(AND(J1179="O",ISBLANK(INDIRECT(A1179))),"Valeur obligatoire non renseignée","")</f>
        <v/>
      </c>
    </row>
    <row r="1180" spans="1:13" x14ac:dyDescent="0.25">
      <c r="A1180" s="91" t="s">
        <v>3983</v>
      </c>
      <c r="B1180" cm="1">
        <f t="array" aca="1" ref="B1180" ca="1">INDIRECT(A1180)</f>
        <v>0</v>
      </c>
      <c r="C1180">
        <f t="shared" ca="1" si="72"/>
        <v>5</v>
      </c>
      <c r="D1180" t="str" cm="1">
        <f t="array" aca="1" ref="D1180" ca="1">CELL("nomfichier",INDIRECT(A1180))</f>
        <v>G:\SCPE\sdc\bq\6 - Mentions valorisantes\Certification environnementale\TEXTES_REGLEMENTATION_CE\Plans_contrôle et grilles\Grille audit niveau 3\Grille d'audit v1.11\[grille-audit-hvev4-v1.11-vf.xlsx]Surfaces_Horti</v>
      </c>
      <c r="E1180">
        <f t="shared" ca="1" si="73"/>
        <v>200</v>
      </c>
      <c r="F1180">
        <f t="shared" ca="1" si="74"/>
        <v>214</v>
      </c>
      <c r="G1180" t="str">
        <f t="shared" ca="1" si="75"/>
        <v>Surfaces_Horti</v>
      </c>
      <c r="H1180" cm="1">
        <f t="array" aca="1" ref="H1180" ca="1">ROW(INDIRECT(A1180))</f>
        <v>101</v>
      </c>
      <c r="I1180" cm="1">
        <f t="array" aca="1" ref="I1180" ca="1">COLUMN(INDIRECT(A1180))</f>
        <v>5</v>
      </c>
      <c r="M1180" t="str" cm="1">
        <f t="array" aca="1" ref="M1180" ca="1">IF(AND(J1180="O",ISBLANK(INDIRECT(A1180))),"Valeur obligatoire non renseignée","")</f>
        <v/>
      </c>
    </row>
    <row r="1181" spans="1:13" x14ac:dyDescent="0.25">
      <c r="A1181" s="91" t="s">
        <v>4010</v>
      </c>
      <c r="B1181" cm="1">
        <f t="array" aca="1" ref="B1181" ca="1">INDIRECT(A1181)</f>
        <v>0</v>
      </c>
      <c r="C1181">
        <f t="shared" ca="1" si="72"/>
        <v>5</v>
      </c>
      <c r="D1181" t="str" cm="1">
        <f t="array" aca="1" ref="D1181" ca="1">CELL("nomfichier",INDIRECT(A1181))</f>
        <v>G:\SCPE\sdc\bq\6 - Mentions valorisantes\Certification environnementale\TEXTES_REGLEMENTATION_CE\Plans_contrôle et grilles\Grille audit niveau 3\Grille d'audit v1.11\[grille-audit-hvev4-v1.11-vf.xlsx]Surfaces_Horti</v>
      </c>
      <c r="E1181">
        <f t="shared" ca="1" si="73"/>
        <v>200</v>
      </c>
      <c r="F1181">
        <f t="shared" ca="1" si="74"/>
        <v>214</v>
      </c>
      <c r="G1181" t="str">
        <f t="shared" ca="1" si="75"/>
        <v>Surfaces_Horti</v>
      </c>
      <c r="H1181" cm="1">
        <f t="array" aca="1" ref="H1181" ca="1">ROW(INDIRECT(A1181))</f>
        <v>101</v>
      </c>
      <c r="I1181" cm="1">
        <f t="array" aca="1" ref="I1181" ca="1">COLUMN(INDIRECT(A1181))</f>
        <v>6</v>
      </c>
      <c r="M1181" t="str" cm="1">
        <f t="array" aca="1" ref="M1181" ca="1">IF(AND(J1181="O",ISBLANK(INDIRECT(A1181))),"Valeur obligatoire non renseignée","")</f>
        <v/>
      </c>
    </row>
    <row r="1182" spans="1:13" x14ac:dyDescent="0.25">
      <c r="A1182" s="91" t="s">
        <v>4037</v>
      </c>
      <c r="B1182" cm="1">
        <f t="array" aca="1" ref="B1182" ca="1">INDIRECT(A1182)</f>
        <v>0</v>
      </c>
      <c r="C1182">
        <f t="shared" ca="1" si="72"/>
        <v>5</v>
      </c>
      <c r="D1182" t="str" cm="1">
        <f t="array" aca="1" ref="D1182" ca="1">CELL("nomfichier",INDIRECT(A1182))</f>
        <v>G:\SCPE\sdc\bq\6 - Mentions valorisantes\Certification environnementale\TEXTES_REGLEMENTATION_CE\Plans_contrôle et grilles\Grille audit niveau 3\Grille d'audit v1.11\[grille-audit-hvev4-v1.11-vf.xlsx]Surfaces_Horti</v>
      </c>
      <c r="E1182">
        <f t="shared" ca="1" si="73"/>
        <v>200</v>
      </c>
      <c r="F1182">
        <f t="shared" ca="1" si="74"/>
        <v>214</v>
      </c>
      <c r="G1182" t="str">
        <f t="shared" ca="1" si="75"/>
        <v>Surfaces_Horti</v>
      </c>
      <c r="H1182" cm="1">
        <f t="array" aca="1" ref="H1182" ca="1">ROW(INDIRECT(A1182))</f>
        <v>101</v>
      </c>
      <c r="I1182" cm="1">
        <f t="array" aca="1" ref="I1182" ca="1">COLUMN(INDIRECT(A1182))</f>
        <v>7</v>
      </c>
      <c r="M1182" t="str" cm="1">
        <f t="array" aca="1" ref="M1182" ca="1">IF(AND(J1182="O",ISBLANK(INDIRECT(A1182))),"Valeur obligatoire non renseignée","")</f>
        <v/>
      </c>
    </row>
    <row r="1183" spans="1:13" x14ac:dyDescent="0.25">
      <c r="A1183" s="91" t="s">
        <v>4064</v>
      </c>
      <c r="B1183" cm="1">
        <f t="array" aca="1" ref="B1183" ca="1">INDIRECT(A1183)</f>
        <v>0</v>
      </c>
      <c r="C1183">
        <f t="shared" ca="1" si="72"/>
        <v>5</v>
      </c>
      <c r="D1183" t="str" cm="1">
        <f t="array" aca="1" ref="D1183" ca="1">CELL("nomfichier",INDIRECT(A1183))</f>
        <v>G:\SCPE\sdc\bq\6 - Mentions valorisantes\Certification environnementale\TEXTES_REGLEMENTATION_CE\Plans_contrôle et grilles\Grille audit niveau 3\Grille d'audit v1.11\[grille-audit-hvev4-v1.11-vf.xlsx]Surfaces_Horti</v>
      </c>
      <c r="E1183">
        <f t="shared" ca="1" si="73"/>
        <v>200</v>
      </c>
      <c r="F1183">
        <f t="shared" ca="1" si="74"/>
        <v>214</v>
      </c>
      <c r="G1183" t="str">
        <f t="shared" ca="1" si="75"/>
        <v>Surfaces_Horti</v>
      </c>
      <c r="H1183" cm="1">
        <f t="array" aca="1" ref="H1183" ca="1">ROW(INDIRECT(A1183))</f>
        <v>101</v>
      </c>
      <c r="I1183" cm="1">
        <f t="array" aca="1" ref="I1183" ca="1">COLUMN(INDIRECT(A1183))</f>
        <v>8</v>
      </c>
      <c r="M1183" t="str" cm="1">
        <f t="array" aca="1" ref="M1183" ca="1">IF(AND(J1183="O",ISBLANK(INDIRECT(A1183))),"Valeur obligatoire non renseignée","")</f>
        <v/>
      </c>
    </row>
    <row r="1184" spans="1:13" x14ac:dyDescent="0.25">
      <c r="A1184" s="91" t="s">
        <v>4091</v>
      </c>
      <c r="B1184" cm="1">
        <f t="array" aca="1" ref="B1184" ca="1">INDIRECT(A1184)</f>
        <v>0</v>
      </c>
      <c r="C1184">
        <f t="shared" ca="1" si="72"/>
        <v>5</v>
      </c>
      <c r="D1184" t="str" cm="1">
        <f t="array" aca="1" ref="D1184" ca="1">CELL("nomfichier",INDIRECT(A1184))</f>
        <v>G:\SCPE\sdc\bq\6 - Mentions valorisantes\Certification environnementale\TEXTES_REGLEMENTATION_CE\Plans_contrôle et grilles\Grille audit niveau 3\Grille d'audit v1.11\[grille-audit-hvev4-v1.11-vf.xlsx]Surfaces_Horti</v>
      </c>
      <c r="E1184">
        <f t="shared" ca="1" si="73"/>
        <v>200</v>
      </c>
      <c r="F1184">
        <f t="shared" ca="1" si="74"/>
        <v>214</v>
      </c>
      <c r="G1184" t="str">
        <f t="shared" ca="1" si="75"/>
        <v>Surfaces_Horti</v>
      </c>
      <c r="H1184" cm="1">
        <f t="array" aca="1" ref="H1184" ca="1">ROW(INDIRECT(A1184))</f>
        <v>101</v>
      </c>
      <c r="I1184" cm="1">
        <f t="array" aca="1" ref="I1184" ca="1">COLUMN(INDIRECT(A1184))</f>
        <v>9</v>
      </c>
      <c r="M1184" t="str" cm="1">
        <f t="array" aca="1" ref="M1184" ca="1">IF(AND(J1184="O",ISBLANK(INDIRECT(A1184))),"Valeur obligatoire non renseignée","")</f>
        <v/>
      </c>
    </row>
    <row r="1185" spans="1:13" x14ac:dyDescent="0.25">
      <c r="A1185" s="91" t="s">
        <v>4118</v>
      </c>
      <c r="B1185" cm="1">
        <f t="array" aca="1" ref="B1185" ca="1">INDIRECT(A1185)</f>
        <v>0</v>
      </c>
      <c r="C1185">
        <f t="shared" ca="1" si="72"/>
        <v>5</v>
      </c>
      <c r="D1185" t="str" cm="1">
        <f t="array" aca="1" ref="D1185" ca="1">CELL("nomfichier",INDIRECT(A1185))</f>
        <v>G:\SCPE\sdc\bq\6 - Mentions valorisantes\Certification environnementale\TEXTES_REGLEMENTATION_CE\Plans_contrôle et grilles\Grille audit niveau 3\Grille d'audit v1.11\[grille-audit-hvev4-v1.11-vf.xlsx]Surfaces_Horti</v>
      </c>
      <c r="E1185">
        <f t="shared" ca="1" si="73"/>
        <v>200</v>
      </c>
      <c r="F1185">
        <f t="shared" ca="1" si="74"/>
        <v>214</v>
      </c>
      <c r="G1185" t="str">
        <f t="shared" ca="1" si="75"/>
        <v>Surfaces_Horti</v>
      </c>
      <c r="H1185" cm="1">
        <f t="array" aca="1" ref="H1185" ca="1">ROW(INDIRECT(A1185))</f>
        <v>101</v>
      </c>
      <c r="I1185" cm="1">
        <f t="array" aca="1" ref="I1185" ca="1">COLUMN(INDIRECT(A1185))</f>
        <v>10</v>
      </c>
      <c r="M1185" t="str" cm="1">
        <f t="array" aca="1" ref="M1185" ca="1">IF(AND(J1185="O",ISBLANK(INDIRECT(A1185))),"Valeur obligatoire non renseignée","")</f>
        <v/>
      </c>
    </row>
    <row r="1186" spans="1:13" x14ac:dyDescent="0.25">
      <c r="A1186" s="91" t="s">
        <v>4145</v>
      </c>
      <c r="B1186" cm="1">
        <f t="array" aca="1" ref="B1186" ca="1">INDIRECT(A1186)</f>
        <v>0</v>
      </c>
      <c r="C1186">
        <f t="shared" ca="1" si="72"/>
        <v>5</v>
      </c>
      <c r="D1186" t="str" cm="1">
        <f t="array" aca="1" ref="D1186" ca="1">CELL("nomfichier",INDIRECT(A1186))</f>
        <v>G:\SCPE\sdc\bq\6 - Mentions valorisantes\Certification environnementale\TEXTES_REGLEMENTATION_CE\Plans_contrôle et grilles\Grille audit niveau 3\Grille d'audit v1.11\[grille-audit-hvev4-v1.11-vf.xlsx]Surfaces_Horti</v>
      </c>
      <c r="E1186">
        <f t="shared" ca="1" si="73"/>
        <v>200</v>
      </c>
      <c r="F1186">
        <f t="shared" ca="1" si="74"/>
        <v>214</v>
      </c>
      <c r="G1186" t="str">
        <f t="shared" ca="1" si="75"/>
        <v>Surfaces_Horti</v>
      </c>
      <c r="H1186" cm="1">
        <f t="array" aca="1" ref="H1186" ca="1">ROW(INDIRECT(A1186))</f>
        <v>101</v>
      </c>
      <c r="I1186" cm="1">
        <f t="array" aca="1" ref="I1186" ca="1">COLUMN(INDIRECT(A1186))</f>
        <v>11</v>
      </c>
      <c r="M1186" t="str" cm="1">
        <f t="array" aca="1" ref="M1186" ca="1">IF(AND(J1186="O",ISBLANK(INDIRECT(A1186))),"Valeur obligatoire non renseignée","")</f>
        <v/>
      </c>
    </row>
    <row r="1187" spans="1:13" x14ac:dyDescent="0.25">
      <c r="A1187" s="91" t="s">
        <v>4172</v>
      </c>
      <c r="B1187" cm="1">
        <f t="array" aca="1" ref="B1187" ca="1">INDIRECT(A1187)</f>
        <v>0</v>
      </c>
      <c r="C1187">
        <f t="shared" ca="1" si="72"/>
        <v>5</v>
      </c>
      <c r="D1187" t="str" cm="1">
        <f t="array" aca="1" ref="D1187" ca="1">CELL("nomfichier",INDIRECT(A1187))</f>
        <v>G:\SCPE\sdc\bq\6 - Mentions valorisantes\Certification environnementale\TEXTES_REGLEMENTATION_CE\Plans_contrôle et grilles\Grille audit niveau 3\Grille d'audit v1.11\[grille-audit-hvev4-v1.11-vf.xlsx]Surfaces_Horti</v>
      </c>
      <c r="E1187">
        <f t="shared" ca="1" si="73"/>
        <v>200</v>
      </c>
      <c r="F1187">
        <f t="shared" ca="1" si="74"/>
        <v>214</v>
      </c>
      <c r="G1187" t="str">
        <f t="shared" ca="1" si="75"/>
        <v>Surfaces_Horti</v>
      </c>
      <c r="H1187" cm="1">
        <f t="array" aca="1" ref="H1187" ca="1">ROW(INDIRECT(A1187))</f>
        <v>101</v>
      </c>
      <c r="I1187" cm="1">
        <f t="array" aca="1" ref="I1187" ca="1">COLUMN(INDIRECT(A1187))</f>
        <v>12</v>
      </c>
      <c r="M1187" t="str" cm="1">
        <f t="array" aca="1" ref="M1187" ca="1">IF(AND(J1187="O",ISBLANK(INDIRECT(A1187))),"Valeur obligatoire non renseignée","")</f>
        <v/>
      </c>
    </row>
    <row r="1188" spans="1:13" x14ac:dyDescent="0.25">
      <c r="A1188" s="91" t="s">
        <v>4199</v>
      </c>
      <c r="B1188" cm="1">
        <f t="array" aca="1" ref="B1188" ca="1">INDIRECT(A1188)</f>
        <v>0</v>
      </c>
      <c r="C1188">
        <f t="shared" ca="1" si="72"/>
        <v>5</v>
      </c>
      <c r="D1188" t="str" cm="1">
        <f t="array" aca="1" ref="D1188" ca="1">CELL("nomfichier",INDIRECT(A1188))</f>
        <v>G:\SCPE\sdc\bq\6 - Mentions valorisantes\Certification environnementale\TEXTES_REGLEMENTATION_CE\Plans_contrôle et grilles\Grille audit niveau 3\Grille d'audit v1.11\[grille-audit-hvev4-v1.11-vf.xlsx]Surfaces_Horti</v>
      </c>
      <c r="E1188">
        <f t="shared" ca="1" si="73"/>
        <v>200</v>
      </c>
      <c r="F1188">
        <f t="shared" ca="1" si="74"/>
        <v>214</v>
      </c>
      <c r="G1188" t="str">
        <f t="shared" ca="1" si="75"/>
        <v>Surfaces_Horti</v>
      </c>
      <c r="H1188" cm="1">
        <f t="array" aca="1" ref="H1188" ca="1">ROW(INDIRECT(A1188))</f>
        <v>101</v>
      </c>
      <c r="I1188" cm="1">
        <f t="array" aca="1" ref="I1188" ca="1">COLUMN(INDIRECT(A1188))</f>
        <v>13</v>
      </c>
      <c r="M1188" t="str" cm="1">
        <f t="array" aca="1" ref="M1188" ca="1">IF(AND(J1188="O",ISBLANK(INDIRECT(A1188))),"Valeur obligatoire non renseignée","")</f>
        <v/>
      </c>
    </row>
    <row r="1189" spans="1:13" x14ac:dyDescent="0.25">
      <c r="A1189" s="91" t="s">
        <v>4226</v>
      </c>
      <c r="B1189" cm="1">
        <f t="array" aca="1" ref="B1189" ca="1">INDIRECT(A1189)</f>
        <v>0</v>
      </c>
      <c r="C1189">
        <f t="shared" ca="1" si="72"/>
        <v>5</v>
      </c>
      <c r="D1189" t="str" cm="1">
        <f t="array" aca="1" ref="D1189" ca="1">CELL("nomfichier",INDIRECT(A1189))</f>
        <v>G:\SCPE\sdc\bq\6 - Mentions valorisantes\Certification environnementale\TEXTES_REGLEMENTATION_CE\Plans_contrôle et grilles\Grille audit niveau 3\Grille d'audit v1.11\[grille-audit-hvev4-v1.11-vf.xlsx]Surfaces_Horti</v>
      </c>
      <c r="E1189">
        <f t="shared" ca="1" si="73"/>
        <v>200</v>
      </c>
      <c r="F1189">
        <f t="shared" ca="1" si="74"/>
        <v>214</v>
      </c>
      <c r="G1189" t="str">
        <f t="shared" ca="1" si="75"/>
        <v>Surfaces_Horti</v>
      </c>
      <c r="H1189" cm="1">
        <f t="array" aca="1" ref="H1189" ca="1">ROW(INDIRECT(A1189))</f>
        <v>101</v>
      </c>
      <c r="I1189" cm="1">
        <f t="array" aca="1" ref="I1189" ca="1">COLUMN(INDIRECT(A1189))</f>
        <v>14</v>
      </c>
      <c r="M1189" t="str" cm="1">
        <f t="array" aca="1" ref="M1189" ca="1">IF(AND(J1189="O",ISBLANK(INDIRECT(A1189))),"Valeur obligatoire non renseignée","")</f>
        <v/>
      </c>
    </row>
    <row r="1190" spans="1:13" x14ac:dyDescent="0.25">
      <c r="A1190" s="91" t="s">
        <v>3903</v>
      </c>
      <c r="B1190" cm="1">
        <f t="array" aca="1" ref="B1190" ca="1">INDIRECT(A1190)</f>
        <v>0</v>
      </c>
      <c r="C1190">
        <f t="shared" ca="1" si="72"/>
        <v>5</v>
      </c>
      <c r="D1190" t="str" cm="1">
        <f t="array" aca="1" ref="D1190" ca="1">CELL("nomfichier",INDIRECT(A1190))</f>
        <v>G:\SCPE\sdc\bq\6 - Mentions valorisantes\Certification environnementale\TEXTES_REGLEMENTATION_CE\Plans_contrôle et grilles\Grille audit niveau 3\Grille d'audit v1.11\[grille-audit-hvev4-v1.11-vf.xlsx]Surfaces_Horti</v>
      </c>
      <c r="E1190">
        <f t="shared" ca="1" si="73"/>
        <v>200</v>
      </c>
      <c r="F1190">
        <f t="shared" ca="1" si="74"/>
        <v>214</v>
      </c>
      <c r="G1190" t="str">
        <f t="shared" ca="1" si="75"/>
        <v>Surfaces_Horti</v>
      </c>
      <c r="H1190" cm="1">
        <f t="array" aca="1" ref="H1190" ca="1">ROW(INDIRECT(A1190))</f>
        <v>102</v>
      </c>
      <c r="I1190" cm="1">
        <f t="array" aca="1" ref="I1190" ca="1">COLUMN(INDIRECT(A1190))</f>
        <v>2</v>
      </c>
      <c r="M1190" t="str" cm="1">
        <f t="array" aca="1" ref="M1190" ca="1">IF(AND(J1190="O",ISBLANK(INDIRECT(A1190))),"Valeur obligatoire non renseignée","")</f>
        <v/>
      </c>
    </row>
    <row r="1191" spans="1:13" x14ac:dyDescent="0.25">
      <c r="A1191" s="91" t="s">
        <v>3930</v>
      </c>
      <c r="B1191" cm="1">
        <f t="array" aca="1" ref="B1191" ca="1">INDIRECT(A1191)</f>
        <v>0</v>
      </c>
      <c r="C1191">
        <f t="shared" ca="1" si="72"/>
        <v>5</v>
      </c>
      <c r="D1191" t="str" cm="1">
        <f t="array" aca="1" ref="D1191" ca="1">CELL("nomfichier",INDIRECT(A1191))</f>
        <v>G:\SCPE\sdc\bq\6 - Mentions valorisantes\Certification environnementale\TEXTES_REGLEMENTATION_CE\Plans_contrôle et grilles\Grille audit niveau 3\Grille d'audit v1.11\[grille-audit-hvev4-v1.11-vf.xlsx]Surfaces_Horti</v>
      </c>
      <c r="E1191">
        <f t="shared" ca="1" si="73"/>
        <v>200</v>
      </c>
      <c r="F1191">
        <f t="shared" ca="1" si="74"/>
        <v>214</v>
      </c>
      <c r="G1191" t="str">
        <f t="shared" ca="1" si="75"/>
        <v>Surfaces_Horti</v>
      </c>
      <c r="H1191" cm="1">
        <f t="array" aca="1" ref="H1191" ca="1">ROW(INDIRECT(A1191))</f>
        <v>102</v>
      </c>
      <c r="I1191" cm="1">
        <f t="array" aca="1" ref="I1191" ca="1">COLUMN(INDIRECT(A1191))</f>
        <v>3</v>
      </c>
      <c r="M1191" t="str" cm="1">
        <f t="array" aca="1" ref="M1191" ca="1">IF(AND(J1191="O",ISBLANK(INDIRECT(A1191))),"Valeur obligatoire non renseignée","")</f>
        <v/>
      </c>
    </row>
    <row r="1192" spans="1:13" x14ac:dyDescent="0.25">
      <c r="A1192" s="91" t="s">
        <v>3957</v>
      </c>
      <c r="B1192" cm="1">
        <f t="array" aca="1" ref="B1192" ca="1">INDIRECT(A1192)</f>
        <v>0</v>
      </c>
      <c r="C1192">
        <f t="shared" ca="1" si="72"/>
        <v>5</v>
      </c>
      <c r="D1192" t="str" cm="1">
        <f t="array" aca="1" ref="D1192" ca="1">CELL("nomfichier",INDIRECT(A1192))</f>
        <v>G:\SCPE\sdc\bq\6 - Mentions valorisantes\Certification environnementale\TEXTES_REGLEMENTATION_CE\Plans_contrôle et grilles\Grille audit niveau 3\Grille d'audit v1.11\[grille-audit-hvev4-v1.11-vf.xlsx]Surfaces_Horti</v>
      </c>
      <c r="E1192">
        <f t="shared" ca="1" si="73"/>
        <v>200</v>
      </c>
      <c r="F1192">
        <f t="shared" ca="1" si="74"/>
        <v>214</v>
      </c>
      <c r="G1192" t="str">
        <f t="shared" ca="1" si="75"/>
        <v>Surfaces_Horti</v>
      </c>
      <c r="H1192" cm="1">
        <f t="array" aca="1" ref="H1192" ca="1">ROW(INDIRECT(A1192))</f>
        <v>102</v>
      </c>
      <c r="I1192" cm="1">
        <f t="array" aca="1" ref="I1192" ca="1">COLUMN(INDIRECT(A1192))</f>
        <v>4</v>
      </c>
      <c r="M1192" t="str" cm="1">
        <f t="array" aca="1" ref="M1192" ca="1">IF(AND(J1192="O",ISBLANK(INDIRECT(A1192))),"Valeur obligatoire non renseignée","")</f>
        <v/>
      </c>
    </row>
    <row r="1193" spans="1:13" x14ac:dyDescent="0.25">
      <c r="A1193" s="91" t="s">
        <v>3984</v>
      </c>
      <c r="B1193" cm="1">
        <f t="array" aca="1" ref="B1193" ca="1">INDIRECT(A1193)</f>
        <v>0</v>
      </c>
      <c r="C1193">
        <f t="shared" ca="1" si="72"/>
        <v>5</v>
      </c>
      <c r="D1193" t="str" cm="1">
        <f t="array" aca="1" ref="D1193" ca="1">CELL("nomfichier",INDIRECT(A1193))</f>
        <v>G:\SCPE\sdc\bq\6 - Mentions valorisantes\Certification environnementale\TEXTES_REGLEMENTATION_CE\Plans_contrôle et grilles\Grille audit niveau 3\Grille d'audit v1.11\[grille-audit-hvev4-v1.11-vf.xlsx]Surfaces_Horti</v>
      </c>
      <c r="E1193">
        <f t="shared" ca="1" si="73"/>
        <v>200</v>
      </c>
      <c r="F1193">
        <f t="shared" ca="1" si="74"/>
        <v>214</v>
      </c>
      <c r="G1193" t="str">
        <f t="shared" ca="1" si="75"/>
        <v>Surfaces_Horti</v>
      </c>
      <c r="H1193" cm="1">
        <f t="array" aca="1" ref="H1193" ca="1">ROW(INDIRECT(A1193))</f>
        <v>102</v>
      </c>
      <c r="I1193" cm="1">
        <f t="array" aca="1" ref="I1193" ca="1">COLUMN(INDIRECT(A1193))</f>
        <v>5</v>
      </c>
      <c r="M1193" t="str" cm="1">
        <f t="array" aca="1" ref="M1193" ca="1">IF(AND(J1193="O",ISBLANK(INDIRECT(A1193))),"Valeur obligatoire non renseignée","")</f>
        <v/>
      </c>
    </row>
    <row r="1194" spans="1:13" x14ac:dyDescent="0.25">
      <c r="A1194" s="91" t="s">
        <v>4011</v>
      </c>
      <c r="B1194" cm="1">
        <f t="array" aca="1" ref="B1194" ca="1">INDIRECT(A1194)</f>
        <v>0</v>
      </c>
      <c r="C1194">
        <f t="shared" ca="1" si="72"/>
        <v>5</v>
      </c>
      <c r="D1194" t="str" cm="1">
        <f t="array" aca="1" ref="D1194" ca="1">CELL("nomfichier",INDIRECT(A1194))</f>
        <v>G:\SCPE\sdc\bq\6 - Mentions valorisantes\Certification environnementale\TEXTES_REGLEMENTATION_CE\Plans_contrôle et grilles\Grille audit niveau 3\Grille d'audit v1.11\[grille-audit-hvev4-v1.11-vf.xlsx]Surfaces_Horti</v>
      </c>
      <c r="E1194">
        <f t="shared" ca="1" si="73"/>
        <v>200</v>
      </c>
      <c r="F1194">
        <f t="shared" ca="1" si="74"/>
        <v>214</v>
      </c>
      <c r="G1194" t="str">
        <f t="shared" ca="1" si="75"/>
        <v>Surfaces_Horti</v>
      </c>
      <c r="H1194" cm="1">
        <f t="array" aca="1" ref="H1194" ca="1">ROW(INDIRECT(A1194))</f>
        <v>102</v>
      </c>
      <c r="I1194" cm="1">
        <f t="array" aca="1" ref="I1194" ca="1">COLUMN(INDIRECT(A1194))</f>
        <v>6</v>
      </c>
      <c r="M1194" t="str" cm="1">
        <f t="array" aca="1" ref="M1194" ca="1">IF(AND(J1194="O",ISBLANK(INDIRECT(A1194))),"Valeur obligatoire non renseignée","")</f>
        <v/>
      </c>
    </row>
    <row r="1195" spans="1:13" x14ac:dyDescent="0.25">
      <c r="A1195" s="91" t="s">
        <v>4038</v>
      </c>
      <c r="B1195" cm="1">
        <f t="array" aca="1" ref="B1195" ca="1">INDIRECT(A1195)</f>
        <v>0</v>
      </c>
      <c r="C1195">
        <f t="shared" ca="1" si="72"/>
        <v>5</v>
      </c>
      <c r="D1195" t="str" cm="1">
        <f t="array" aca="1" ref="D1195" ca="1">CELL("nomfichier",INDIRECT(A1195))</f>
        <v>G:\SCPE\sdc\bq\6 - Mentions valorisantes\Certification environnementale\TEXTES_REGLEMENTATION_CE\Plans_contrôle et grilles\Grille audit niveau 3\Grille d'audit v1.11\[grille-audit-hvev4-v1.11-vf.xlsx]Surfaces_Horti</v>
      </c>
      <c r="E1195">
        <f t="shared" ca="1" si="73"/>
        <v>200</v>
      </c>
      <c r="F1195">
        <f t="shared" ca="1" si="74"/>
        <v>214</v>
      </c>
      <c r="G1195" t="str">
        <f t="shared" ca="1" si="75"/>
        <v>Surfaces_Horti</v>
      </c>
      <c r="H1195" cm="1">
        <f t="array" aca="1" ref="H1195" ca="1">ROW(INDIRECT(A1195))</f>
        <v>102</v>
      </c>
      <c r="I1195" cm="1">
        <f t="array" aca="1" ref="I1195" ca="1">COLUMN(INDIRECT(A1195))</f>
        <v>7</v>
      </c>
      <c r="M1195" t="str" cm="1">
        <f t="array" aca="1" ref="M1195" ca="1">IF(AND(J1195="O",ISBLANK(INDIRECT(A1195))),"Valeur obligatoire non renseignée","")</f>
        <v/>
      </c>
    </row>
    <row r="1196" spans="1:13" x14ac:dyDescent="0.25">
      <c r="A1196" s="91" t="s">
        <v>4065</v>
      </c>
      <c r="B1196" cm="1">
        <f t="array" aca="1" ref="B1196" ca="1">INDIRECT(A1196)</f>
        <v>0</v>
      </c>
      <c r="C1196">
        <f t="shared" ca="1" si="72"/>
        <v>5</v>
      </c>
      <c r="D1196" t="str" cm="1">
        <f t="array" aca="1" ref="D1196" ca="1">CELL("nomfichier",INDIRECT(A1196))</f>
        <v>G:\SCPE\sdc\bq\6 - Mentions valorisantes\Certification environnementale\TEXTES_REGLEMENTATION_CE\Plans_contrôle et grilles\Grille audit niveau 3\Grille d'audit v1.11\[grille-audit-hvev4-v1.11-vf.xlsx]Surfaces_Horti</v>
      </c>
      <c r="E1196">
        <f t="shared" ca="1" si="73"/>
        <v>200</v>
      </c>
      <c r="F1196">
        <f t="shared" ca="1" si="74"/>
        <v>214</v>
      </c>
      <c r="G1196" t="str">
        <f t="shared" ca="1" si="75"/>
        <v>Surfaces_Horti</v>
      </c>
      <c r="H1196" cm="1">
        <f t="array" aca="1" ref="H1196" ca="1">ROW(INDIRECT(A1196))</f>
        <v>102</v>
      </c>
      <c r="I1196" cm="1">
        <f t="array" aca="1" ref="I1196" ca="1">COLUMN(INDIRECT(A1196))</f>
        <v>8</v>
      </c>
      <c r="M1196" t="str" cm="1">
        <f t="array" aca="1" ref="M1196" ca="1">IF(AND(J1196="O",ISBLANK(INDIRECT(A1196))),"Valeur obligatoire non renseignée","")</f>
        <v/>
      </c>
    </row>
    <row r="1197" spans="1:13" x14ac:dyDescent="0.25">
      <c r="A1197" s="91" t="s">
        <v>4092</v>
      </c>
      <c r="B1197" cm="1">
        <f t="array" aca="1" ref="B1197" ca="1">INDIRECT(A1197)</f>
        <v>0</v>
      </c>
      <c r="C1197">
        <f t="shared" ca="1" si="72"/>
        <v>5</v>
      </c>
      <c r="D1197" t="str" cm="1">
        <f t="array" aca="1" ref="D1197" ca="1">CELL("nomfichier",INDIRECT(A1197))</f>
        <v>G:\SCPE\sdc\bq\6 - Mentions valorisantes\Certification environnementale\TEXTES_REGLEMENTATION_CE\Plans_contrôle et grilles\Grille audit niveau 3\Grille d'audit v1.11\[grille-audit-hvev4-v1.11-vf.xlsx]Surfaces_Horti</v>
      </c>
      <c r="E1197">
        <f t="shared" ca="1" si="73"/>
        <v>200</v>
      </c>
      <c r="F1197">
        <f t="shared" ca="1" si="74"/>
        <v>214</v>
      </c>
      <c r="G1197" t="str">
        <f t="shared" ca="1" si="75"/>
        <v>Surfaces_Horti</v>
      </c>
      <c r="H1197" cm="1">
        <f t="array" aca="1" ref="H1197" ca="1">ROW(INDIRECT(A1197))</f>
        <v>102</v>
      </c>
      <c r="I1197" cm="1">
        <f t="array" aca="1" ref="I1197" ca="1">COLUMN(INDIRECT(A1197))</f>
        <v>9</v>
      </c>
      <c r="M1197" t="str" cm="1">
        <f t="array" aca="1" ref="M1197" ca="1">IF(AND(J1197="O",ISBLANK(INDIRECT(A1197))),"Valeur obligatoire non renseignée","")</f>
        <v/>
      </c>
    </row>
    <row r="1198" spans="1:13" x14ac:dyDescent="0.25">
      <c r="A1198" s="91" t="s">
        <v>4119</v>
      </c>
      <c r="B1198" cm="1">
        <f t="array" aca="1" ref="B1198" ca="1">INDIRECT(A1198)</f>
        <v>0</v>
      </c>
      <c r="C1198">
        <f t="shared" ca="1" si="72"/>
        <v>5</v>
      </c>
      <c r="D1198" t="str" cm="1">
        <f t="array" aca="1" ref="D1198" ca="1">CELL("nomfichier",INDIRECT(A1198))</f>
        <v>G:\SCPE\sdc\bq\6 - Mentions valorisantes\Certification environnementale\TEXTES_REGLEMENTATION_CE\Plans_contrôle et grilles\Grille audit niveau 3\Grille d'audit v1.11\[grille-audit-hvev4-v1.11-vf.xlsx]Surfaces_Horti</v>
      </c>
      <c r="E1198">
        <f t="shared" ca="1" si="73"/>
        <v>200</v>
      </c>
      <c r="F1198">
        <f t="shared" ca="1" si="74"/>
        <v>214</v>
      </c>
      <c r="G1198" t="str">
        <f t="shared" ca="1" si="75"/>
        <v>Surfaces_Horti</v>
      </c>
      <c r="H1198" cm="1">
        <f t="array" aca="1" ref="H1198" ca="1">ROW(INDIRECT(A1198))</f>
        <v>102</v>
      </c>
      <c r="I1198" cm="1">
        <f t="array" aca="1" ref="I1198" ca="1">COLUMN(INDIRECT(A1198))</f>
        <v>10</v>
      </c>
      <c r="M1198" t="str" cm="1">
        <f t="array" aca="1" ref="M1198" ca="1">IF(AND(J1198="O",ISBLANK(INDIRECT(A1198))),"Valeur obligatoire non renseignée","")</f>
        <v/>
      </c>
    </row>
    <row r="1199" spans="1:13" x14ac:dyDescent="0.25">
      <c r="A1199" s="91" t="s">
        <v>4146</v>
      </c>
      <c r="B1199" cm="1">
        <f t="array" aca="1" ref="B1199" ca="1">INDIRECT(A1199)</f>
        <v>0</v>
      </c>
      <c r="C1199">
        <f t="shared" ca="1" si="72"/>
        <v>5</v>
      </c>
      <c r="D1199" t="str" cm="1">
        <f t="array" aca="1" ref="D1199" ca="1">CELL("nomfichier",INDIRECT(A1199))</f>
        <v>G:\SCPE\sdc\bq\6 - Mentions valorisantes\Certification environnementale\TEXTES_REGLEMENTATION_CE\Plans_contrôle et grilles\Grille audit niveau 3\Grille d'audit v1.11\[grille-audit-hvev4-v1.11-vf.xlsx]Surfaces_Horti</v>
      </c>
      <c r="E1199">
        <f t="shared" ca="1" si="73"/>
        <v>200</v>
      </c>
      <c r="F1199">
        <f t="shared" ca="1" si="74"/>
        <v>214</v>
      </c>
      <c r="G1199" t="str">
        <f t="shared" ca="1" si="75"/>
        <v>Surfaces_Horti</v>
      </c>
      <c r="H1199" cm="1">
        <f t="array" aca="1" ref="H1199" ca="1">ROW(INDIRECT(A1199))</f>
        <v>102</v>
      </c>
      <c r="I1199" cm="1">
        <f t="array" aca="1" ref="I1199" ca="1">COLUMN(INDIRECT(A1199))</f>
        <v>11</v>
      </c>
      <c r="M1199" t="str" cm="1">
        <f t="array" aca="1" ref="M1199" ca="1">IF(AND(J1199="O",ISBLANK(INDIRECT(A1199))),"Valeur obligatoire non renseignée","")</f>
        <v/>
      </c>
    </row>
    <row r="1200" spans="1:13" x14ac:dyDescent="0.25">
      <c r="A1200" s="91" t="s">
        <v>4173</v>
      </c>
      <c r="B1200" cm="1">
        <f t="array" aca="1" ref="B1200" ca="1">INDIRECT(A1200)</f>
        <v>0</v>
      </c>
      <c r="C1200">
        <f t="shared" ca="1" si="72"/>
        <v>5</v>
      </c>
      <c r="D1200" t="str" cm="1">
        <f t="array" aca="1" ref="D1200" ca="1">CELL("nomfichier",INDIRECT(A1200))</f>
        <v>G:\SCPE\sdc\bq\6 - Mentions valorisantes\Certification environnementale\TEXTES_REGLEMENTATION_CE\Plans_contrôle et grilles\Grille audit niveau 3\Grille d'audit v1.11\[grille-audit-hvev4-v1.11-vf.xlsx]Surfaces_Horti</v>
      </c>
      <c r="E1200">
        <f t="shared" ca="1" si="73"/>
        <v>200</v>
      </c>
      <c r="F1200">
        <f t="shared" ca="1" si="74"/>
        <v>214</v>
      </c>
      <c r="G1200" t="str">
        <f t="shared" ca="1" si="75"/>
        <v>Surfaces_Horti</v>
      </c>
      <c r="H1200" cm="1">
        <f t="array" aca="1" ref="H1200" ca="1">ROW(INDIRECT(A1200))</f>
        <v>102</v>
      </c>
      <c r="I1200" cm="1">
        <f t="array" aca="1" ref="I1200" ca="1">COLUMN(INDIRECT(A1200))</f>
        <v>12</v>
      </c>
      <c r="M1200" t="str" cm="1">
        <f t="array" aca="1" ref="M1200" ca="1">IF(AND(J1200="O",ISBLANK(INDIRECT(A1200))),"Valeur obligatoire non renseignée","")</f>
        <v/>
      </c>
    </row>
    <row r="1201" spans="1:13" x14ac:dyDescent="0.25">
      <c r="A1201" s="91" t="s">
        <v>4200</v>
      </c>
      <c r="B1201" cm="1">
        <f t="array" aca="1" ref="B1201" ca="1">INDIRECT(A1201)</f>
        <v>0</v>
      </c>
      <c r="C1201">
        <f t="shared" ca="1" si="72"/>
        <v>5</v>
      </c>
      <c r="D1201" t="str" cm="1">
        <f t="array" aca="1" ref="D1201" ca="1">CELL("nomfichier",INDIRECT(A1201))</f>
        <v>G:\SCPE\sdc\bq\6 - Mentions valorisantes\Certification environnementale\TEXTES_REGLEMENTATION_CE\Plans_contrôle et grilles\Grille audit niveau 3\Grille d'audit v1.11\[grille-audit-hvev4-v1.11-vf.xlsx]Surfaces_Horti</v>
      </c>
      <c r="E1201">
        <f t="shared" ca="1" si="73"/>
        <v>200</v>
      </c>
      <c r="F1201">
        <f t="shared" ca="1" si="74"/>
        <v>214</v>
      </c>
      <c r="G1201" t="str">
        <f t="shared" ca="1" si="75"/>
        <v>Surfaces_Horti</v>
      </c>
      <c r="H1201" cm="1">
        <f t="array" aca="1" ref="H1201" ca="1">ROW(INDIRECT(A1201))</f>
        <v>102</v>
      </c>
      <c r="I1201" cm="1">
        <f t="array" aca="1" ref="I1201" ca="1">COLUMN(INDIRECT(A1201))</f>
        <v>13</v>
      </c>
      <c r="M1201" t="str" cm="1">
        <f t="array" aca="1" ref="M1201" ca="1">IF(AND(J1201="O",ISBLANK(INDIRECT(A1201))),"Valeur obligatoire non renseignée","")</f>
        <v/>
      </c>
    </row>
    <row r="1202" spans="1:13" x14ac:dyDescent="0.25">
      <c r="A1202" s="91" t="s">
        <v>4227</v>
      </c>
      <c r="B1202" cm="1">
        <f t="array" aca="1" ref="B1202" ca="1">INDIRECT(A1202)</f>
        <v>0</v>
      </c>
      <c r="C1202">
        <f t="shared" ca="1" si="72"/>
        <v>5</v>
      </c>
      <c r="D1202" t="str" cm="1">
        <f t="array" aca="1" ref="D1202" ca="1">CELL("nomfichier",INDIRECT(A1202))</f>
        <v>G:\SCPE\sdc\bq\6 - Mentions valorisantes\Certification environnementale\TEXTES_REGLEMENTATION_CE\Plans_contrôle et grilles\Grille audit niveau 3\Grille d'audit v1.11\[grille-audit-hvev4-v1.11-vf.xlsx]Surfaces_Horti</v>
      </c>
      <c r="E1202">
        <f t="shared" ca="1" si="73"/>
        <v>200</v>
      </c>
      <c r="F1202">
        <f t="shared" ca="1" si="74"/>
        <v>214</v>
      </c>
      <c r="G1202" t="str">
        <f t="shared" ca="1" si="75"/>
        <v>Surfaces_Horti</v>
      </c>
      <c r="H1202" cm="1">
        <f t="array" aca="1" ref="H1202" ca="1">ROW(INDIRECT(A1202))</f>
        <v>102</v>
      </c>
      <c r="I1202" cm="1">
        <f t="array" aca="1" ref="I1202" ca="1">COLUMN(INDIRECT(A1202))</f>
        <v>14</v>
      </c>
      <c r="M1202" t="str" cm="1">
        <f t="array" aca="1" ref="M1202" ca="1">IF(AND(J1202="O",ISBLANK(INDIRECT(A1202))),"Valeur obligatoire non renseignée","")</f>
        <v/>
      </c>
    </row>
    <row r="1203" spans="1:13" x14ac:dyDescent="0.25">
      <c r="A1203" s="91" t="s">
        <v>3904</v>
      </c>
      <c r="B1203" cm="1">
        <f t="array" aca="1" ref="B1203" ca="1">INDIRECT(A1203)</f>
        <v>0</v>
      </c>
      <c r="C1203">
        <f t="shared" ca="1" si="72"/>
        <v>5</v>
      </c>
      <c r="D1203" t="str" cm="1">
        <f t="array" aca="1" ref="D1203" ca="1">CELL("nomfichier",INDIRECT(A1203))</f>
        <v>G:\SCPE\sdc\bq\6 - Mentions valorisantes\Certification environnementale\TEXTES_REGLEMENTATION_CE\Plans_contrôle et grilles\Grille audit niveau 3\Grille d'audit v1.11\[grille-audit-hvev4-v1.11-vf.xlsx]Surfaces_Horti</v>
      </c>
      <c r="E1203">
        <f t="shared" ca="1" si="73"/>
        <v>200</v>
      </c>
      <c r="F1203">
        <f t="shared" ca="1" si="74"/>
        <v>214</v>
      </c>
      <c r="G1203" t="str">
        <f t="shared" ca="1" si="75"/>
        <v>Surfaces_Horti</v>
      </c>
      <c r="H1203" cm="1">
        <f t="array" aca="1" ref="H1203" ca="1">ROW(INDIRECT(A1203))</f>
        <v>103</v>
      </c>
      <c r="I1203" cm="1">
        <f t="array" aca="1" ref="I1203" ca="1">COLUMN(INDIRECT(A1203))</f>
        <v>2</v>
      </c>
      <c r="M1203" t="str" cm="1">
        <f t="array" aca="1" ref="M1203" ca="1">IF(AND(J1203="O",ISBLANK(INDIRECT(A1203))),"Valeur obligatoire non renseignée","")</f>
        <v/>
      </c>
    </row>
    <row r="1204" spans="1:13" x14ac:dyDescent="0.25">
      <c r="A1204" s="91" t="s">
        <v>3931</v>
      </c>
      <c r="B1204" cm="1">
        <f t="array" aca="1" ref="B1204" ca="1">INDIRECT(A1204)</f>
        <v>0</v>
      </c>
      <c r="C1204">
        <f t="shared" ca="1" si="72"/>
        <v>5</v>
      </c>
      <c r="D1204" t="str" cm="1">
        <f t="array" aca="1" ref="D1204" ca="1">CELL("nomfichier",INDIRECT(A1204))</f>
        <v>G:\SCPE\sdc\bq\6 - Mentions valorisantes\Certification environnementale\TEXTES_REGLEMENTATION_CE\Plans_contrôle et grilles\Grille audit niveau 3\Grille d'audit v1.11\[grille-audit-hvev4-v1.11-vf.xlsx]Surfaces_Horti</v>
      </c>
      <c r="E1204">
        <f t="shared" ca="1" si="73"/>
        <v>200</v>
      </c>
      <c r="F1204">
        <f t="shared" ca="1" si="74"/>
        <v>214</v>
      </c>
      <c r="G1204" t="str">
        <f t="shared" ca="1" si="75"/>
        <v>Surfaces_Horti</v>
      </c>
      <c r="H1204" cm="1">
        <f t="array" aca="1" ref="H1204" ca="1">ROW(INDIRECT(A1204))</f>
        <v>103</v>
      </c>
      <c r="I1204" cm="1">
        <f t="array" aca="1" ref="I1204" ca="1">COLUMN(INDIRECT(A1204))</f>
        <v>3</v>
      </c>
      <c r="M1204" t="str" cm="1">
        <f t="array" aca="1" ref="M1204" ca="1">IF(AND(J1204="O",ISBLANK(INDIRECT(A1204))),"Valeur obligatoire non renseignée","")</f>
        <v/>
      </c>
    </row>
    <row r="1205" spans="1:13" x14ac:dyDescent="0.25">
      <c r="A1205" s="91" t="s">
        <v>3958</v>
      </c>
      <c r="B1205" cm="1">
        <f t="array" aca="1" ref="B1205" ca="1">INDIRECT(A1205)</f>
        <v>0</v>
      </c>
      <c r="C1205">
        <f t="shared" ca="1" si="72"/>
        <v>5</v>
      </c>
      <c r="D1205" t="str" cm="1">
        <f t="array" aca="1" ref="D1205" ca="1">CELL("nomfichier",INDIRECT(A1205))</f>
        <v>G:\SCPE\sdc\bq\6 - Mentions valorisantes\Certification environnementale\TEXTES_REGLEMENTATION_CE\Plans_contrôle et grilles\Grille audit niveau 3\Grille d'audit v1.11\[grille-audit-hvev4-v1.11-vf.xlsx]Surfaces_Horti</v>
      </c>
      <c r="E1205">
        <f t="shared" ca="1" si="73"/>
        <v>200</v>
      </c>
      <c r="F1205">
        <f t="shared" ca="1" si="74"/>
        <v>214</v>
      </c>
      <c r="G1205" t="str">
        <f t="shared" ca="1" si="75"/>
        <v>Surfaces_Horti</v>
      </c>
      <c r="H1205" cm="1">
        <f t="array" aca="1" ref="H1205" ca="1">ROW(INDIRECT(A1205))</f>
        <v>103</v>
      </c>
      <c r="I1205" cm="1">
        <f t="array" aca="1" ref="I1205" ca="1">COLUMN(INDIRECT(A1205))</f>
        <v>4</v>
      </c>
      <c r="M1205" t="str" cm="1">
        <f t="array" aca="1" ref="M1205" ca="1">IF(AND(J1205="O",ISBLANK(INDIRECT(A1205))),"Valeur obligatoire non renseignée","")</f>
        <v/>
      </c>
    </row>
    <row r="1206" spans="1:13" x14ac:dyDescent="0.25">
      <c r="A1206" s="91" t="s">
        <v>3985</v>
      </c>
      <c r="B1206" cm="1">
        <f t="array" aca="1" ref="B1206" ca="1">INDIRECT(A1206)</f>
        <v>0</v>
      </c>
      <c r="C1206">
        <f t="shared" ca="1" si="72"/>
        <v>5</v>
      </c>
      <c r="D1206" t="str" cm="1">
        <f t="array" aca="1" ref="D1206" ca="1">CELL("nomfichier",INDIRECT(A1206))</f>
        <v>G:\SCPE\sdc\bq\6 - Mentions valorisantes\Certification environnementale\TEXTES_REGLEMENTATION_CE\Plans_contrôle et grilles\Grille audit niveau 3\Grille d'audit v1.11\[grille-audit-hvev4-v1.11-vf.xlsx]Surfaces_Horti</v>
      </c>
      <c r="E1206">
        <f t="shared" ca="1" si="73"/>
        <v>200</v>
      </c>
      <c r="F1206">
        <f t="shared" ca="1" si="74"/>
        <v>214</v>
      </c>
      <c r="G1206" t="str">
        <f t="shared" ca="1" si="75"/>
        <v>Surfaces_Horti</v>
      </c>
      <c r="H1206" cm="1">
        <f t="array" aca="1" ref="H1206" ca="1">ROW(INDIRECT(A1206))</f>
        <v>103</v>
      </c>
      <c r="I1206" cm="1">
        <f t="array" aca="1" ref="I1206" ca="1">COLUMN(INDIRECT(A1206))</f>
        <v>5</v>
      </c>
      <c r="M1206" t="str" cm="1">
        <f t="array" aca="1" ref="M1206" ca="1">IF(AND(J1206="O",ISBLANK(INDIRECT(A1206))),"Valeur obligatoire non renseignée","")</f>
        <v/>
      </c>
    </row>
    <row r="1207" spans="1:13" x14ac:dyDescent="0.25">
      <c r="A1207" s="91" t="s">
        <v>4012</v>
      </c>
      <c r="B1207" cm="1">
        <f t="array" aca="1" ref="B1207" ca="1">INDIRECT(A1207)</f>
        <v>0</v>
      </c>
      <c r="C1207">
        <f t="shared" ca="1" si="72"/>
        <v>5</v>
      </c>
      <c r="D1207" t="str" cm="1">
        <f t="array" aca="1" ref="D1207" ca="1">CELL("nomfichier",INDIRECT(A1207))</f>
        <v>G:\SCPE\sdc\bq\6 - Mentions valorisantes\Certification environnementale\TEXTES_REGLEMENTATION_CE\Plans_contrôle et grilles\Grille audit niveau 3\Grille d'audit v1.11\[grille-audit-hvev4-v1.11-vf.xlsx]Surfaces_Horti</v>
      </c>
      <c r="E1207">
        <f t="shared" ca="1" si="73"/>
        <v>200</v>
      </c>
      <c r="F1207">
        <f t="shared" ca="1" si="74"/>
        <v>214</v>
      </c>
      <c r="G1207" t="str">
        <f t="shared" ca="1" si="75"/>
        <v>Surfaces_Horti</v>
      </c>
      <c r="H1207" cm="1">
        <f t="array" aca="1" ref="H1207" ca="1">ROW(INDIRECT(A1207))</f>
        <v>103</v>
      </c>
      <c r="I1207" cm="1">
        <f t="array" aca="1" ref="I1207" ca="1">COLUMN(INDIRECT(A1207))</f>
        <v>6</v>
      </c>
      <c r="M1207" t="str" cm="1">
        <f t="array" aca="1" ref="M1207" ca="1">IF(AND(J1207="O",ISBLANK(INDIRECT(A1207))),"Valeur obligatoire non renseignée","")</f>
        <v/>
      </c>
    </row>
    <row r="1208" spans="1:13" x14ac:dyDescent="0.25">
      <c r="A1208" s="91" t="s">
        <v>4039</v>
      </c>
      <c r="B1208" cm="1">
        <f t="array" aca="1" ref="B1208" ca="1">INDIRECT(A1208)</f>
        <v>0</v>
      </c>
      <c r="C1208">
        <f t="shared" ca="1" si="72"/>
        <v>5</v>
      </c>
      <c r="D1208" t="str" cm="1">
        <f t="array" aca="1" ref="D1208" ca="1">CELL("nomfichier",INDIRECT(A1208))</f>
        <v>G:\SCPE\sdc\bq\6 - Mentions valorisantes\Certification environnementale\TEXTES_REGLEMENTATION_CE\Plans_contrôle et grilles\Grille audit niveau 3\Grille d'audit v1.11\[grille-audit-hvev4-v1.11-vf.xlsx]Surfaces_Horti</v>
      </c>
      <c r="E1208">
        <f t="shared" ca="1" si="73"/>
        <v>200</v>
      </c>
      <c r="F1208">
        <f t="shared" ca="1" si="74"/>
        <v>214</v>
      </c>
      <c r="G1208" t="str">
        <f t="shared" ca="1" si="75"/>
        <v>Surfaces_Horti</v>
      </c>
      <c r="H1208" cm="1">
        <f t="array" aca="1" ref="H1208" ca="1">ROW(INDIRECT(A1208))</f>
        <v>103</v>
      </c>
      <c r="I1208" cm="1">
        <f t="array" aca="1" ref="I1208" ca="1">COLUMN(INDIRECT(A1208))</f>
        <v>7</v>
      </c>
      <c r="M1208" t="str" cm="1">
        <f t="array" aca="1" ref="M1208" ca="1">IF(AND(J1208="O",ISBLANK(INDIRECT(A1208))),"Valeur obligatoire non renseignée","")</f>
        <v/>
      </c>
    </row>
    <row r="1209" spans="1:13" x14ac:dyDescent="0.25">
      <c r="A1209" s="91" t="s">
        <v>4066</v>
      </c>
      <c r="B1209" cm="1">
        <f t="array" aca="1" ref="B1209" ca="1">INDIRECT(A1209)</f>
        <v>0</v>
      </c>
      <c r="C1209">
        <f t="shared" ca="1" si="72"/>
        <v>5</v>
      </c>
      <c r="D1209" t="str" cm="1">
        <f t="array" aca="1" ref="D1209" ca="1">CELL("nomfichier",INDIRECT(A1209))</f>
        <v>G:\SCPE\sdc\bq\6 - Mentions valorisantes\Certification environnementale\TEXTES_REGLEMENTATION_CE\Plans_contrôle et grilles\Grille audit niveau 3\Grille d'audit v1.11\[grille-audit-hvev4-v1.11-vf.xlsx]Surfaces_Horti</v>
      </c>
      <c r="E1209">
        <f t="shared" ca="1" si="73"/>
        <v>200</v>
      </c>
      <c r="F1209">
        <f t="shared" ca="1" si="74"/>
        <v>214</v>
      </c>
      <c r="G1209" t="str">
        <f t="shared" ca="1" si="75"/>
        <v>Surfaces_Horti</v>
      </c>
      <c r="H1209" cm="1">
        <f t="array" aca="1" ref="H1209" ca="1">ROW(INDIRECT(A1209))</f>
        <v>103</v>
      </c>
      <c r="I1209" cm="1">
        <f t="array" aca="1" ref="I1209" ca="1">COLUMN(INDIRECT(A1209))</f>
        <v>8</v>
      </c>
      <c r="M1209" t="str" cm="1">
        <f t="array" aca="1" ref="M1209" ca="1">IF(AND(J1209="O",ISBLANK(INDIRECT(A1209))),"Valeur obligatoire non renseignée","")</f>
        <v/>
      </c>
    </row>
    <row r="1210" spans="1:13" x14ac:dyDescent="0.25">
      <c r="A1210" s="91" t="s">
        <v>4093</v>
      </c>
      <c r="B1210" cm="1">
        <f t="array" aca="1" ref="B1210" ca="1">INDIRECT(A1210)</f>
        <v>0</v>
      </c>
      <c r="C1210">
        <f t="shared" ca="1" si="72"/>
        <v>5</v>
      </c>
      <c r="D1210" t="str" cm="1">
        <f t="array" aca="1" ref="D1210" ca="1">CELL("nomfichier",INDIRECT(A1210))</f>
        <v>G:\SCPE\sdc\bq\6 - Mentions valorisantes\Certification environnementale\TEXTES_REGLEMENTATION_CE\Plans_contrôle et grilles\Grille audit niveau 3\Grille d'audit v1.11\[grille-audit-hvev4-v1.11-vf.xlsx]Surfaces_Horti</v>
      </c>
      <c r="E1210">
        <f t="shared" ca="1" si="73"/>
        <v>200</v>
      </c>
      <c r="F1210">
        <f t="shared" ca="1" si="74"/>
        <v>214</v>
      </c>
      <c r="G1210" t="str">
        <f t="shared" ca="1" si="75"/>
        <v>Surfaces_Horti</v>
      </c>
      <c r="H1210" cm="1">
        <f t="array" aca="1" ref="H1210" ca="1">ROW(INDIRECT(A1210))</f>
        <v>103</v>
      </c>
      <c r="I1210" cm="1">
        <f t="array" aca="1" ref="I1210" ca="1">COLUMN(INDIRECT(A1210))</f>
        <v>9</v>
      </c>
      <c r="M1210" t="str" cm="1">
        <f t="array" aca="1" ref="M1210" ca="1">IF(AND(J1210="O",ISBLANK(INDIRECT(A1210))),"Valeur obligatoire non renseignée","")</f>
        <v/>
      </c>
    </row>
    <row r="1211" spans="1:13" x14ac:dyDescent="0.25">
      <c r="A1211" s="91" t="s">
        <v>4120</v>
      </c>
      <c r="B1211" cm="1">
        <f t="array" aca="1" ref="B1211" ca="1">INDIRECT(A1211)</f>
        <v>0</v>
      </c>
      <c r="C1211">
        <f t="shared" ca="1" si="72"/>
        <v>5</v>
      </c>
      <c r="D1211" t="str" cm="1">
        <f t="array" aca="1" ref="D1211" ca="1">CELL("nomfichier",INDIRECT(A1211))</f>
        <v>G:\SCPE\sdc\bq\6 - Mentions valorisantes\Certification environnementale\TEXTES_REGLEMENTATION_CE\Plans_contrôle et grilles\Grille audit niveau 3\Grille d'audit v1.11\[grille-audit-hvev4-v1.11-vf.xlsx]Surfaces_Horti</v>
      </c>
      <c r="E1211">
        <f t="shared" ca="1" si="73"/>
        <v>200</v>
      </c>
      <c r="F1211">
        <f t="shared" ca="1" si="74"/>
        <v>214</v>
      </c>
      <c r="G1211" t="str">
        <f t="shared" ca="1" si="75"/>
        <v>Surfaces_Horti</v>
      </c>
      <c r="H1211" cm="1">
        <f t="array" aca="1" ref="H1211" ca="1">ROW(INDIRECT(A1211))</f>
        <v>103</v>
      </c>
      <c r="I1211" cm="1">
        <f t="array" aca="1" ref="I1211" ca="1">COLUMN(INDIRECT(A1211))</f>
        <v>10</v>
      </c>
      <c r="M1211" t="str" cm="1">
        <f t="array" aca="1" ref="M1211" ca="1">IF(AND(J1211="O",ISBLANK(INDIRECT(A1211))),"Valeur obligatoire non renseignée","")</f>
        <v/>
      </c>
    </row>
    <row r="1212" spans="1:13" x14ac:dyDescent="0.25">
      <c r="A1212" s="91" t="s">
        <v>4147</v>
      </c>
      <c r="B1212" cm="1">
        <f t="array" aca="1" ref="B1212" ca="1">INDIRECT(A1212)</f>
        <v>0</v>
      </c>
      <c r="C1212">
        <f t="shared" ca="1" si="72"/>
        <v>5</v>
      </c>
      <c r="D1212" t="str" cm="1">
        <f t="array" aca="1" ref="D1212" ca="1">CELL("nomfichier",INDIRECT(A1212))</f>
        <v>G:\SCPE\sdc\bq\6 - Mentions valorisantes\Certification environnementale\TEXTES_REGLEMENTATION_CE\Plans_contrôle et grilles\Grille audit niveau 3\Grille d'audit v1.11\[grille-audit-hvev4-v1.11-vf.xlsx]Surfaces_Horti</v>
      </c>
      <c r="E1212">
        <f t="shared" ca="1" si="73"/>
        <v>200</v>
      </c>
      <c r="F1212">
        <f t="shared" ca="1" si="74"/>
        <v>214</v>
      </c>
      <c r="G1212" t="str">
        <f t="shared" ca="1" si="75"/>
        <v>Surfaces_Horti</v>
      </c>
      <c r="H1212" cm="1">
        <f t="array" aca="1" ref="H1212" ca="1">ROW(INDIRECT(A1212))</f>
        <v>103</v>
      </c>
      <c r="I1212" cm="1">
        <f t="array" aca="1" ref="I1212" ca="1">COLUMN(INDIRECT(A1212))</f>
        <v>11</v>
      </c>
      <c r="M1212" t="str" cm="1">
        <f t="array" aca="1" ref="M1212" ca="1">IF(AND(J1212="O",ISBLANK(INDIRECT(A1212))),"Valeur obligatoire non renseignée","")</f>
        <v/>
      </c>
    </row>
    <row r="1213" spans="1:13" x14ac:dyDescent="0.25">
      <c r="A1213" s="91" t="s">
        <v>4174</v>
      </c>
      <c r="B1213" cm="1">
        <f t="array" aca="1" ref="B1213" ca="1">INDIRECT(A1213)</f>
        <v>0</v>
      </c>
      <c r="C1213">
        <f t="shared" ca="1" si="72"/>
        <v>5</v>
      </c>
      <c r="D1213" t="str" cm="1">
        <f t="array" aca="1" ref="D1213" ca="1">CELL("nomfichier",INDIRECT(A1213))</f>
        <v>G:\SCPE\sdc\bq\6 - Mentions valorisantes\Certification environnementale\TEXTES_REGLEMENTATION_CE\Plans_contrôle et grilles\Grille audit niveau 3\Grille d'audit v1.11\[grille-audit-hvev4-v1.11-vf.xlsx]Surfaces_Horti</v>
      </c>
      <c r="E1213">
        <f t="shared" ca="1" si="73"/>
        <v>200</v>
      </c>
      <c r="F1213">
        <f t="shared" ca="1" si="74"/>
        <v>214</v>
      </c>
      <c r="G1213" t="str">
        <f t="shared" ca="1" si="75"/>
        <v>Surfaces_Horti</v>
      </c>
      <c r="H1213" cm="1">
        <f t="array" aca="1" ref="H1213" ca="1">ROW(INDIRECT(A1213))</f>
        <v>103</v>
      </c>
      <c r="I1213" cm="1">
        <f t="array" aca="1" ref="I1213" ca="1">COLUMN(INDIRECT(A1213))</f>
        <v>12</v>
      </c>
      <c r="M1213" t="str" cm="1">
        <f t="array" aca="1" ref="M1213" ca="1">IF(AND(J1213="O",ISBLANK(INDIRECT(A1213))),"Valeur obligatoire non renseignée","")</f>
        <v/>
      </c>
    </row>
    <row r="1214" spans="1:13" x14ac:dyDescent="0.25">
      <c r="A1214" s="91" t="s">
        <v>4201</v>
      </c>
      <c r="B1214" cm="1">
        <f t="array" aca="1" ref="B1214" ca="1">INDIRECT(A1214)</f>
        <v>0</v>
      </c>
      <c r="C1214">
        <f t="shared" ca="1" si="72"/>
        <v>5</v>
      </c>
      <c r="D1214" t="str" cm="1">
        <f t="array" aca="1" ref="D1214" ca="1">CELL("nomfichier",INDIRECT(A1214))</f>
        <v>G:\SCPE\sdc\bq\6 - Mentions valorisantes\Certification environnementale\TEXTES_REGLEMENTATION_CE\Plans_contrôle et grilles\Grille audit niveau 3\Grille d'audit v1.11\[grille-audit-hvev4-v1.11-vf.xlsx]Surfaces_Horti</v>
      </c>
      <c r="E1214">
        <f t="shared" ca="1" si="73"/>
        <v>200</v>
      </c>
      <c r="F1214">
        <f t="shared" ca="1" si="74"/>
        <v>214</v>
      </c>
      <c r="G1214" t="str">
        <f t="shared" ca="1" si="75"/>
        <v>Surfaces_Horti</v>
      </c>
      <c r="H1214" cm="1">
        <f t="array" aca="1" ref="H1214" ca="1">ROW(INDIRECT(A1214))</f>
        <v>103</v>
      </c>
      <c r="I1214" cm="1">
        <f t="array" aca="1" ref="I1214" ca="1">COLUMN(INDIRECT(A1214))</f>
        <v>13</v>
      </c>
      <c r="M1214" t="str" cm="1">
        <f t="array" aca="1" ref="M1214" ca="1">IF(AND(J1214="O",ISBLANK(INDIRECT(A1214))),"Valeur obligatoire non renseignée","")</f>
        <v/>
      </c>
    </row>
    <row r="1215" spans="1:13" x14ac:dyDescent="0.25">
      <c r="A1215" s="91" t="s">
        <v>4228</v>
      </c>
      <c r="B1215" cm="1">
        <f t="array" aca="1" ref="B1215" ca="1">INDIRECT(A1215)</f>
        <v>0</v>
      </c>
      <c r="C1215">
        <f t="shared" ca="1" si="72"/>
        <v>5</v>
      </c>
      <c r="D1215" t="str" cm="1">
        <f t="array" aca="1" ref="D1215" ca="1">CELL("nomfichier",INDIRECT(A1215))</f>
        <v>G:\SCPE\sdc\bq\6 - Mentions valorisantes\Certification environnementale\TEXTES_REGLEMENTATION_CE\Plans_contrôle et grilles\Grille audit niveau 3\Grille d'audit v1.11\[grille-audit-hvev4-v1.11-vf.xlsx]Surfaces_Horti</v>
      </c>
      <c r="E1215">
        <f t="shared" ca="1" si="73"/>
        <v>200</v>
      </c>
      <c r="F1215">
        <f t="shared" ca="1" si="74"/>
        <v>214</v>
      </c>
      <c r="G1215" t="str">
        <f t="shared" ca="1" si="75"/>
        <v>Surfaces_Horti</v>
      </c>
      <c r="H1215" cm="1">
        <f t="array" aca="1" ref="H1215" ca="1">ROW(INDIRECT(A1215))</f>
        <v>103</v>
      </c>
      <c r="I1215" cm="1">
        <f t="array" aca="1" ref="I1215" ca="1">COLUMN(INDIRECT(A1215))</f>
        <v>14</v>
      </c>
      <c r="M1215" t="str" cm="1">
        <f t="array" aca="1" ref="M1215" ca="1">IF(AND(J1215="O",ISBLANK(INDIRECT(A1215))),"Valeur obligatoire non renseignée","")</f>
        <v/>
      </c>
    </row>
    <row r="1216" spans="1:13" x14ac:dyDescent="0.25">
      <c r="A1216" s="91" t="s">
        <v>3905</v>
      </c>
      <c r="B1216" cm="1">
        <f t="array" aca="1" ref="B1216" ca="1">INDIRECT(A1216)</f>
        <v>0</v>
      </c>
      <c r="C1216">
        <f t="shared" ca="1" si="72"/>
        <v>5</v>
      </c>
      <c r="D1216" t="str" cm="1">
        <f t="array" aca="1" ref="D1216" ca="1">CELL("nomfichier",INDIRECT(A1216))</f>
        <v>G:\SCPE\sdc\bq\6 - Mentions valorisantes\Certification environnementale\TEXTES_REGLEMENTATION_CE\Plans_contrôle et grilles\Grille audit niveau 3\Grille d'audit v1.11\[grille-audit-hvev4-v1.11-vf.xlsx]Surfaces_Horti</v>
      </c>
      <c r="E1216">
        <f t="shared" ca="1" si="73"/>
        <v>200</v>
      </c>
      <c r="F1216">
        <f t="shared" ca="1" si="74"/>
        <v>214</v>
      </c>
      <c r="G1216" t="str">
        <f t="shared" ca="1" si="75"/>
        <v>Surfaces_Horti</v>
      </c>
      <c r="H1216" cm="1">
        <f t="array" aca="1" ref="H1216" ca="1">ROW(INDIRECT(A1216))</f>
        <v>104</v>
      </c>
      <c r="I1216" cm="1">
        <f t="array" aca="1" ref="I1216" ca="1">COLUMN(INDIRECT(A1216))</f>
        <v>2</v>
      </c>
      <c r="M1216" t="str" cm="1">
        <f t="array" aca="1" ref="M1216" ca="1">IF(AND(J1216="O",ISBLANK(INDIRECT(A1216))),"Valeur obligatoire non renseignée","")</f>
        <v/>
      </c>
    </row>
    <row r="1217" spans="1:13" x14ac:dyDescent="0.25">
      <c r="A1217" s="91" t="s">
        <v>3932</v>
      </c>
      <c r="B1217" cm="1">
        <f t="array" aca="1" ref="B1217" ca="1">INDIRECT(A1217)</f>
        <v>0</v>
      </c>
      <c r="C1217">
        <f t="shared" ca="1" si="72"/>
        <v>5</v>
      </c>
      <c r="D1217" t="str" cm="1">
        <f t="array" aca="1" ref="D1217" ca="1">CELL("nomfichier",INDIRECT(A1217))</f>
        <v>G:\SCPE\sdc\bq\6 - Mentions valorisantes\Certification environnementale\TEXTES_REGLEMENTATION_CE\Plans_contrôle et grilles\Grille audit niveau 3\Grille d'audit v1.11\[grille-audit-hvev4-v1.11-vf.xlsx]Surfaces_Horti</v>
      </c>
      <c r="E1217">
        <f t="shared" ca="1" si="73"/>
        <v>200</v>
      </c>
      <c r="F1217">
        <f t="shared" ca="1" si="74"/>
        <v>214</v>
      </c>
      <c r="G1217" t="str">
        <f t="shared" ca="1" si="75"/>
        <v>Surfaces_Horti</v>
      </c>
      <c r="H1217" cm="1">
        <f t="array" aca="1" ref="H1217" ca="1">ROW(INDIRECT(A1217))</f>
        <v>104</v>
      </c>
      <c r="I1217" cm="1">
        <f t="array" aca="1" ref="I1217" ca="1">COLUMN(INDIRECT(A1217))</f>
        <v>3</v>
      </c>
      <c r="M1217" t="str" cm="1">
        <f t="array" aca="1" ref="M1217" ca="1">IF(AND(J1217="O",ISBLANK(INDIRECT(A1217))),"Valeur obligatoire non renseignée","")</f>
        <v/>
      </c>
    </row>
    <row r="1218" spans="1:13" x14ac:dyDescent="0.25">
      <c r="A1218" s="91" t="s">
        <v>3959</v>
      </c>
      <c r="B1218" cm="1">
        <f t="array" aca="1" ref="B1218" ca="1">INDIRECT(A1218)</f>
        <v>0</v>
      </c>
      <c r="C1218">
        <f t="shared" ref="C1218:C1281" ca="1" si="76">_xlfn.SHEET(INDIRECT(A1218))</f>
        <v>5</v>
      </c>
      <c r="D1218" t="str" cm="1">
        <f t="array" aca="1" ref="D1218" ca="1">CELL("nomfichier",INDIRECT(A1218))</f>
        <v>G:\SCPE\sdc\bq\6 - Mentions valorisantes\Certification environnementale\TEXTES_REGLEMENTATION_CE\Plans_contrôle et grilles\Grille audit niveau 3\Grille d'audit v1.11\[grille-audit-hvev4-v1.11-vf.xlsx]Surfaces_Horti</v>
      </c>
      <c r="E1218">
        <f t="shared" ref="E1218:E1281" ca="1" si="77">FIND("]",D1218)</f>
        <v>200</v>
      </c>
      <c r="F1218">
        <f t="shared" ref="F1218:F1281" ca="1" si="78">LEN(D1218)</f>
        <v>214</v>
      </c>
      <c r="G1218" t="str">
        <f t="shared" ref="G1218:G1281" ca="1" si="79">RIGHT(D1218,F1218-E1218)</f>
        <v>Surfaces_Horti</v>
      </c>
      <c r="H1218" cm="1">
        <f t="array" aca="1" ref="H1218" ca="1">ROW(INDIRECT(A1218))</f>
        <v>104</v>
      </c>
      <c r="I1218" cm="1">
        <f t="array" aca="1" ref="I1218" ca="1">COLUMN(INDIRECT(A1218))</f>
        <v>4</v>
      </c>
      <c r="M1218" t="str" cm="1">
        <f t="array" aca="1" ref="M1218" ca="1">IF(AND(J1218="O",ISBLANK(INDIRECT(A1218))),"Valeur obligatoire non renseignée","")</f>
        <v/>
      </c>
    </row>
    <row r="1219" spans="1:13" x14ac:dyDescent="0.25">
      <c r="A1219" s="91" t="s">
        <v>3986</v>
      </c>
      <c r="B1219" cm="1">
        <f t="array" aca="1" ref="B1219" ca="1">INDIRECT(A1219)</f>
        <v>0</v>
      </c>
      <c r="C1219">
        <f t="shared" ca="1" si="76"/>
        <v>5</v>
      </c>
      <c r="D1219" t="str" cm="1">
        <f t="array" aca="1" ref="D1219" ca="1">CELL("nomfichier",INDIRECT(A1219))</f>
        <v>G:\SCPE\sdc\bq\6 - Mentions valorisantes\Certification environnementale\TEXTES_REGLEMENTATION_CE\Plans_contrôle et grilles\Grille audit niveau 3\Grille d'audit v1.11\[grille-audit-hvev4-v1.11-vf.xlsx]Surfaces_Horti</v>
      </c>
      <c r="E1219">
        <f t="shared" ca="1" si="77"/>
        <v>200</v>
      </c>
      <c r="F1219">
        <f t="shared" ca="1" si="78"/>
        <v>214</v>
      </c>
      <c r="G1219" t="str">
        <f t="shared" ca="1" si="79"/>
        <v>Surfaces_Horti</v>
      </c>
      <c r="H1219" cm="1">
        <f t="array" aca="1" ref="H1219" ca="1">ROW(INDIRECT(A1219))</f>
        <v>104</v>
      </c>
      <c r="I1219" cm="1">
        <f t="array" aca="1" ref="I1219" ca="1">COLUMN(INDIRECT(A1219))</f>
        <v>5</v>
      </c>
      <c r="M1219" t="str" cm="1">
        <f t="array" aca="1" ref="M1219" ca="1">IF(AND(J1219="O",ISBLANK(INDIRECT(A1219))),"Valeur obligatoire non renseignée","")</f>
        <v/>
      </c>
    </row>
    <row r="1220" spans="1:13" x14ac:dyDescent="0.25">
      <c r="A1220" s="91" t="s">
        <v>4013</v>
      </c>
      <c r="B1220" cm="1">
        <f t="array" aca="1" ref="B1220" ca="1">INDIRECT(A1220)</f>
        <v>0</v>
      </c>
      <c r="C1220">
        <f t="shared" ca="1" si="76"/>
        <v>5</v>
      </c>
      <c r="D1220" t="str" cm="1">
        <f t="array" aca="1" ref="D1220" ca="1">CELL("nomfichier",INDIRECT(A1220))</f>
        <v>G:\SCPE\sdc\bq\6 - Mentions valorisantes\Certification environnementale\TEXTES_REGLEMENTATION_CE\Plans_contrôle et grilles\Grille audit niveau 3\Grille d'audit v1.11\[grille-audit-hvev4-v1.11-vf.xlsx]Surfaces_Horti</v>
      </c>
      <c r="E1220">
        <f t="shared" ca="1" si="77"/>
        <v>200</v>
      </c>
      <c r="F1220">
        <f t="shared" ca="1" si="78"/>
        <v>214</v>
      </c>
      <c r="G1220" t="str">
        <f t="shared" ca="1" si="79"/>
        <v>Surfaces_Horti</v>
      </c>
      <c r="H1220" cm="1">
        <f t="array" aca="1" ref="H1220" ca="1">ROW(INDIRECT(A1220))</f>
        <v>104</v>
      </c>
      <c r="I1220" cm="1">
        <f t="array" aca="1" ref="I1220" ca="1">COLUMN(INDIRECT(A1220))</f>
        <v>6</v>
      </c>
      <c r="M1220" t="str" cm="1">
        <f t="array" aca="1" ref="M1220" ca="1">IF(AND(J1220="O",ISBLANK(INDIRECT(A1220))),"Valeur obligatoire non renseignée","")</f>
        <v/>
      </c>
    </row>
    <row r="1221" spans="1:13" x14ac:dyDescent="0.25">
      <c r="A1221" s="91" t="s">
        <v>4040</v>
      </c>
      <c r="B1221" cm="1">
        <f t="array" aca="1" ref="B1221" ca="1">INDIRECT(A1221)</f>
        <v>0</v>
      </c>
      <c r="C1221">
        <f t="shared" ca="1" si="76"/>
        <v>5</v>
      </c>
      <c r="D1221" t="str" cm="1">
        <f t="array" aca="1" ref="D1221" ca="1">CELL("nomfichier",INDIRECT(A1221))</f>
        <v>G:\SCPE\sdc\bq\6 - Mentions valorisantes\Certification environnementale\TEXTES_REGLEMENTATION_CE\Plans_contrôle et grilles\Grille audit niveau 3\Grille d'audit v1.11\[grille-audit-hvev4-v1.11-vf.xlsx]Surfaces_Horti</v>
      </c>
      <c r="E1221">
        <f t="shared" ca="1" si="77"/>
        <v>200</v>
      </c>
      <c r="F1221">
        <f t="shared" ca="1" si="78"/>
        <v>214</v>
      </c>
      <c r="G1221" t="str">
        <f t="shared" ca="1" si="79"/>
        <v>Surfaces_Horti</v>
      </c>
      <c r="H1221" cm="1">
        <f t="array" aca="1" ref="H1221" ca="1">ROW(INDIRECT(A1221))</f>
        <v>104</v>
      </c>
      <c r="I1221" cm="1">
        <f t="array" aca="1" ref="I1221" ca="1">COLUMN(INDIRECT(A1221))</f>
        <v>7</v>
      </c>
      <c r="M1221" t="str" cm="1">
        <f t="array" aca="1" ref="M1221" ca="1">IF(AND(J1221="O",ISBLANK(INDIRECT(A1221))),"Valeur obligatoire non renseignée","")</f>
        <v/>
      </c>
    </row>
    <row r="1222" spans="1:13" x14ac:dyDescent="0.25">
      <c r="A1222" s="91" t="s">
        <v>4067</v>
      </c>
      <c r="B1222" cm="1">
        <f t="array" aca="1" ref="B1222" ca="1">INDIRECT(A1222)</f>
        <v>0</v>
      </c>
      <c r="C1222">
        <f t="shared" ca="1" si="76"/>
        <v>5</v>
      </c>
      <c r="D1222" t="str" cm="1">
        <f t="array" aca="1" ref="D1222" ca="1">CELL("nomfichier",INDIRECT(A1222))</f>
        <v>G:\SCPE\sdc\bq\6 - Mentions valorisantes\Certification environnementale\TEXTES_REGLEMENTATION_CE\Plans_contrôle et grilles\Grille audit niveau 3\Grille d'audit v1.11\[grille-audit-hvev4-v1.11-vf.xlsx]Surfaces_Horti</v>
      </c>
      <c r="E1222">
        <f t="shared" ca="1" si="77"/>
        <v>200</v>
      </c>
      <c r="F1222">
        <f t="shared" ca="1" si="78"/>
        <v>214</v>
      </c>
      <c r="G1222" t="str">
        <f t="shared" ca="1" si="79"/>
        <v>Surfaces_Horti</v>
      </c>
      <c r="H1222" cm="1">
        <f t="array" aca="1" ref="H1222" ca="1">ROW(INDIRECT(A1222))</f>
        <v>104</v>
      </c>
      <c r="I1222" cm="1">
        <f t="array" aca="1" ref="I1222" ca="1">COLUMN(INDIRECT(A1222))</f>
        <v>8</v>
      </c>
      <c r="M1222" t="str" cm="1">
        <f t="array" aca="1" ref="M1222" ca="1">IF(AND(J1222="O",ISBLANK(INDIRECT(A1222))),"Valeur obligatoire non renseignée","")</f>
        <v/>
      </c>
    </row>
    <row r="1223" spans="1:13" x14ac:dyDescent="0.25">
      <c r="A1223" s="91" t="s">
        <v>4094</v>
      </c>
      <c r="B1223" cm="1">
        <f t="array" aca="1" ref="B1223" ca="1">INDIRECT(A1223)</f>
        <v>0</v>
      </c>
      <c r="C1223">
        <f t="shared" ca="1" si="76"/>
        <v>5</v>
      </c>
      <c r="D1223" t="str" cm="1">
        <f t="array" aca="1" ref="D1223" ca="1">CELL("nomfichier",INDIRECT(A1223))</f>
        <v>G:\SCPE\sdc\bq\6 - Mentions valorisantes\Certification environnementale\TEXTES_REGLEMENTATION_CE\Plans_contrôle et grilles\Grille audit niveau 3\Grille d'audit v1.11\[grille-audit-hvev4-v1.11-vf.xlsx]Surfaces_Horti</v>
      </c>
      <c r="E1223">
        <f t="shared" ca="1" si="77"/>
        <v>200</v>
      </c>
      <c r="F1223">
        <f t="shared" ca="1" si="78"/>
        <v>214</v>
      </c>
      <c r="G1223" t="str">
        <f t="shared" ca="1" si="79"/>
        <v>Surfaces_Horti</v>
      </c>
      <c r="H1223" cm="1">
        <f t="array" aca="1" ref="H1223" ca="1">ROW(INDIRECT(A1223))</f>
        <v>104</v>
      </c>
      <c r="I1223" cm="1">
        <f t="array" aca="1" ref="I1223" ca="1">COLUMN(INDIRECT(A1223))</f>
        <v>9</v>
      </c>
      <c r="M1223" t="str" cm="1">
        <f t="array" aca="1" ref="M1223" ca="1">IF(AND(J1223="O",ISBLANK(INDIRECT(A1223))),"Valeur obligatoire non renseignée","")</f>
        <v/>
      </c>
    </row>
    <row r="1224" spans="1:13" x14ac:dyDescent="0.25">
      <c r="A1224" s="91" t="s">
        <v>4121</v>
      </c>
      <c r="B1224" cm="1">
        <f t="array" aca="1" ref="B1224" ca="1">INDIRECT(A1224)</f>
        <v>0</v>
      </c>
      <c r="C1224">
        <f t="shared" ca="1" si="76"/>
        <v>5</v>
      </c>
      <c r="D1224" t="str" cm="1">
        <f t="array" aca="1" ref="D1224" ca="1">CELL("nomfichier",INDIRECT(A1224))</f>
        <v>G:\SCPE\sdc\bq\6 - Mentions valorisantes\Certification environnementale\TEXTES_REGLEMENTATION_CE\Plans_contrôle et grilles\Grille audit niveau 3\Grille d'audit v1.11\[grille-audit-hvev4-v1.11-vf.xlsx]Surfaces_Horti</v>
      </c>
      <c r="E1224">
        <f t="shared" ca="1" si="77"/>
        <v>200</v>
      </c>
      <c r="F1224">
        <f t="shared" ca="1" si="78"/>
        <v>214</v>
      </c>
      <c r="G1224" t="str">
        <f t="shared" ca="1" si="79"/>
        <v>Surfaces_Horti</v>
      </c>
      <c r="H1224" cm="1">
        <f t="array" aca="1" ref="H1224" ca="1">ROW(INDIRECT(A1224))</f>
        <v>104</v>
      </c>
      <c r="I1224" cm="1">
        <f t="array" aca="1" ref="I1224" ca="1">COLUMN(INDIRECT(A1224))</f>
        <v>10</v>
      </c>
      <c r="M1224" t="str" cm="1">
        <f t="array" aca="1" ref="M1224" ca="1">IF(AND(J1224="O",ISBLANK(INDIRECT(A1224))),"Valeur obligatoire non renseignée","")</f>
        <v/>
      </c>
    </row>
    <row r="1225" spans="1:13" x14ac:dyDescent="0.25">
      <c r="A1225" s="91" t="s">
        <v>4148</v>
      </c>
      <c r="B1225" cm="1">
        <f t="array" aca="1" ref="B1225" ca="1">INDIRECT(A1225)</f>
        <v>0</v>
      </c>
      <c r="C1225">
        <f t="shared" ca="1" si="76"/>
        <v>5</v>
      </c>
      <c r="D1225" t="str" cm="1">
        <f t="array" aca="1" ref="D1225" ca="1">CELL("nomfichier",INDIRECT(A1225))</f>
        <v>G:\SCPE\sdc\bq\6 - Mentions valorisantes\Certification environnementale\TEXTES_REGLEMENTATION_CE\Plans_contrôle et grilles\Grille audit niveau 3\Grille d'audit v1.11\[grille-audit-hvev4-v1.11-vf.xlsx]Surfaces_Horti</v>
      </c>
      <c r="E1225">
        <f t="shared" ca="1" si="77"/>
        <v>200</v>
      </c>
      <c r="F1225">
        <f t="shared" ca="1" si="78"/>
        <v>214</v>
      </c>
      <c r="G1225" t="str">
        <f t="shared" ca="1" si="79"/>
        <v>Surfaces_Horti</v>
      </c>
      <c r="H1225" cm="1">
        <f t="array" aca="1" ref="H1225" ca="1">ROW(INDIRECT(A1225))</f>
        <v>104</v>
      </c>
      <c r="I1225" cm="1">
        <f t="array" aca="1" ref="I1225" ca="1">COLUMN(INDIRECT(A1225))</f>
        <v>11</v>
      </c>
      <c r="M1225" t="str" cm="1">
        <f t="array" aca="1" ref="M1225" ca="1">IF(AND(J1225="O",ISBLANK(INDIRECT(A1225))),"Valeur obligatoire non renseignée","")</f>
        <v/>
      </c>
    </row>
    <row r="1226" spans="1:13" x14ac:dyDescent="0.25">
      <c r="A1226" s="91" t="s">
        <v>4175</v>
      </c>
      <c r="B1226" cm="1">
        <f t="array" aca="1" ref="B1226" ca="1">INDIRECT(A1226)</f>
        <v>0</v>
      </c>
      <c r="C1226">
        <f t="shared" ca="1" si="76"/>
        <v>5</v>
      </c>
      <c r="D1226" t="str" cm="1">
        <f t="array" aca="1" ref="D1226" ca="1">CELL("nomfichier",INDIRECT(A1226))</f>
        <v>G:\SCPE\sdc\bq\6 - Mentions valorisantes\Certification environnementale\TEXTES_REGLEMENTATION_CE\Plans_contrôle et grilles\Grille audit niveau 3\Grille d'audit v1.11\[grille-audit-hvev4-v1.11-vf.xlsx]Surfaces_Horti</v>
      </c>
      <c r="E1226">
        <f t="shared" ca="1" si="77"/>
        <v>200</v>
      </c>
      <c r="F1226">
        <f t="shared" ca="1" si="78"/>
        <v>214</v>
      </c>
      <c r="G1226" t="str">
        <f t="shared" ca="1" si="79"/>
        <v>Surfaces_Horti</v>
      </c>
      <c r="H1226" cm="1">
        <f t="array" aca="1" ref="H1226" ca="1">ROW(INDIRECT(A1226))</f>
        <v>104</v>
      </c>
      <c r="I1226" cm="1">
        <f t="array" aca="1" ref="I1226" ca="1">COLUMN(INDIRECT(A1226))</f>
        <v>12</v>
      </c>
      <c r="M1226" t="str" cm="1">
        <f t="array" aca="1" ref="M1226" ca="1">IF(AND(J1226="O",ISBLANK(INDIRECT(A1226))),"Valeur obligatoire non renseignée","")</f>
        <v/>
      </c>
    </row>
    <row r="1227" spans="1:13" x14ac:dyDescent="0.25">
      <c r="A1227" s="91" t="s">
        <v>4202</v>
      </c>
      <c r="B1227" cm="1">
        <f t="array" aca="1" ref="B1227" ca="1">INDIRECT(A1227)</f>
        <v>0</v>
      </c>
      <c r="C1227">
        <f t="shared" ca="1" si="76"/>
        <v>5</v>
      </c>
      <c r="D1227" t="str" cm="1">
        <f t="array" aca="1" ref="D1227" ca="1">CELL("nomfichier",INDIRECT(A1227))</f>
        <v>G:\SCPE\sdc\bq\6 - Mentions valorisantes\Certification environnementale\TEXTES_REGLEMENTATION_CE\Plans_contrôle et grilles\Grille audit niveau 3\Grille d'audit v1.11\[grille-audit-hvev4-v1.11-vf.xlsx]Surfaces_Horti</v>
      </c>
      <c r="E1227">
        <f t="shared" ca="1" si="77"/>
        <v>200</v>
      </c>
      <c r="F1227">
        <f t="shared" ca="1" si="78"/>
        <v>214</v>
      </c>
      <c r="G1227" t="str">
        <f t="shared" ca="1" si="79"/>
        <v>Surfaces_Horti</v>
      </c>
      <c r="H1227" cm="1">
        <f t="array" aca="1" ref="H1227" ca="1">ROW(INDIRECT(A1227))</f>
        <v>104</v>
      </c>
      <c r="I1227" cm="1">
        <f t="array" aca="1" ref="I1227" ca="1">COLUMN(INDIRECT(A1227))</f>
        <v>13</v>
      </c>
      <c r="M1227" t="str" cm="1">
        <f t="array" aca="1" ref="M1227" ca="1">IF(AND(J1227="O",ISBLANK(INDIRECT(A1227))),"Valeur obligatoire non renseignée","")</f>
        <v/>
      </c>
    </row>
    <row r="1228" spans="1:13" x14ac:dyDescent="0.25">
      <c r="A1228" s="91" t="s">
        <v>4229</v>
      </c>
      <c r="B1228" cm="1">
        <f t="array" aca="1" ref="B1228" ca="1">INDIRECT(A1228)</f>
        <v>0</v>
      </c>
      <c r="C1228">
        <f t="shared" ca="1" si="76"/>
        <v>5</v>
      </c>
      <c r="D1228" t="str" cm="1">
        <f t="array" aca="1" ref="D1228" ca="1">CELL("nomfichier",INDIRECT(A1228))</f>
        <v>G:\SCPE\sdc\bq\6 - Mentions valorisantes\Certification environnementale\TEXTES_REGLEMENTATION_CE\Plans_contrôle et grilles\Grille audit niveau 3\Grille d'audit v1.11\[grille-audit-hvev4-v1.11-vf.xlsx]Surfaces_Horti</v>
      </c>
      <c r="E1228">
        <f t="shared" ca="1" si="77"/>
        <v>200</v>
      </c>
      <c r="F1228">
        <f t="shared" ca="1" si="78"/>
        <v>214</v>
      </c>
      <c r="G1228" t="str">
        <f t="shared" ca="1" si="79"/>
        <v>Surfaces_Horti</v>
      </c>
      <c r="H1228" cm="1">
        <f t="array" aca="1" ref="H1228" ca="1">ROW(INDIRECT(A1228))</f>
        <v>104</v>
      </c>
      <c r="I1228" cm="1">
        <f t="array" aca="1" ref="I1228" ca="1">COLUMN(INDIRECT(A1228))</f>
        <v>14</v>
      </c>
      <c r="M1228" t="str" cm="1">
        <f t="array" aca="1" ref="M1228" ca="1">IF(AND(J1228="O",ISBLANK(INDIRECT(A1228))),"Valeur obligatoire non renseignée","")</f>
        <v/>
      </c>
    </row>
    <row r="1229" spans="1:13" x14ac:dyDescent="0.25">
      <c r="A1229" s="91" t="s">
        <v>3906</v>
      </c>
      <c r="B1229" cm="1">
        <f t="array" aca="1" ref="B1229" ca="1">INDIRECT(A1229)</f>
        <v>0</v>
      </c>
      <c r="C1229">
        <f t="shared" ca="1" si="76"/>
        <v>5</v>
      </c>
      <c r="D1229" t="str" cm="1">
        <f t="array" aca="1" ref="D1229" ca="1">CELL("nomfichier",INDIRECT(A1229))</f>
        <v>G:\SCPE\sdc\bq\6 - Mentions valorisantes\Certification environnementale\TEXTES_REGLEMENTATION_CE\Plans_contrôle et grilles\Grille audit niveau 3\Grille d'audit v1.11\[grille-audit-hvev4-v1.11-vf.xlsx]Surfaces_Horti</v>
      </c>
      <c r="E1229">
        <f t="shared" ca="1" si="77"/>
        <v>200</v>
      </c>
      <c r="F1229">
        <f t="shared" ca="1" si="78"/>
        <v>214</v>
      </c>
      <c r="G1229" t="str">
        <f t="shared" ca="1" si="79"/>
        <v>Surfaces_Horti</v>
      </c>
      <c r="H1229" cm="1">
        <f t="array" aca="1" ref="H1229" ca="1">ROW(INDIRECT(A1229))</f>
        <v>105</v>
      </c>
      <c r="I1229" cm="1">
        <f t="array" aca="1" ref="I1229" ca="1">COLUMN(INDIRECT(A1229))</f>
        <v>2</v>
      </c>
      <c r="M1229" t="str" cm="1">
        <f t="array" aca="1" ref="M1229" ca="1">IF(AND(J1229="O",ISBLANK(INDIRECT(A1229))),"Valeur obligatoire non renseignée","")</f>
        <v/>
      </c>
    </row>
    <row r="1230" spans="1:13" x14ac:dyDescent="0.25">
      <c r="A1230" s="91" t="s">
        <v>3933</v>
      </c>
      <c r="B1230" cm="1">
        <f t="array" aca="1" ref="B1230" ca="1">INDIRECT(A1230)</f>
        <v>0</v>
      </c>
      <c r="C1230">
        <f t="shared" ca="1" si="76"/>
        <v>5</v>
      </c>
      <c r="D1230" t="str" cm="1">
        <f t="array" aca="1" ref="D1230" ca="1">CELL("nomfichier",INDIRECT(A1230))</f>
        <v>G:\SCPE\sdc\bq\6 - Mentions valorisantes\Certification environnementale\TEXTES_REGLEMENTATION_CE\Plans_contrôle et grilles\Grille audit niveau 3\Grille d'audit v1.11\[grille-audit-hvev4-v1.11-vf.xlsx]Surfaces_Horti</v>
      </c>
      <c r="E1230">
        <f t="shared" ca="1" si="77"/>
        <v>200</v>
      </c>
      <c r="F1230">
        <f t="shared" ca="1" si="78"/>
        <v>214</v>
      </c>
      <c r="G1230" t="str">
        <f t="shared" ca="1" si="79"/>
        <v>Surfaces_Horti</v>
      </c>
      <c r="H1230" cm="1">
        <f t="array" aca="1" ref="H1230" ca="1">ROW(INDIRECT(A1230))</f>
        <v>105</v>
      </c>
      <c r="I1230" cm="1">
        <f t="array" aca="1" ref="I1230" ca="1">COLUMN(INDIRECT(A1230))</f>
        <v>3</v>
      </c>
      <c r="M1230" t="str" cm="1">
        <f t="array" aca="1" ref="M1230" ca="1">IF(AND(J1230="O",ISBLANK(INDIRECT(A1230))),"Valeur obligatoire non renseignée","")</f>
        <v/>
      </c>
    </row>
    <row r="1231" spans="1:13" x14ac:dyDescent="0.25">
      <c r="A1231" s="91" t="s">
        <v>3960</v>
      </c>
      <c r="B1231" cm="1">
        <f t="array" aca="1" ref="B1231" ca="1">INDIRECT(A1231)</f>
        <v>0</v>
      </c>
      <c r="C1231">
        <f t="shared" ca="1" si="76"/>
        <v>5</v>
      </c>
      <c r="D1231" t="str" cm="1">
        <f t="array" aca="1" ref="D1231" ca="1">CELL("nomfichier",INDIRECT(A1231))</f>
        <v>G:\SCPE\sdc\bq\6 - Mentions valorisantes\Certification environnementale\TEXTES_REGLEMENTATION_CE\Plans_contrôle et grilles\Grille audit niveau 3\Grille d'audit v1.11\[grille-audit-hvev4-v1.11-vf.xlsx]Surfaces_Horti</v>
      </c>
      <c r="E1231">
        <f t="shared" ca="1" si="77"/>
        <v>200</v>
      </c>
      <c r="F1231">
        <f t="shared" ca="1" si="78"/>
        <v>214</v>
      </c>
      <c r="G1231" t="str">
        <f t="shared" ca="1" si="79"/>
        <v>Surfaces_Horti</v>
      </c>
      <c r="H1231" cm="1">
        <f t="array" aca="1" ref="H1231" ca="1">ROW(INDIRECT(A1231))</f>
        <v>105</v>
      </c>
      <c r="I1231" cm="1">
        <f t="array" aca="1" ref="I1231" ca="1">COLUMN(INDIRECT(A1231))</f>
        <v>4</v>
      </c>
      <c r="M1231" t="str" cm="1">
        <f t="array" aca="1" ref="M1231" ca="1">IF(AND(J1231="O",ISBLANK(INDIRECT(A1231))),"Valeur obligatoire non renseignée","")</f>
        <v/>
      </c>
    </row>
    <row r="1232" spans="1:13" x14ac:dyDescent="0.25">
      <c r="A1232" s="91" t="s">
        <v>3987</v>
      </c>
      <c r="B1232" cm="1">
        <f t="array" aca="1" ref="B1232" ca="1">INDIRECT(A1232)</f>
        <v>0</v>
      </c>
      <c r="C1232">
        <f t="shared" ca="1" si="76"/>
        <v>5</v>
      </c>
      <c r="D1232" t="str" cm="1">
        <f t="array" aca="1" ref="D1232" ca="1">CELL("nomfichier",INDIRECT(A1232))</f>
        <v>G:\SCPE\sdc\bq\6 - Mentions valorisantes\Certification environnementale\TEXTES_REGLEMENTATION_CE\Plans_contrôle et grilles\Grille audit niveau 3\Grille d'audit v1.11\[grille-audit-hvev4-v1.11-vf.xlsx]Surfaces_Horti</v>
      </c>
      <c r="E1232">
        <f t="shared" ca="1" si="77"/>
        <v>200</v>
      </c>
      <c r="F1232">
        <f t="shared" ca="1" si="78"/>
        <v>214</v>
      </c>
      <c r="G1232" t="str">
        <f t="shared" ca="1" si="79"/>
        <v>Surfaces_Horti</v>
      </c>
      <c r="H1232" cm="1">
        <f t="array" aca="1" ref="H1232" ca="1">ROW(INDIRECT(A1232))</f>
        <v>105</v>
      </c>
      <c r="I1232" cm="1">
        <f t="array" aca="1" ref="I1232" ca="1">COLUMN(INDIRECT(A1232))</f>
        <v>5</v>
      </c>
      <c r="M1232" t="str" cm="1">
        <f t="array" aca="1" ref="M1232" ca="1">IF(AND(J1232="O",ISBLANK(INDIRECT(A1232))),"Valeur obligatoire non renseignée","")</f>
        <v/>
      </c>
    </row>
    <row r="1233" spans="1:13" x14ac:dyDescent="0.25">
      <c r="A1233" s="91" t="s">
        <v>4014</v>
      </c>
      <c r="B1233" cm="1">
        <f t="array" aca="1" ref="B1233" ca="1">INDIRECT(A1233)</f>
        <v>0</v>
      </c>
      <c r="C1233">
        <f t="shared" ca="1" si="76"/>
        <v>5</v>
      </c>
      <c r="D1233" t="str" cm="1">
        <f t="array" aca="1" ref="D1233" ca="1">CELL("nomfichier",INDIRECT(A1233))</f>
        <v>G:\SCPE\sdc\bq\6 - Mentions valorisantes\Certification environnementale\TEXTES_REGLEMENTATION_CE\Plans_contrôle et grilles\Grille audit niveau 3\Grille d'audit v1.11\[grille-audit-hvev4-v1.11-vf.xlsx]Surfaces_Horti</v>
      </c>
      <c r="E1233">
        <f t="shared" ca="1" si="77"/>
        <v>200</v>
      </c>
      <c r="F1233">
        <f t="shared" ca="1" si="78"/>
        <v>214</v>
      </c>
      <c r="G1233" t="str">
        <f t="shared" ca="1" si="79"/>
        <v>Surfaces_Horti</v>
      </c>
      <c r="H1233" cm="1">
        <f t="array" aca="1" ref="H1233" ca="1">ROW(INDIRECT(A1233))</f>
        <v>105</v>
      </c>
      <c r="I1233" cm="1">
        <f t="array" aca="1" ref="I1233" ca="1">COLUMN(INDIRECT(A1233))</f>
        <v>6</v>
      </c>
      <c r="M1233" t="str" cm="1">
        <f t="array" aca="1" ref="M1233" ca="1">IF(AND(J1233="O",ISBLANK(INDIRECT(A1233))),"Valeur obligatoire non renseignée","")</f>
        <v/>
      </c>
    </row>
    <row r="1234" spans="1:13" x14ac:dyDescent="0.25">
      <c r="A1234" s="91" t="s">
        <v>4041</v>
      </c>
      <c r="B1234" cm="1">
        <f t="array" aca="1" ref="B1234" ca="1">INDIRECT(A1234)</f>
        <v>0</v>
      </c>
      <c r="C1234">
        <f t="shared" ca="1" si="76"/>
        <v>5</v>
      </c>
      <c r="D1234" t="str" cm="1">
        <f t="array" aca="1" ref="D1234" ca="1">CELL("nomfichier",INDIRECT(A1234))</f>
        <v>G:\SCPE\sdc\bq\6 - Mentions valorisantes\Certification environnementale\TEXTES_REGLEMENTATION_CE\Plans_contrôle et grilles\Grille audit niveau 3\Grille d'audit v1.11\[grille-audit-hvev4-v1.11-vf.xlsx]Surfaces_Horti</v>
      </c>
      <c r="E1234">
        <f t="shared" ca="1" si="77"/>
        <v>200</v>
      </c>
      <c r="F1234">
        <f t="shared" ca="1" si="78"/>
        <v>214</v>
      </c>
      <c r="G1234" t="str">
        <f t="shared" ca="1" si="79"/>
        <v>Surfaces_Horti</v>
      </c>
      <c r="H1234" cm="1">
        <f t="array" aca="1" ref="H1234" ca="1">ROW(INDIRECT(A1234))</f>
        <v>105</v>
      </c>
      <c r="I1234" cm="1">
        <f t="array" aca="1" ref="I1234" ca="1">COLUMN(INDIRECT(A1234))</f>
        <v>7</v>
      </c>
      <c r="M1234" t="str" cm="1">
        <f t="array" aca="1" ref="M1234" ca="1">IF(AND(J1234="O",ISBLANK(INDIRECT(A1234))),"Valeur obligatoire non renseignée","")</f>
        <v/>
      </c>
    </row>
    <row r="1235" spans="1:13" x14ac:dyDescent="0.25">
      <c r="A1235" s="91" t="s">
        <v>4068</v>
      </c>
      <c r="B1235" cm="1">
        <f t="array" aca="1" ref="B1235" ca="1">INDIRECT(A1235)</f>
        <v>0</v>
      </c>
      <c r="C1235">
        <f t="shared" ca="1" si="76"/>
        <v>5</v>
      </c>
      <c r="D1235" t="str" cm="1">
        <f t="array" aca="1" ref="D1235" ca="1">CELL("nomfichier",INDIRECT(A1235))</f>
        <v>G:\SCPE\sdc\bq\6 - Mentions valorisantes\Certification environnementale\TEXTES_REGLEMENTATION_CE\Plans_contrôle et grilles\Grille audit niveau 3\Grille d'audit v1.11\[grille-audit-hvev4-v1.11-vf.xlsx]Surfaces_Horti</v>
      </c>
      <c r="E1235">
        <f t="shared" ca="1" si="77"/>
        <v>200</v>
      </c>
      <c r="F1235">
        <f t="shared" ca="1" si="78"/>
        <v>214</v>
      </c>
      <c r="G1235" t="str">
        <f t="shared" ca="1" si="79"/>
        <v>Surfaces_Horti</v>
      </c>
      <c r="H1235" cm="1">
        <f t="array" aca="1" ref="H1235" ca="1">ROW(INDIRECT(A1235))</f>
        <v>105</v>
      </c>
      <c r="I1235" cm="1">
        <f t="array" aca="1" ref="I1235" ca="1">COLUMN(INDIRECT(A1235))</f>
        <v>8</v>
      </c>
      <c r="M1235" t="str" cm="1">
        <f t="array" aca="1" ref="M1235" ca="1">IF(AND(J1235="O",ISBLANK(INDIRECT(A1235))),"Valeur obligatoire non renseignée","")</f>
        <v/>
      </c>
    </row>
    <row r="1236" spans="1:13" x14ac:dyDescent="0.25">
      <c r="A1236" s="91" t="s">
        <v>4095</v>
      </c>
      <c r="B1236" cm="1">
        <f t="array" aca="1" ref="B1236" ca="1">INDIRECT(A1236)</f>
        <v>0</v>
      </c>
      <c r="C1236">
        <f t="shared" ca="1" si="76"/>
        <v>5</v>
      </c>
      <c r="D1236" t="str" cm="1">
        <f t="array" aca="1" ref="D1236" ca="1">CELL("nomfichier",INDIRECT(A1236))</f>
        <v>G:\SCPE\sdc\bq\6 - Mentions valorisantes\Certification environnementale\TEXTES_REGLEMENTATION_CE\Plans_contrôle et grilles\Grille audit niveau 3\Grille d'audit v1.11\[grille-audit-hvev4-v1.11-vf.xlsx]Surfaces_Horti</v>
      </c>
      <c r="E1236">
        <f t="shared" ca="1" si="77"/>
        <v>200</v>
      </c>
      <c r="F1236">
        <f t="shared" ca="1" si="78"/>
        <v>214</v>
      </c>
      <c r="G1236" t="str">
        <f t="shared" ca="1" si="79"/>
        <v>Surfaces_Horti</v>
      </c>
      <c r="H1236" cm="1">
        <f t="array" aca="1" ref="H1236" ca="1">ROW(INDIRECT(A1236))</f>
        <v>105</v>
      </c>
      <c r="I1236" cm="1">
        <f t="array" aca="1" ref="I1236" ca="1">COLUMN(INDIRECT(A1236))</f>
        <v>9</v>
      </c>
      <c r="M1236" t="str" cm="1">
        <f t="array" aca="1" ref="M1236" ca="1">IF(AND(J1236="O",ISBLANK(INDIRECT(A1236))),"Valeur obligatoire non renseignée","")</f>
        <v/>
      </c>
    </row>
    <row r="1237" spans="1:13" x14ac:dyDescent="0.25">
      <c r="A1237" s="91" t="s">
        <v>4122</v>
      </c>
      <c r="B1237" cm="1">
        <f t="array" aca="1" ref="B1237" ca="1">INDIRECT(A1237)</f>
        <v>0</v>
      </c>
      <c r="C1237">
        <f t="shared" ca="1" si="76"/>
        <v>5</v>
      </c>
      <c r="D1237" t="str" cm="1">
        <f t="array" aca="1" ref="D1237" ca="1">CELL("nomfichier",INDIRECT(A1237))</f>
        <v>G:\SCPE\sdc\bq\6 - Mentions valorisantes\Certification environnementale\TEXTES_REGLEMENTATION_CE\Plans_contrôle et grilles\Grille audit niveau 3\Grille d'audit v1.11\[grille-audit-hvev4-v1.11-vf.xlsx]Surfaces_Horti</v>
      </c>
      <c r="E1237">
        <f t="shared" ca="1" si="77"/>
        <v>200</v>
      </c>
      <c r="F1237">
        <f t="shared" ca="1" si="78"/>
        <v>214</v>
      </c>
      <c r="G1237" t="str">
        <f t="shared" ca="1" si="79"/>
        <v>Surfaces_Horti</v>
      </c>
      <c r="H1237" cm="1">
        <f t="array" aca="1" ref="H1237" ca="1">ROW(INDIRECT(A1237))</f>
        <v>105</v>
      </c>
      <c r="I1237" cm="1">
        <f t="array" aca="1" ref="I1237" ca="1">COLUMN(INDIRECT(A1237))</f>
        <v>10</v>
      </c>
      <c r="M1237" t="str" cm="1">
        <f t="array" aca="1" ref="M1237" ca="1">IF(AND(J1237="O",ISBLANK(INDIRECT(A1237))),"Valeur obligatoire non renseignée","")</f>
        <v/>
      </c>
    </row>
    <row r="1238" spans="1:13" x14ac:dyDescent="0.25">
      <c r="A1238" s="91" t="s">
        <v>4149</v>
      </c>
      <c r="B1238" cm="1">
        <f t="array" aca="1" ref="B1238" ca="1">INDIRECT(A1238)</f>
        <v>0</v>
      </c>
      <c r="C1238">
        <f t="shared" ca="1" si="76"/>
        <v>5</v>
      </c>
      <c r="D1238" t="str" cm="1">
        <f t="array" aca="1" ref="D1238" ca="1">CELL("nomfichier",INDIRECT(A1238))</f>
        <v>G:\SCPE\sdc\bq\6 - Mentions valorisantes\Certification environnementale\TEXTES_REGLEMENTATION_CE\Plans_contrôle et grilles\Grille audit niveau 3\Grille d'audit v1.11\[grille-audit-hvev4-v1.11-vf.xlsx]Surfaces_Horti</v>
      </c>
      <c r="E1238">
        <f t="shared" ca="1" si="77"/>
        <v>200</v>
      </c>
      <c r="F1238">
        <f t="shared" ca="1" si="78"/>
        <v>214</v>
      </c>
      <c r="G1238" t="str">
        <f t="shared" ca="1" si="79"/>
        <v>Surfaces_Horti</v>
      </c>
      <c r="H1238" cm="1">
        <f t="array" aca="1" ref="H1238" ca="1">ROW(INDIRECT(A1238))</f>
        <v>105</v>
      </c>
      <c r="I1238" cm="1">
        <f t="array" aca="1" ref="I1238" ca="1">COLUMN(INDIRECT(A1238))</f>
        <v>11</v>
      </c>
      <c r="M1238" t="str" cm="1">
        <f t="array" aca="1" ref="M1238" ca="1">IF(AND(J1238="O",ISBLANK(INDIRECT(A1238))),"Valeur obligatoire non renseignée","")</f>
        <v/>
      </c>
    </row>
    <row r="1239" spans="1:13" x14ac:dyDescent="0.25">
      <c r="A1239" s="91" t="s">
        <v>4176</v>
      </c>
      <c r="B1239" cm="1">
        <f t="array" aca="1" ref="B1239" ca="1">INDIRECT(A1239)</f>
        <v>0</v>
      </c>
      <c r="C1239">
        <f t="shared" ca="1" si="76"/>
        <v>5</v>
      </c>
      <c r="D1239" t="str" cm="1">
        <f t="array" aca="1" ref="D1239" ca="1">CELL("nomfichier",INDIRECT(A1239))</f>
        <v>G:\SCPE\sdc\bq\6 - Mentions valorisantes\Certification environnementale\TEXTES_REGLEMENTATION_CE\Plans_contrôle et grilles\Grille audit niveau 3\Grille d'audit v1.11\[grille-audit-hvev4-v1.11-vf.xlsx]Surfaces_Horti</v>
      </c>
      <c r="E1239">
        <f t="shared" ca="1" si="77"/>
        <v>200</v>
      </c>
      <c r="F1239">
        <f t="shared" ca="1" si="78"/>
        <v>214</v>
      </c>
      <c r="G1239" t="str">
        <f t="shared" ca="1" si="79"/>
        <v>Surfaces_Horti</v>
      </c>
      <c r="H1239" cm="1">
        <f t="array" aca="1" ref="H1239" ca="1">ROW(INDIRECT(A1239))</f>
        <v>105</v>
      </c>
      <c r="I1239" cm="1">
        <f t="array" aca="1" ref="I1239" ca="1">COLUMN(INDIRECT(A1239))</f>
        <v>12</v>
      </c>
      <c r="M1239" t="str" cm="1">
        <f t="array" aca="1" ref="M1239" ca="1">IF(AND(J1239="O",ISBLANK(INDIRECT(A1239))),"Valeur obligatoire non renseignée","")</f>
        <v/>
      </c>
    </row>
    <row r="1240" spans="1:13" x14ac:dyDescent="0.25">
      <c r="A1240" s="91" t="s">
        <v>4203</v>
      </c>
      <c r="B1240" cm="1">
        <f t="array" aca="1" ref="B1240" ca="1">INDIRECT(A1240)</f>
        <v>0</v>
      </c>
      <c r="C1240">
        <f t="shared" ca="1" si="76"/>
        <v>5</v>
      </c>
      <c r="D1240" t="str" cm="1">
        <f t="array" aca="1" ref="D1240" ca="1">CELL("nomfichier",INDIRECT(A1240))</f>
        <v>G:\SCPE\sdc\bq\6 - Mentions valorisantes\Certification environnementale\TEXTES_REGLEMENTATION_CE\Plans_contrôle et grilles\Grille audit niveau 3\Grille d'audit v1.11\[grille-audit-hvev4-v1.11-vf.xlsx]Surfaces_Horti</v>
      </c>
      <c r="E1240">
        <f t="shared" ca="1" si="77"/>
        <v>200</v>
      </c>
      <c r="F1240">
        <f t="shared" ca="1" si="78"/>
        <v>214</v>
      </c>
      <c r="G1240" t="str">
        <f t="shared" ca="1" si="79"/>
        <v>Surfaces_Horti</v>
      </c>
      <c r="H1240" cm="1">
        <f t="array" aca="1" ref="H1240" ca="1">ROW(INDIRECT(A1240))</f>
        <v>105</v>
      </c>
      <c r="I1240" cm="1">
        <f t="array" aca="1" ref="I1240" ca="1">COLUMN(INDIRECT(A1240))</f>
        <v>13</v>
      </c>
      <c r="M1240" t="str" cm="1">
        <f t="array" aca="1" ref="M1240" ca="1">IF(AND(J1240="O",ISBLANK(INDIRECT(A1240))),"Valeur obligatoire non renseignée","")</f>
        <v/>
      </c>
    </row>
    <row r="1241" spans="1:13" x14ac:dyDescent="0.25">
      <c r="A1241" s="91" t="s">
        <v>4230</v>
      </c>
      <c r="B1241" cm="1">
        <f t="array" aca="1" ref="B1241" ca="1">INDIRECT(A1241)</f>
        <v>0</v>
      </c>
      <c r="C1241">
        <f t="shared" ca="1" si="76"/>
        <v>5</v>
      </c>
      <c r="D1241" t="str" cm="1">
        <f t="array" aca="1" ref="D1241" ca="1">CELL("nomfichier",INDIRECT(A1241))</f>
        <v>G:\SCPE\sdc\bq\6 - Mentions valorisantes\Certification environnementale\TEXTES_REGLEMENTATION_CE\Plans_contrôle et grilles\Grille audit niveau 3\Grille d'audit v1.11\[grille-audit-hvev4-v1.11-vf.xlsx]Surfaces_Horti</v>
      </c>
      <c r="E1241">
        <f t="shared" ca="1" si="77"/>
        <v>200</v>
      </c>
      <c r="F1241">
        <f t="shared" ca="1" si="78"/>
        <v>214</v>
      </c>
      <c r="G1241" t="str">
        <f t="shared" ca="1" si="79"/>
        <v>Surfaces_Horti</v>
      </c>
      <c r="H1241" cm="1">
        <f t="array" aca="1" ref="H1241" ca="1">ROW(INDIRECT(A1241))</f>
        <v>105</v>
      </c>
      <c r="I1241" cm="1">
        <f t="array" aca="1" ref="I1241" ca="1">COLUMN(INDIRECT(A1241))</f>
        <v>14</v>
      </c>
      <c r="M1241" t="str" cm="1">
        <f t="array" aca="1" ref="M1241" ca="1">IF(AND(J1241="O",ISBLANK(INDIRECT(A1241))),"Valeur obligatoire non renseignée","")</f>
        <v/>
      </c>
    </row>
    <row r="1242" spans="1:13" x14ac:dyDescent="0.25">
      <c r="A1242" s="91" t="s">
        <v>3907</v>
      </c>
      <c r="B1242" cm="1">
        <f t="array" aca="1" ref="B1242" ca="1">INDIRECT(A1242)</f>
        <v>0</v>
      </c>
      <c r="C1242">
        <f t="shared" ca="1" si="76"/>
        <v>5</v>
      </c>
      <c r="D1242" t="str" cm="1">
        <f t="array" aca="1" ref="D1242" ca="1">CELL("nomfichier",INDIRECT(A1242))</f>
        <v>G:\SCPE\sdc\bq\6 - Mentions valorisantes\Certification environnementale\TEXTES_REGLEMENTATION_CE\Plans_contrôle et grilles\Grille audit niveau 3\Grille d'audit v1.11\[grille-audit-hvev4-v1.11-vf.xlsx]Surfaces_Horti</v>
      </c>
      <c r="E1242">
        <f t="shared" ca="1" si="77"/>
        <v>200</v>
      </c>
      <c r="F1242">
        <f t="shared" ca="1" si="78"/>
        <v>214</v>
      </c>
      <c r="G1242" t="str">
        <f t="shared" ca="1" si="79"/>
        <v>Surfaces_Horti</v>
      </c>
      <c r="H1242" cm="1">
        <f t="array" aca="1" ref="H1242" ca="1">ROW(INDIRECT(A1242))</f>
        <v>106</v>
      </c>
      <c r="I1242" cm="1">
        <f t="array" aca="1" ref="I1242" ca="1">COLUMN(INDIRECT(A1242))</f>
        <v>2</v>
      </c>
      <c r="M1242" t="str" cm="1">
        <f t="array" aca="1" ref="M1242" ca="1">IF(AND(J1242="O",ISBLANK(INDIRECT(A1242))),"Valeur obligatoire non renseignée","")</f>
        <v/>
      </c>
    </row>
    <row r="1243" spans="1:13" x14ac:dyDescent="0.25">
      <c r="A1243" s="91" t="s">
        <v>3934</v>
      </c>
      <c r="B1243" cm="1">
        <f t="array" aca="1" ref="B1243" ca="1">INDIRECT(A1243)</f>
        <v>0</v>
      </c>
      <c r="C1243">
        <f t="shared" ca="1" si="76"/>
        <v>5</v>
      </c>
      <c r="D1243" t="str" cm="1">
        <f t="array" aca="1" ref="D1243" ca="1">CELL("nomfichier",INDIRECT(A1243))</f>
        <v>G:\SCPE\sdc\bq\6 - Mentions valorisantes\Certification environnementale\TEXTES_REGLEMENTATION_CE\Plans_contrôle et grilles\Grille audit niveau 3\Grille d'audit v1.11\[grille-audit-hvev4-v1.11-vf.xlsx]Surfaces_Horti</v>
      </c>
      <c r="E1243">
        <f t="shared" ca="1" si="77"/>
        <v>200</v>
      </c>
      <c r="F1243">
        <f t="shared" ca="1" si="78"/>
        <v>214</v>
      </c>
      <c r="G1243" t="str">
        <f t="shared" ca="1" si="79"/>
        <v>Surfaces_Horti</v>
      </c>
      <c r="H1243" cm="1">
        <f t="array" aca="1" ref="H1243" ca="1">ROW(INDIRECT(A1243))</f>
        <v>106</v>
      </c>
      <c r="I1243" cm="1">
        <f t="array" aca="1" ref="I1243" ca="1">COLUMN(INDIRECT(A1243))</f>
        <v>3</v>
      </c>
      <c r="M1243" t="str" cm="1">
        <f t="array" aca="1" ref="M1243" ca="1">IF(AND(J1243="O",ISBLANK(INDIRECT(A1243))),"Valeur obligatoire non renseignée","")</f>
        <v/>
      </c>
    </row>
    <row r="1244" spans="1:13" x14ac:dyDescent="0.25">
      <c r="A1244" s="91" t="s">
        <v>3961</v>
      </c>
      <c r="B1244" cm="1">
        <f t="array" aca="1" ref="B1244" ca="1">INDIRECT(A1244)</f>
        <v>0</v>
      </c>
      <c r="C1244">
        <f t="shared" ca="1" si="76"/>
        <v>5</v>
      </c>
      <c r="D1244" t="str" cm="1">
        <f t="array" aca="1" ref="D1244" ca="1">CELL("nomfichier",INDIRECT(A1244))</f>
        <v>G:\SCPE\sdc\bq\6 - Mentions valorisantes\Certification environnementale\TEXTES_REGLEMENTATION_CE\Plans_contrôle et grilles\Grille audit niveau 3\Grille d'audit v1.11\[grille-audit-hvev4-v1.11-vf.xlsx]Surfaces_Horti</v>
      </c>
      <c r="E1244">
        <f t="shared" ca="1" si="77"/>
        <v>200</v>
      </c>
      <c r="F1244">
        <f t="shared" ca="1" si="78"/>
        <v>214</v>
      </c>
      <c r="G1244" t="str">
        <f t="shared" ca="1" si="79"/>
        <v>Surfaces_Horti</v>
      </c>
      <c r="H1244" cm="1">
        <f t="array" aca="1" ref="H1244" ca="1">ROW(INDIRECT(A1244))</f>
        <v>106</v>
      </c>
      <c r="I1244" cm="1">
        <f t="array" aca="1" ref="I1244" ca="1">COLUMN(INDIRECT(A1244))</f>
        <v>4</v>
      </c>
      <c r="M1244" t="str" cm="1">
        <f t="array" aca="1" ref="M1244" ca="1">IF(AND(J1244="O",ISBLANK(INDIRECT(A1244))),"Valeur obligatoire non renseignée","")</f>
        <v/>
      </c>
    </row>
    <row r="1245" spans="1:13" x14ac:dyDescent="0.25">
      <c r="A1245" s="91" t="s">
        <v>3988</v>
      </c>
      <c r="B1245" cm="1">
        <f t="array" aca="1" ref="B1245" ca="1">INDIRECT(A1245)</f>
        <v>0</v>
      </c>
      <c r="C1245">
        <f t="shared" ca="1" si="76"/>
        <v>5</v>
      </c>
      <c r="D1245" t="str" cm="1">
        <f t="array" aca="1" ref="D1245" ca="1">CELL("nomfichier",INDIRECT(A1245))</f>
        <v>G:\SCPE\sdc\bq\6 - Mentions valorisantes\Certification environnementale\TEXTES_REGLEMENTATION_CE\Plans_contrôle et grilles\Grille audit niveau 3\Grille d'audit v1.11\[grille-audit-hvev4-v1.11-vf.xlsx]Surfaces_Horti</v>
      </c>
      <c r="E1245">
        <f t="shared" ca="1" si="77"/>
        <v>200</v>
      </c>
      <c r="F1245">
        <f t="shared" ca="1" si="78"/>
        <v>214</v>
      </c>
      <c r="G1245" t="str">
        <f t="shared" ca="1" si="79"/>
        <v>Surfaces_Horti</v>
      </c>
      <c r="H1245" cm="1">
        <f t="array" aca="1" ref="H1245" ca="1">ROW(INDIRECT(A1245))</f>
        <v>106</v>
      </c>
      <c r="I1245" cm="1">
        <f t="array" aca="1" ref="I1245" ca="1">COLUMN(INDIRECT(A1245))</f>
        <v>5</v>
      </c>
      <c r="M1245" t="str" cm="1">
        <f t="array" aca="1" ref="M1245" ca="1">IF(AND(J1245="O",ISBLANK(INDIRECT(A1245))),"Valeur obligatoire non renseignée","")</f>
        <v/>
      </c>
    </row>
    <row r="1246" spans="1:13" x14ac:dyDescent="0.25">
      <c r="A1246" s="91" t="s">
        <v>4015</v>
      </c>
      <c r="B1246" cm="1">
        <f t="array" aca="1" ref="B1246" ca="1">INDIRECT(A1246)</f>
        <v>0</v>
      </c>
      <c r="C1246">
        <f t="shared" ca="1" si="76"/>
        <v>5</v>
      </c>
      <c r="D1246" t="str" cm="1">
        <f t="array" aca="1" ref="D1246" ca="1">CELL("nomfichier",INDIRECT(A1246))</f>
        <v>G:\SCPE\sdc\bq\6 - Mentions valorisantes\Certification environnementale\TEXTES_REGLEMENTATION_CE\Plans_contrôle et grilles\Grille audit niveau 3\Grille d'audit v1.11\[grille-audit-hvev4-v1.11-vf.xlsx]Surfaces_Horti</v>
      </c>
      <c r="E1246">
        <f t="shared" ca="1" si="77"/>
        <v>200</v>
      </c>
      <c r="F1246">
        <f t="shared" ca="1" si="78"/>
        <v>214</v>
      </c>
      <c r="G1246" t="str">
        <f t="shared" ca="1" si="79"/>
        <v>Surfaces_Horti</v>
      </c>
      <c r="H1246" cm="1">
        <f t="array" aca="1" ref="H1246" ca="1">ROW(INDIRECT(A1246))</f>
        <v>106</v>
      </c>
      <c r="I1246" cm="1">
        <f t="array" aca="1" ref="I1246" ca="1">COLUMN(INDIRECT(A1246))</f>
        <v>6</v>
      </c>
      <c r="M1246" t="str" cm="1">
        <f t="array" aca="1" ref="M1246" ca="1">IF(AND(J1246="O",ISBLANK(INDIRECT(A1246))),"Valeur obligatoire non renseignée","")</f>
        <v/>
      </c>
    </row>
    <row r="1247" spans="1:13" x14ac:dyDescent="0.25">
      <c r="A1247" s="91" t="s">
        <v>4042</v>
      </c>
      <c r="B1247" cm="1">
        <f t="array" aca="1" ref="B1247" ca="1">INDIRECT(A1247)</f>
        <v>0</v>
      </c>
      <c r="C1247">
        <f t="shared" ca="1" si="76"/>
        <v>5</v>
      </c>
      <c r="D1247" t="str" cm="1">
        <f t="array" aca="1" ref="D1247" ca="1">CELL("nomfichier",INDIRECT(A1247))</f>
        <v>G:\SCPE\sdc\bq\6 - Mentions valorisantes\Certification environnementale\TEXTES_REGLEMENTATION_CE\Plans_contrôle et grilles\Grille audit niveau 3\Grille d'audit v1.11\[grille-audit-hvev4-v1.11-vf.xlsx]Surfaces_Horti</v>
      </c>
      <c r="E1247">
        <f t="shared" ca="1" si="77"/>
        <v>200</v>
      </c>
      <c r="F1247">
        <f t="shared" ca="1" si="78"/>
        <v>214</v>
      </c>
      <c r="G1247" t="str">
        <f t="shared" ca="1" si="79"/>
        <v>Surfaces_Horti</v>
      </c>
      <c r="H1247" cm="1">
        <f t="array" aca="1" ref="H1247" ca="1">ROW(INDIRECT(A1247))</f>
        <v>106</v>
      </c>
      <c r="I1247" cm="1">
        <f t="array" aca="1" ref="I1247" ca="1">COLUMN(INDIRECT(A1247))</f>
        <v>7</v>
      </c>
      <c r="M1247" t="str" cm="1">
        <f t="array" aca="1" ref="M1247" ca="1">IF(AND(J1247="O",ISBLANK(INDIRECT(A1247))),"Valeur obligatoire non renseignée","")</f>
        <v/>
      </c>
    </row>
    <row r="1248" spans="1:13" x14ac:dyDescent="0.25">
      <c r="A1248" s="91" t="s">
        <v>4069</v>
      </c>
      <c r="B1248" cm="1">
        <f t="array" aca="1" ref="B1248" ca="1">INDIRECT(A1248)</f>
        <v>0</v>
      </c>
      <c r="C1248">
        <f t="shared" ca="1" si="76"/>
        <v>5</v>
      </c>
      <c r="D1248" t="str" cm="1">
        <f t="array" aca="1" ref="D1248" ca="1">CELL("nomfichier",INDIRECT(A1248))</f>
        <v>G:\SCPE\sdc\bq\6 - Mentions valorisantes\Certification environnementale\TEXTES_REGLEMENTATION_CE\Plans_contrôle et grilles\Grille audit niveau 3\Grille d'audit v1.11\[grille-audit-hvev4-v1.11-vf.xlsx]Surfaces_Horti</v>
      </c>
      <c r="E1248">
        <f t="shared" ca="1" si="77"/>
        <v>200</v>
      </c>
      <c r="F1248">
        <f t="shared" ca="1" si="78"/>
        <v>214</v>
      </c>
      <c r="G1248" t="str">
        <f t="shared" ca="1" si="79"/>
        <v>Surfaces_Horti</v>
      </c>
      <c r="H1248" cm="1">
        <f t="array" aca="1" ref="H1248" ca="1">ROW(INDIRECT(A1248))</f>
        <v>106</v>
      </c>
      <c r="I1248" cm="1">
        <f t="array" aca="1" ref="I1248" ca="1">COLUMN(INDIRECT(A1248))</f>
        <v>8</v>
      </c>
      <c r="M1248" t="str" cm="1">
        <f t="array" aca="1" ref="M1248" ca="1">IF(AND(J1248="O",ISBLANK(INDIRECT(A1248))),"Valeur obligatoire non renseignée","")</f>
        <v/>
      </c>
    </row>
    <row r="1249" spans="1:13" x14ac:dyDescent="0.25">
      <c r="A1249" s="91" t="s">
        <v>4096</v>
      </c>
      <c r="B1249" cm="1">
        <f t="array" aca="1" ref="B1249" ca="1">INDIRECT(A1249)</f>
        <v>0</v>
      </c>
      <c r="C1249">
        <f t="shared" ca="1" si="76"/>
        <v>5</v>
      </c>
      <c r="D1249" t="str" cm="1">
        <f t="array" aca="1" ref="D1249" ca="1">CELL("nomfichier",INDIRECT(A1249))</f>
        <v>G:\SCPE\sdc\bq\6 - Mentions valorisantes\Certification environnementale\TEXTES_REGLEMENTATION_CE\Plans_contrôle et grilles\Grille audit niveau 3\Grille d'audit v1.11\[grille-audit-hvev4-v1.11-vf.xlsx]Surfaces_Horti</v>
      </c>
      <c r="E1249">
        <f t="shared" ca="1" si="77"/>
        <v>200</v>
      </c>
      <c r="F1249">
        <f t="shared" ca="1" si="78"/>
        <v>214</v>
      </c>
      <c r="G1249" t="str">
        <f t="shared" ca="1" si="79"/>
        <v>Surfaces_Horti</v>
      </c>
      <c r="H1249" cm="1">
        <f t="array" aca="1" ref="H1249" ca="1">ROW(INDIRECT(A1249))</f>
        <v>106</v>
      </c>
      <c r="I1249" cm="1">
        <f t="array" aca="1" ref="I1249" ca="1">COLUMN(INDIRECT(A1249))</f>
        <v>9</v>
      </c>
      <c r="M1249" t="str" cm="1">
        <f t="array" aca="1" ref="M1249" ca="1">IF(AND(J1249="O",ISBLANK(INDIRECT(A1249))),"Valeur obligatoire non renseignée","")</f>
        <v/>
      </c>
    </row>
    <row r="1250" spans="1:13" x14ac:dyDescent="0.25">
      <c r="A1250" s="91" t="s">
        <v>4123</v>
      </c>
      <c r="B1250" cm="1">
        <f t="array" aca="1" ref="B1250" ca="1">INDIRECT(A1250)</f>
        <v>0</v>
      </c>
      <c r="C1250">
        <f t="shared" ca="1" si="76"/>
        <v>5</v>
      </c>
      <c r="D1250" t="str" cm="1">
        <f t="array" aca="1" ref="D1250" ca="1">CELL("nomfichier",INDIRECT(A1250))</f>
        <v>G:\SCPE\sdc\bq\6 - Mentions valorisantes\Certification environnementale\TEXTES_REGLEMENTATION_CE\Plans_contrôle et grilles\Grille audit niveau 3\Grille d'audit v1.11\[grille-audit-hvev4-v1.11-vf.xlsx]Surfaces_Horti</v>
      </c>
      <c r="E1250">
        <f t="shared" ca="1" si="77"/>
        <v>200</v>
      </c>
      <c r="F1250">
        <f t="shared" ca="1" si="78"/>
        <v>214</v>
      </c>
      <c r="G1250" t="str">
        <f t="shared" ca="1" si="79"/>
        <v>Surfaces_Horti</v>
      </c>
      <c r="H1250" cm="1">
        <f t="array" aca="1" ref="H1250" ca="1">ROW(INDIRECT(A1250))</f>
        <v>106</v>
      </c>
      <c r="I1250" cm="1">
        <f t="array" aca="1" ref="I1250" ca="1">COLUMN(INDIRECT(A1250))</f>
        <v>10</v>
      </c>
      <c r="M1250" t="str" cm="1">
        <f t="array" aca="1" ref="M1250" ca="1">IF(AND(J1250="O",ISBLANK(INDIRECT(A1250))),"Valeur obligatoire non renseignée","")</f>
        <v/>
      </c>
    </row>
    <row r="1251" spans="1:13" x14ac:dyDescent="0.25">
      <c r="A1251" s="91" t="s">
        <v>4150</v>
      </c>
      <c r="B1251" cm="1">
        <f t="array" aca="1" ref="B1251" ca="1">INDIRECT(A1251)</f>
        <v>0</v>
      </c>
      <c r="C1251">
        <f t="shared" ca="1" si="76"/>
        <v>5</v>
      </c>
      <c r="D1251" t="str" cm="1">
        <f t="array" aca="1" ref="D1251" ca="1">CELL("nomfichier",INDIRECT(A1251))</f>
        <v>G:\SCPE\sdc\bq\6 - Mentions valorisantes\Certification environnementale\TEXTES_REGLEMENTATION_CE\Plans_contrôle et grilles\Grille audit niveau 3\Grille d'audit v1.11\[grille-audit-hvev4-v1.11-vf.xlsx]Surfaces_Horti</v>
      </c>
      <c r="E1251">
        <f t="shared" ca="1" si="77"/>
        <v>200</v>
      </c>
      <c r="F1251">
        <f t="shared" ca="1" si="78"/>
        <v>214</v>
      </c>
      <c r="G1251" t="str">
        <f t="shared" ca="1" si="79"/>
        <v>Surfaces_Horti</v>
      </c>
      <c r="H1251" cm="1">
        <f t="array" aca="1" ref="H1251" ca="1">ROW(INDIRECT(A1251))</f>
        <v>106</v>
      </c>
      <c r="I1251" cm="1">
        <f t="array" aca="1" ref="I1251" ca="1">COLUMN(INDIRECT(A1251))</f>
        <v>11</v>
      </c>
      <c r="M1251" t="str" cm="1">
        <f t="array" aca="1" ref="M1251" ca="1">IF(AND(J1251="O",ISBLANK(INDIRECT(A1251))),"Valeur obligatoire non renseignée","")</f>
        <v/>
      </c>
    </row>
    <row r="1252" spans="1:13" x14ac:dyDescent="0.25">
      <c r="A1252" s="91" t="s">
        <v>4177</v>
      </c>
      <c r="B1252" cm="1">
        <f t="array" aca="1" ref="B1252" ca="1">INDIRECT(A1252)</f>
        <v>0</v>
      </c>
      <c r="C1252">
        <f t="shared" ca="1" si="76"/>
        <v>5</v>
      </c>
      <c r="D1252" t="str" cm="1">
        <f t="array" aca="1" ref="D1252" ca="1">CELL("nomfichier",INDIRECT(A1252))</f>
        <v>G:\SCPE\sdc\bq\6 - Mentions valorisantes\Certification environnementale\TEXTES_REGLEMENTATION_CE\Plans_contrôle et grilles\Grille audit niveau 3\Grille d'audit v1.11\[grille-audit-hvev4-v1.11-vf.xlsx]Surfaces_Horti</v>
      </c>
      <c r="E1252">
        <f t="shared" ca="1" si="77"/>
        <v>200</v>
      </c>
      <c r="F1252">
        <f t="shared" ca="1" si="78"/>
        <v>214</v>
      </c>
      <c r="G1252" t="str">
        <f t="shared" ca="1" si="79"/>
        <v>Surfaces_Horti</v>
      </c>
      <c r="H1252" cm="1">
        <f t="array" aca="1" ref="H1252" ca="1">ROW(INDIRECT(A1252))</f>
        <v>106</v>
      </c>
      <c r="I1252" cm="1">
        <f t="array" aca="1" ref="I1252" ca="1">COLUMN(INDIRECT(A1252))</f>
        <v>12</v>
      </c>
      <c r="M1252" t="str" cm="1">
        <f t="array" aca="1" ref="M1252" ca="1">IF(AND(J1252="O",ISBLANK(INDIRECT(A1252))),"Valeur obligatoire non renseignée","")</f>
        <v/>
      </c>
    </row>
    <row r="1253" spans="1:13" x14ac:dyDescent="0.25">
      <c r="A1253" s="91" t="s">
        <v>4204</v>
      </c>
      <c r="B1253" cm="1">
        <f t="array" aca="1" ref="B1253" ca="1">INDIRECT(A1253)</f>
        <v>0</v>
      </c>
      <c r="C1253">
        <f t="shared" ca="1" si="76"/>
        <v>5</v>
      </c>
      <c r="D1253" t="str" cm="1">
        <f t="array" aca="1" ref="D1253" ca="1">CELL("nomfichier",INDIRECT(A1253))</f>
        <v>G:\SCPE\sdc\bq\6 - Mentions valorisantes\Certification environnementale\TEXTES_REGLEMENTATION_CE\Plans_contrôle et grilles\Grille audit niveau 3\Grille d'audit v1.11\[grille-audit-hvev4-v1.11-vf.xlsx]Surfaces_Horti</v>
      </c>
      <c r="E1253">
        <f t="shared" ca="1" si="77"/>
        <v>200</v>
      </c>
      <c r="F1253">
        <f t="shared" ca="1" si="78"/>
        <v>214</v>
      </c>
      <c r="G1253" t="str">
        <f t="shared" ca="1" si="79"/>
        <v>Surfaces_Horti</v>
      </c>
      <c r="H1253" cm="1">
        <f t="array" aca="1" ref="H1253" ca="1">ROW(INDIRECT(A1253))</f>
        <v>106</v>
      </c>
      <c r="I1253" cm="1">
        <f t="array" aca="1" ref="I1253" ca="1">COLUMN(INDIRECT(A1253))</f>
        <v>13</v>
      </c>
      <c r="M1253" t="str" cm="1">
        <f t="array" aca="1" ref="M1253" ca="1">IF(AND(J1253="O",ISBLANK(INDIRECT(A1253))),"Valeur obligatoire non renseignée","")</f>
        <v/>
      </c>
    </row>
    <row r="1254" spans="1:13" x14ac:dyDescent="0.25">
      <c r="A1254" s="91" t="s">
        <v>4231</v>
      </c>
      <c r="B1254" cm="1">
        <f t="array" aca="1" ref="B1254" ca="1">INDIRECT(A1254)</f>
        <v>0</v>
      </c>
      <c r="C1254">
        <f t="shared" ca="1" si="76"/>
        <v>5</v>
      </c>
      <c r="D1254" t="str" cm="1">
        <f t="array" aca="1" ref="D1254" ca="1">CELL("nomfichier",INDIRECT(A1254))</f>
        <v>G:\SCPE\sdc\bq\6 - Mentions valorisantes\Certification environnementale\TEXTES_REGLEMENTATION_CE\Plans_contrôle et grilles\Grille audit niveau 3\Grille d'audit v1.11\[grille-audit-hvev4-v1.11-vf.xlsx]Surfaces_Horti</v>
      </c>
      <c r="E1254">
        <f t="shared" ca="1" si="77"/>
        <v>200</v>
      </c>
      <c r="F1254">
        <f t="shared" ca="1" si="78"/>
        <v>214</v>
      </c>
      <c r="G1254" t="str">
        <f t="shared" ca="1" si="79"/>
        <v>Surfaces_Horti</v>
      </c>
      <c r="H1254" cm="1">
        <f t="array" aca="1" ref="H1254" ca="1">ROW(INDIRECT(A1254))</f>
        <v>106</v>
      </c>
      <c r="I1254" cm="1">
        <f t="array" aca="1" ref="I1254" ca="1">COLUMN(INDIRECT(A1254))</f>
        <v>14</v>
      </c>
      <c r="M1254" t="str" cm="1">
        <f t="array" aca="1" ref="M1254" ca="1">IF(AND(J1254="O",ISBLANK(INDIRECT(A1254))),"Valeur obligatoire non renseignée","")</f>
        <v/>
      </c>
    </row>
    <row r="1255" spans="1:13" x14ac:dyDescent="0.25">
      <c r="A1255" s="91" t="s">
        <v>3908</v>
      </c>
      <c r="B1255" cm="1">
        <f t="array" aca="1" ref="B1255" ca="1">INDIRECT(A1255)</f>
        <v>0</v>
      </c>
      <c r="C1255">
        <f t="shared" ca="1" si="76"/>
        <v>5</v>
      </c>
      <c r="D1255" t="str" cm="1">
        <f t="array" aca="1" ref="D1255" ca="1">CELL("nomfichier",INDIRECT(A1255))</f>
        <v>G:\SCPE\sdc\bq\6 - Mentions valorisantes\Certification environnementale\TEXTES_REGLEMENTATION_CE\Plans_contrôle et grilles\Grille audit niveau 3\Grille d'audit v1.11\[grille-audit-hvev4-v1.11-vf.xlsx]Surfaces_Horti</v>
      </c>
      <c r="E1255">
        <f t="shared" ca="1" si="77"/>
        <v>200</v>
      </c>
      <c r="F1255">
        <f t="shared" ca="1" si="78"/>
        <v>214</v>
      </c>
      <c r="G1255" t="str">
        <f t="shared" ca="1" si="79"/>
        <v>Surfaces_Horti</v>
      </c>
      <c r="H1255" cm="1">
        <f t="array" aca="1" ref="H1255" ca="1">ROW(INDIRECT(A1255))</f>
        <v>107</v>
      </c>
      <c r="I1255" cm="1">
        <f t="array" aca="1" ref="I1255" ca="1">COLUMN(INDIRECT(A1255))</f>
        <v>2</v>
      </c>
      <c r="M1255" t="str" cm="1">
        <f t="array" aca="1" ref="M1255" ca="1">IF(AND(J1255="O",ISBLANK(INDIRECT(A1255))),"Valeur obligatoire non renseignée","")</f>
        <v/>
      </c>
    </row>
    <row r="1256" spans="1:13" x14ac:dyDescent="0.25">
      <c r="A1256" s="91" t="s">
        <v>3935</v>
      </c>
      <c r="B1256" cm="1">
        <f t="array" aca="1" ref="B1256" ca="1">INDIRECT(A1256)</f>
        <v>0</v>
      </c>
      <c r="C1256">
        <f t="shared" ca="1" si="76"/>
        <v>5</v>
      </c>
      <c r="D1256" t="str" cm="1">
        <f t="array" aca="1" ref="D1256" ca="1">CELL("nomfichier",INDIRECT(A1256))</f>
        <v>G:\SCPE\sdc\bq\6 - Mentions valorisantes\Certification environnementale\TEXTES_REGLEMENTATION_CE\Plans_contrôle et grilles\Grille audit niveau 3\Grille d'audit v1.11\[grille-audit-hvev4-v1.11-vf.xlsx]Surfaces_Horti</v>
      </c>
      <c r="E1256">
        <f t="shared" ca="1" si="77"/>
        <v>200</v>
      </c>
      <c r="F1256">
        <f t="shared" ca="1" si="78"/>
        <v>214</v>
      </c>
      <c r="G1256" t="str">
        <f t="shared" ca="1" si="79"/>
        <v>Surfaces_Horti</v>
      </c>
      <c r="H1256" cm="1">
        <f t="array" aca="1" ref="H1256" ca="1">ROW(INDIRECT(A1256))</f>
        <v>107</v>
      </c>
      <c r="I1256" cm="1">
        <f t="array" aca="1" ref="I1256" ca="1">COLUMN(INDIRECT(A1256))</f>
        <v>3</v>
      </c>
      <c r="M1256" t="str" cm="1">
        <f t="array" aca="1" ref="M1256" ca="1">IF(AND(J1256="O",ISBLANK(INDIRECT(A1256))),"Valeur obligatoire non renseignée","")</f>
        <v/>
      </c>
    </row>
    <row r="1257" spans="1:13" x14ac:dyDescent="0.25">
      <c r="A1257" s="91" t="s">
        <v>3962</v>
      </c>
      <c r="B1257" cm="1">
        <f t="array" aca="1" ref="B1257" ca="1">INDIRECT(A1257)</f>
        <v>0</v>
      </c>
      <c r="C1257">
        <f t="shared" ca="1" si="76"/>
        <v>5</v>
      </c>
      <c r="D1257" t="str" cm="1">
        <f t="array" aca="1" ref="D1257" ca="1">CELL("nomfichier",INDIRECT(A1257))</f>
        <v>G:\SCPE\sdc\bq\6 - Mentions valorisantes\Certification environnementale\TEXTES_REGLEMENTATION_CE\Plans_contrôle et grilles\Grille audit niveau 3\Grille d'audit v1.11\[grille-audit-hvev4-v1.11-vf.xlsx]Surfaces_Horti</v>
      </c>
      <c r="E1257">
        <f t="shared" ca="1" si="77"/>
        <v>200</v>
      </c>
      <c r="F1257">
        <f t="shared" ca="1" si="78"/>
        <v>214</v>
      </c>
      <c r="G1257" t="str">
        <f t="shared" ca="1" si="79"/>
        <v>Surfaces_Horti</v>
      </c>
      <c r="H1257" cm="1">
        <f t="array" aca="1" ref="H1257" ca="1">ROW(INDIRECT(A1257))</f>
        <v>107</v>
      </c>
      <c r="I1257" cm="1">
        <f t="array" aca="1" ref="I1257" ca="1">COLUMN(INDIRECT(A1257))</f>
        <v>4</v>
      </c>
      <c r="M1257" t="str" cm="1">
        <f t="array" aca="1" ref="M1257" ca="1">IF(AND(J1257="O",ISBLANK(INDIRECT(A1257))),"Valeur obligatoire non renseignée","")</f>
        <v/>
      </c>
    </row>
    <row r="1258" spans="1:13" x14ac:dyDescent="0.25">
      <c r="A1258" s="91" t="s">
        <v>3989</v>
      </c>
      <c r="B1258" cm="1">
        <f t="array" aca="1" ref="B1258" ca="1">INDIRECT(A1258)</f>
        <v>0</v>
      </c>
      <c r="C1258">
        <f t="shared" ca="1" si="76"/>
        <v>5</v>
      </c>
      <c r="D1258" t="str" cm="1">
        <f t="array" aca="1" ref="D1258" ca="1">CELL("nomfichier",INDIRECT(A1258))</f>
        <v>G:\SCPE\sdc\bq\6 - Mentions valorisantes\Certification environnementale\TEXTES_REGLEMENTATION_CE\Plans_contrôle et grilles\Grille audit niveau 3\Grille d'audit v1.11\[grille-audit-hvev4-v1.11-vf.xlsx]Surfaces_Horti</v>
      </c>
      <c r="E1258">
        <f t="shared" ca="1" si="77"/>
        <v>200</v>
      </c>
      <c r="F1258">
        <f t="shared" ca="1" si="78"/>
        <v>214</v>
      </c>
      <c r="G1258" t="str">
        <f t="shared" ca="1" si="79"/>
        <v>Surfaces_Horti</v>
      </c>
      <c r="H1258" cm="1">
        <f t="array" aca="1" ref="H1258" ca="1">ROW(INDIRECT(A1258))</f>
        <v>107</v>
      </c>
      <c r="I1258" cm="1">
        <f t="array" aca="1" ref="I1258" ca="1">COLUMN(INDIRECT(A1258))</f>
        <v>5</v>
      </c>
      <c r="M1258" t="str" cm="1">
        <f t="array" aca="1" ref="M1258" ca="1">IF(AND(J1258="O",ISBLANK(INDIRECT(A1258))),"Valeur obligatoire non renseignée","")</f>
        <v/>
      </c>
    </row>
    <row r="1259" spans="1:13" x14ac:dyDescent="0.25">
      <c r="A1259" s="91" t="s">
        <v>4016</v>
      </c>
      <c r="B1259" cm="1">
        <f t="array" aca="1" ref="B1259" ca="1">INDIRECT(A1259)</f>
        <v>0</v>
      </c>
      <c r="C1259">
        <f t="shared" ca="1" si="76"/>
        <v>5</v>
      </c>
      <c r="D1259" t="str" cm="1">
        <f t="array" aca="1" ref="D1259" ca="1">CELL("nomfichier",INDIRECT(A1259))</f>
        <v>G:\SCPE\sdc\bq\6 - Mentions valorisantes\Certification environnementale\TEXTES_REGLEMENTATION_CE\Plans_contrôle et grilles\Grille audit niveau 3\Grille d'audit v1.11\[grille-audit-hvev4-v1.11-vf.xlsx]Surfaces_Horti</v>
      </c>
      <c r="E1259">
        <f t="shared" ca="1" si="77"/>
        <v>200</v>
      </c>
      <c r="F1259">
        <f t="shared" ca="1" si="78"/>
        <v>214</v>
      </c>
      <c r="G1259" t="str">
        <f t="shared" ca="1" si="79"/>
        <v>Surfaces_Horti</v>
      </c>
      <c r="H1259" cm="1">
        <f t="array" aca="1" ref="H1259" ca="1">ROW(INDIRECT(A1259))</f>
        <v>107</v>
      </c>
      <c r="I1259" cm="1">
        <f t="array" aca="1" ref="I1259" ca="1">COLUMN(INDIRECT(A1259))</f>
        <v>6</v>
      </c>
      <c r="M1259" t="str" cm="1">
        <f t="array" aca="1" ref="M1259" ca="1">IF(AND(J1259="O",ISBLANK(INDIRECT(A1259))),"Valeur obligatoire non renseignée","")</f>
        <v/>
      </c>
    </row>
    <row r="1260" spans="1:13" x14ac:dyDescent="0.25">
      <c r="A1260" s="91" t="s">
        <v>4043</v>
      </c>
      <c r="B1260" cm="1">
        <f t="array" aca="1" ref="B1260" ca="1">INDIRECT(A1260)</f>
        <v>0</v>
      </c>
      <c r="C1260">
        <f t="shared" ca="1" si="76"/>
        <v>5</v>
      </c>
      <c r="D1260" t="str" cm="1">
        <f t="array" aca="1" ref="D1260" ca="1">CELL("nomfichier",INDIRECT(A1260))</f>
        <v>G:\SCPE\sdc\bq\6 - Mentions valorisantes\Certification environnementale\TEXTES_REGLEMENTATION_CE\Plans_contrôle et grilles\Grille audit niveau 3\Grille d'audit v1.11\[grille-audit-hvev4-v1.11-vf.xlsx]Surfaces_Horti</v>
      </c>
      <c r="E1260">
        <f t="shared" ca="1" si="77"/>
        <v>200</v>
      </c>
      <c r="F1260">
        <f t="shared" ca="1" si="78"/>
        <v>214</v>
      </c>
      <c r="G1260" t="str">
        <f t="shared" ca="1" si="79"/>
        <v>Surfaces_Horti</v>
      </c>
      <c r="H1260" cm="1">
        <f t="array" aca="1" ref="H1260" ca="1">ROW(INDIRECT(A1260))</f>
        <v>107</v>
      </c>
      <c r="I1260" cm="1">
        <f t="array" aca="1" ref="I1260" ca="1">COLUMN(INDIRECT(A1260))</f>
        <v>7</v>
      </c>
      <c r="M1260" t="str" cm="1">
        <f t="array" aca="1" ref="M1260" ca="1">IF(AND(J1260="O",ISBLANK(INDIRECT(A1260))),"Valeur obligatoire non renseignée","")</f>
        <v/>
      </c>
    </row>
    <row r="1261" spans="1:13" x14ac:dyDescent="0.25">
      <c r="A1261" s="91" t="s">
        <v>4070</v>
      </c>
      <c r="B1261" cm="1">
        <f t="array" aca="1" ref="B1261" ca="1">INDIRECT(A1261)</f>
        <v>0</v>
      </c>
      <c r="C1261">
        <f t="shared" ca="1" si="76"/>
        <v>5</v>
      </c>
      <c r="D1261" t="str" cm="1">
        <f t="array" aca="1" ref="D1261" ca="1">CELL("nomfichier",INDIRECT(A1261))</f>
        <v>G:\SCPE\sdc\bq\6 - Mentions valorisantes\Certification environnementale\TEXTES_REGLEMENTATION_CE\Plans_contrôle et grilles\Grille audit niveau 3\Grille d'audit v1.11\[grille-audit-hvev4-v1.11-vf.xlsx]Surfaces_Horti</v>
      </c>
      <c r="E1261">
        <f t="shared" ca="1" si="77"/>
        <v>200</v>
      </c>
      <c r="F1261">
        <f t="shared" ca="1" si="78"/>
        <v>214</v>
      </c>
      <c r="G1261" t="str">
        <f t="shared" ca="1" si="79"/>
        <v>Surfaces_Horti</v>
      </c>
      <c r="H1261" cm="1">
        <f t="array" aca="1" ref="H1261" ca="1">ROW(INDIRECT(A1261))</f>
        <v>107</v>
      </c>
      <c r="I1261" cm="1">
        <f t="array" aca="1" ref="I1261" ca="1">COLUMN(INDIRECT(A1261))</f>
        <v>8</v>
      </c>
      <c r="M1261" t="str" cm="1">
        <f t="array" aca="1" ref="M1261" ca="1">IF(AND(J1261="O",ISBLANK(INDIRECT(A1261))),"Valeur obligatoire non renseignée","")</f>
        <v/>
      </c>
    </row>
    <row r="1262" spans="1:13" x14ac:dyDescent="0.25">
      <c r="A1262" s="91" t="s">
        <v>4097</v>
      </c>
      <c r="B1262" cm="1">
        <f t="array" aca="1" ref="B1262" ca="1">INDIRECT(A1262)</f>
        <v>0</v>
      </c>
      <c r="C1262">
        <f t="shared" ca="1" si="76"/>
        <v>5</v>
      </c>
      <c r="D1262" t="str" cm="1">
        <f t="array" aca="1" ref="D1262" ca="1">CELL("nomfichier",INDIRECT(A1262))</f>
        <v>G:\SCPE\sdc\bq\6 - Mentions valorisantes\Certification environnementale\TEXTES_REGLEMENTATION_CE\Plans_contrôle et grilles\Grille audit niveau 3\Grille d'audit v1.11\[grille-audit-hvev4-v1.11-vf.xlsx]Surfaces_Horti</v>
      </c>
      <c r="E1262">
        <f t="shared" ca="1" si="77"/>
        <v>200</v>
      </c>
      <c r="F1262">
        <f t="shared" ca="1" si="78"/>
        <v>214</v>
      </c>
      <c r="G1262" t="str">
        <f t="shared" ca="1" si="79"/>
        <v>Surfaces_Horti</v>
      </c>
      <c r="H1262" cm="1">
        <f t="array" aca="1" ref="H1262" ca="1">ROW(INDIRECT(A1262))</f>
        <v>107</v>
      </c>
      <c r="I1262" cm="1">
        <f t="array" aca="1" ref="I1262" ca="1">COLUMN(INDIRECT(A1262))</f>
        <v>9</v>
      </c>
      <c r="M1262" t="str" cm="1">
        <f t="array" aca="1" ref="M1262" ca="1">IF(AND(J1262="O",ISBLANK(INDIRECT(A1262))),"Valeur obligatoire non renseignée","")</f>
        <v/>
      </c>
    </row>
    <row r="1263" spans="1:13" x14ac:dyDescent="0.25">
      <c r="A1263" s="91" t="s">
        <v>4124</v>
      </c>
      <c r="B1263" cm="1">
        <f t="array" aca="1" ref="B1263" ca="1">INDIRECT(A1263)</f>
        <v>0</v>
      </c>
      <c r="C1263">
        <f t="shared" ca="1" si="76"/>
        <v>5</v>
      </c>
      <c r="D1263" t="str" cm="1">
        <f t="array" aca="1" ref="D1263" ca="1">CELL("nomfichier",INDIRECT(A1263))</f>
        <v>G:\SCPE\sdc\bq\6 - Mentions valorisantes\Certification environnementale\TEXTES_REGLEMENTATION_CE\Plans_contrôle et grilles\Grille audit niveau 3\Grille d'audit v1.11\[grille-audit-hvev4-v1.11-vf.xlsx]Surfaces_Horti</v>
      </c>
      <c r="E1263">
        <f t="shared" ca="1" si="77"/>
        <v>200</v>
      </c>
      <c r="F1263">
        <f t="shared" ca="1" si="78"/>
        <v>214</v>
      </c>
      <c r="G1263" t="str">
        <f t="shared" ca="1" si="79"/>
        <v>Surfaces_Horti</v>
      </c>
      <c r="H1263" cm="1">
        <f t="array" aca="1" ref="H1263" ca="1">ROW(INDIRECT(A1263))</f>
        <v>107</v>
      </c>
      <c r="I1263" cm="1">
        <f t="array" aca="1" ref="I1263" ca="1">COLUMN(INDIRECT(A1263))</f>
        <v>10</v>
      </c>
      <c r="M1263" t="str" cm="1">
        <f t="array" aca="1" ref="M1263" ca="1">IF(AND(J1263="O",ISBLANK(INDIRECT(A1263))),"Valeur obligatoire non renseignée","")</f>
        <v/>
      </c>
    </row>
    <row r="1264" spans="1:13" x14ac:dyDescent="0.25">
      <c r="A1264" s="91" t="s">
        <v>4151</v>
      </c>
      <c r="B1264" cm="1">
        <f t="array" aca="1" ref="B1264" ca="1">INDIRECT(A1264)</f>
        <v>0</v>
      </c>
      <c r="C1264">
        <f t="shared" ca="1" si="76"/>
        <v>5</v>
      </c>
      <c r="D1264" t="str" cm="1">
        <f t="array" aca="1" ref="D1264" ca="1">CELL("nomfichier",INDIRECT(A1264))</f>
        <v>G:\SCPE\sdc\bq\6 - Mentions valorisantes\Certification environnementale\TEXTES_REGLEMENTATION_CE\Plans_contrôle et grilles\Grille audit niveau 3\Grille d'audit v1.11\[grille-audit-hvev4-v1.11-vf.xlsx]Surfaces_Horti</v>
      </c>
      <c r="E1264">
        <f t="shared" ca="1" si="77"/>
        <v>200</v>
      </c>
      <c r="F1264">
        <f t="shared" ca="1" si="78"/>
        <v>214</v>
      </c>
      <c r="G1264" t="str">
        <f t="shared" ca="1" si="79"/>
        <v>Surfaces_Horti</v>
      </c>
      <c r="H1264" cm="1">
        <f t="array" aca="1" ref="H1264" ca="1">ROW(INDIRECT(A1264))</f>
        <v>107</v>
      </c>
      <c r="I1264" cm="1">
        <f t="array" aca="1" ref="I1264" ca="1">COLUMN(INDIRECT(A1264))</f>
        <v>11</v>
      </c>
      <c r="M1264" t="str" cm="1">
        <f t="array" aca="1" ref="M1264" ca="1">IF(AND(J1264="O",ISBLANK(INDIRECT(A1264))),"Valeur obligatoire non renseignée","")</f>
        <v/>
      </c>
    </row>
    <row r="1265" spans="1:13" x14ac:dyDescent="0.25">
      <c r="A1265" s="91" t="s">
        <v>4178</v>
      </c>
      <c r="B1265" cm="1">
        <f t="array" aca="1" ref="B1265" ca="1">INDIRECT(A1265)</f>
        <v>0</v>
      </c>
      <c r="C1265">
        <f t="shared" ca="1" si="76"/>
        <v>5</v>
      </c>
      <c r="D1265" t="str" cm="1">
        <f t="array" aca="1" ref="D1265" ca="1">CELL("nomfichier",INDIRECT(A1265))</f>
        <v>G:\SCPE\sdc\bq\6 - Mentions valorisantes\Certification environnementale\TEXTES_REGLEMENTATION_CE\Plans_contrôle et grilles\Grille audit niveau 3\Grille d'audit v1.11\[grille-audit-hvev4-v1.11-vf.xlsx]Surfaces_Horti</v>
      </c>
      <c r="E1265">
        <f t="shared" ca="1" si="77"/>
        <v>200</v>
      </c>
      <c r="F1265">
        <f t="shared" ca="1" si="78"/>
        <v>214</v>
      </c>
      <c r="G1265" t="str">
        <f t="shared" ca="1" si="79"/>
        <v>Surfaces_Horti</v>
      </c>
      <c r="H1265" cm="1">
        <f t="array" aca="1" ref="H1265" ca="1">ROW(INDIRECT(A1265))</f>
        <v>107</v>
      </c>
      <c r="I1265" cm="1">
        <f t="array" aca="1" ref="I1265" ca="1">COLUMN(INDIRECT(A1265))</f>
        <v>12</v>
      </c>
      <c r="M1265" t="str" cm="1">
        <f t="array" aca="1" ref="M1265" ca="1">IF(AND(J1265="O",ISBLANK(INDIRECT(A1265))),"Valeur obligatoire non renseignée","")</f>
        <v/>
      </c>
    </row>
    <row r="1266" spans="1:13" x14ac:dyDescent="0.25">
      <c r="A1266" s="91" t="s">
        <v>4205</v>
      </c>
      <c r="B1266" cm="1">
        <f t="array" aca="1" ref="B1266" ca="1">INDIRECT(A1266)</f>
        <v>0</v>
      </c>
      <c r="C1266">
        <f t="shared" ca="1" si="76"/>
        <v>5</v>
      </c>
      <c r="D1266" t="str" cm="1">
        <f t="array" aca="1" ref="D1266" ca="1">CELL("nomfichier",INDIRECT(A1266))</f>
        <v>G:\SCPE\sdc\bq\6 - Mentions valorisantes\Certification environnementale\TEXTES_REGLEMENTATION_CE\Plans_contrôle et grilles\Grille audit niveau 3\Grille d'audit v1.11\[grille-audit-hvev4-v1.11-vf.xlsx]Surfaces_Horti</v>
      </c>
      <c r="E1266">
        <f t="shared" ca="1" si="77"/>
        <v>200</v>
      </c>
      <c r="F1266">
        <f t="shared" ca="1" si="78"/>
        <v>214</v>
      </c>
      <c r="G1266" t="str">
        <f t="shared" ca="1" si="79"/>
        <v>Surfaces_Horti</v>
      </c>
      <c r="H1266" cm="1">
        <f t="array" aca="1" ref="H1266" ca="1">ROW(INDIRECT(A1266))</f>
        <v>107</v>
      </c>
      <c r="I1266" cm="1">
        <f t="array" aca="1" ref="I1266" ca="1">COLUMN(INDIRECT(A1266))</f>
        <v>13</v>
      </c>
      <c r="M1266" t="str" cm="1">
        <f t="array" aca="1" ref="M1266" ca="1">IF(AND(J1266="O",ISBLANK(INDIRECT(A1266))),"Valeur obligatoire non renseignée","")</f>
        <v/>
      </c>
    </row>
    <row r="1267" spans="1:13" x14ac:dyDescent="0.25">
      <c r="A1267" s="91" t="s">
        <v>4232</v>
      </c>
      <c r="B1267" cm="1">
        <f t="array" aca="1" ref="B1267" ca="1">INDIRECT(A1267)</f>
        <v>0</v>
      </c>
      <c r="C1267">
        <f t="shared" ca="1" si="76"/>
        <v>5</v>
      </c>
      <c r="D1267" t="str" cm="1">
        <f t="array" aca="1" ref="D1267" ca="1">CELL("nomfichier",INDIRECT(A1267))</f>
        <v>G:\SCPE\sdc\bq\6 - Mentions valorisantes\Certification environnementale\TEXTES_REGLEMENTATION_CE\Plans_contrôle et grilles\Grille audit niveau 3\Grille d'audit v1.11\[grille-audit-hvev4-v1.11-vf.xlsx]Surfaces_Horti</v>
      </c>
      <c r="E1267">
        <f t="shared" ca="1" si="77"/>
        <v>200</v>
      </c>
      <c r="F1267">
        <f t="shared" ca="1" si="78"/>
        <v>214</v>
      </c>
      <c r="G1267" t="str">
        <f t="shared" ca="1" si="79"/>
        <v>Surfaces_Horti</v>
      </c>
      <c r="H1267" cm="1">
        <f t="array" aca="1" ref="H1267" ca="1">ROW(INDIRECT(A1267))</f>
        <v>107</v>
      </c>
      <c r="I1267" cm="1">
        <f t="array" aca="1" ref="I1267" ca="1">COLUMN(INDIRECT(A1267))</f>
        <v>14</v>
      </c>
      <c r="M1267" t="str" cm="1">
        <f t="array" aca="1" ref="M1267" ca="1">IF(AND(J1267="O",ISBLANK(INDIRECT(A1267))),"Valeur obligatoire non renseignée","")</f>
        <v/>
      </c>
    </row>
    <row r="1268" spans="1:13" x14ac:dyDescent="0.25">
      <c r="A1268" s="91" t="s">
        <v>3909</v>
      </c>
      <c r="B1268" cm="1">
        <f t="array" aca="1" ref="B1268" ca="1">INDIRECT(A1268)</f>
        <v>0</v>
      </c>
      <c r="C1268">
        <f t="shared" ca="1" si="76"/>
        <v>5</v>
      </c>
      <c r="D1268" t="str" cm="1">
        <f t="array" aca="1" ref="D1268" ca="1">CELL("nomfichier",INDIRECT(A1268))</f>
        <v>G:\SCPE\sdc\bq\6 - Mentions valorisantes\Certification environnementale\TEXTES_REGLEMENTATION_CE\Plans_contrôle et grilles\Grille audit niveau 3\Grille d'audit v1.11\[grille-audit-hvev4-v1.11-vf.xlsx]Surfaces_Horti</v>
      </c>
      <c r="E1268">
        <f t="shared" ca="1" si="77"/>
        <v>200</v>
      </c>
      <c r="F1268">
        <f t="shared" ca="1" si="78"/>
        <v>214</v>
      </c>
      <c r="G1268" t="str">
        <f t="shared" ca="1" si="79"/>
        <v>Surfaces_Horti</v>
      </c>
      <c r="H1268" cm="1">
        <f t="array" aca="1" ref="H1268" ca="1">ROW(INDIRECT(A1268))</f>
        <v>109</v>
      </c>
      <c r="I1268" cm="1">
        <f t="array" aca="1" ref="I1268" ca="1">COLUMN(INDIRECT(A1268))</f>
        <v>2</v>
      </c>
      <c r="M1268" t="str" cm="1">
        <f t="array" aca="1" ref="M1268" ca="1">IF(AND(J1268="O",ISBLANK(INDIRECT(A1268))),"Valeur obligatoire non renseignée","")</f>
        <v/>
      </c>
    </row>
    <row r="1269" spans="1:13" x14ac:dyDescent="0.25">
      <c r="A1269" s="91" t="s">
        <v>3936</v>
      </c>
      <c r="B1269" cm="1">
        <f t="array" aca="1" ref="B1269" ca="1">INDIRECT(A1269)</f>
        <v>0</v>
      </c>
      <c r="C1269">
        <f t="shared" ca="1" si="76"/>
        <v>5</v>
      </c>
      <c r="D1269" t="str" cm="1">
        <f t="array" aca="1" ref="D1269" ca="1">CELL("nomfichier",INDIRECT(A1269))</f>
        <v>G:\SCPE\sdc\bq\6 - Mentions valorisantes\Certification environnementale\TEXTES_REGLEMENTATION_CE\Plans_contrôle et grilles\Grille audit niveau 3\Grille d'audit v1.11\[grille-audit-hvev4-v1.11-vf.xlsx]Surfaces_Horti</v>
      </c>
      <c r="E1269">
        <f t="shared" ca="1" si="77"/>
        <v>200</v>
      </c>
      <c r="F1269">
        <f t="shared" ca="1" si="78"/>
        <v>214</v>
      </c>
      <c r="G1269" t="str">
        <f t="shared" ca="1" si="79"/>
        <v>Surfaces_Horti</v>
      </c>
      <c r="H1269" cm="1">
        <f t="array" aca="1" ref="H1269" ca="1">ROW(INDIRECT(A1269))</f>
        <v>109</v>
      </c>
      <c r="I1269" cm="1">
        <f t="array" aca="1" ref="I1269" ca="1">COLUMN(INDIRECT(A1269))</f>
        <v>3</v>
      </c>
      <c r="M1269" t="str" cm="1">
        <f t="array" aca="1" ref="M1269" ca="1">IF(AND(J1269="O",ISBLANK(INDIRECT(A1269))),"Valeur obligatoire non renseignée","")</f>
        <v/>
      </c>
    </row>
    <row r="1270" spans="1:13" x14ac:dyDescent="0.25">
      <c r="A1270" s="91" t="s">
        <v>3963</v>
      </c>
      <c r="B1270" cm="1">
        <f t="array" aca="1" ref="B1270" ca="1">INDIRECT(A1270)</f>
        <v>0</v>
      </c>
      <c r="C1270">
        <f t="shared" ca="1" si="76"/>
        <v>5</v>
      </c>
      <c r="D1270" t="str" cm="1">
        <f t="array" aca="1" ref="D1270" ca="1">CELL("nomfichier",INDIRECT(A1270))</f>
        <v>G:\SCPE\sdc\bq\6 - Mentions valorisantes\Certification environnementale\TEXTES_REGLEMENTATION_CE\Plans_contrôle et grilles\Grille audit niveau 3\Grille d'audit v1.11\[grille-audit-hvev4-v1.11-vf.xlsx]Surfaces_Horti</v>
      </c>
      <c r="E1270">
        <f t="shared" ca="1" si="77"/>
        <v>200</v>
      </c>
      <c r="F1270">
        <f t="shared" ca="1" si="78"/>
        <v>214</v>
      </c>
      <c r="G1270" t="str">
        <f t="shared" ca="1" si="79"/>
        <v>Surfaces_Horti</v>
      </c>
      <c r="H1270" cm="1">
        <f t="array" aca="1" ref="H1270" ca="1">ROW(INDIRECT(A1270))</f>
        <v>109</v>
      </c>
      <c r="I1270" cm="1">
        <f t="array" aca="1" ref="I1270" ca="1">COLUMN(INDIRECT(A1270))</f>
        <v>4</v>
      </c>
      <c r="M1270" t="str" cm="1">
        <f t="array" aca="1" ref="M1270" ca="1">IF(AND(J1270="O",ISBLANK(INDIRECT(A1270))),"Valeur obligatoire non renseignée","")</f>
        <v/>
      </c>
    </row>
    <row r="1271" spans="1:13" x14ac:dyDescent="0.25">
      <c r="A1271" s="91" t="s">
        <v>3990</v>
      </c>
      <c r="B1271" cm="1">
        <f t="array" aca="1" ref="B1271" ca="1">INDIRECT(A1271)</f>
        <v>0</v>
      </c>
      <c r="C1271">
        <f t="shared" ca="1" si="76"/>
        <v>5</v>
      </c>
      <c r="D1271" t="str" cm="1">
        <f t="array" aca="1" ref="D1271" ca="1">CELL("nomfichier",INDIRECT(A1271))</f>
        <v>G:\SCPE\sdc\bq\6 - Mentions valorisantes\Certification environnementale\TEXTES_REGLEMENTATION_CE\Plans_contrôle et grilles\Grille audit niveau 3\Grille d'audit v1.11\[grille-audit-hvev4-v1.11-vf.xlsx]Surfaces_Horti</v>
      </c>
      <c r="E1271">
        <f t="shared" ca="1" si="77"/>
        <v>200</v>
      </c>
      <c r="F1271">
        <f t="shared" ca="1" si="78"/>
        <v>214</v>
      </c>
      <c r="G1271" t="str">
        <f t="shared" ca="1" si="79"/>
        <v>Surfaces_Horti</v>
      </c>
      <c r="H1271" cm="1">
        <f t="array" aca="1" ref="H1271" ca="1">ROW(INDIRECT(A1271))</f>
        <v>109</v>
      </c>
      <c r="I1271" cm="1">
        <f t="array" aca="1" ref="I1271" ca="1">COLUMN(INDIRECT(A1271))</f>
        <v>5</v>
      </c>
      <c r="M1271" t="str" cm="1">
        <f t="array" aca="1" ref="M1271" ca="1">IF(AND(J1271="O",ISBLANK(INDIRECT(A1271))),"Valeur obligatoire non renseignée","")</f>
        <v/>
      </c>
    </row>
    <row r="1272" spans="1:13" x14ac:dyDescent="0.25">
      <c r="A1272" s="91" t="s">
        <v>4017</v>
      </c>
      <c r="B1272" cm="1">
        <f t="array" aca="1" ref="B1272" ca="1">INDIRECT(A1272)</f>
        <v>0</v>
      </c>
      <c r="C1272">
        <f t="shared" ca="1" si="76"/>
        <v>5</v>
      </c>
      <c r="D1272" t="str" cm="1">
        <f t="array" aca="1" ref="D1272" ca="1">CELL("nomfichier",INDIRECT(A1272))</f>
        <v>G:\SCPE\sdc\bq\6 - Mentions valorisantes\Certification environnementale\TEXTES_REGLEMENTATION_CE\Plans_contrôle et grilles\Grille audit niveau 3\Grille d'audit v1.11\[grille-audit-hvev4-v1.11-vf.xlsx]Surfaces_Horti</v>
      </c>
      <c r="E1272">
        <f t="shared" ca="1" si="77"/>
        <v>200</v>
      </c>
      <c r="F1272">
        <f t="shared" ca="1" si="78"/>
        <v>214</v>
      </c>
      <c r="G1272" t="str">
        <f t="shared" ca="1" si="79"/>
        <v>Surfaces_Horti</v>
      </c>
      <c r="H1272" cm="1">
        <f t="array" aca="1" ref="H1272" ca="1">ROW(INDIRECT(A1272))</f>
        <v>109</v>
      </c>
      <c r="I1272" cm="1">
        <f t="array" aca="1" ref="I1272" ca="1">COLUMN(INDIRECT(A1272))</f>
        <v>6</v>
      </c>
      <c r="M1272" t="str" cm="1">
        <f t="array" aca="1" ref="M1272" ca="1">IF(AND(J1272="O",ISBLANK(INDIRECT(A1272))),"Valeur obligatoire non renseignée","")</f>
        <v/>
      </c>
    </row>
    <row r="1273" spans="1:13" x14ac:dyDescent="0.25">
      <c r="A1273" s="91" t="s">
        <v>4044</v>
      </c>
      <c r="B1273" cm="1">
        <f t="array" aca="1" ref="B1273" ca="1">INDIRECT(A1273)</f>
        <v>0</v>
      </c>
      <c r="C1273">
        <f t="shared" ca="1" si="76"/>
        <v>5</v>
      </c>
      <c r="D1273" t="str" cm="1">
        <f t="array" aca="1" ref="D1273" ca="1">CELL("nomfichier",INDIRECT(A1273))</f>
        <v>G:\SCPE\sdc\bq\6 - Mentions valorisantes\Certification environnementale\TEXTES_REGLEMENTATION_CE\Plans_contrôle et grilles\Grille audit niveau 3\Grille d'audit v1.11\[grille-audit-hvev4-v1.11-vf.xlsx]Surfaces_Horti</v>
      </c>
      <c r="E1273">
        <f t="shared" ca="1" si="77"/>
        <v>200</v>
      </c>
      <c r="F1273">
        <f t="shared" ca="1" si="78"/>
        <v>214</v>
      </c>
      <c r="G1273" t="str">
        <f t="shared" ca="1" si="79"/>
        <v>Surfaces_Horti</v>
      </c>
      <c r="H1273" cm="1">
        <f t="array" aca="1" ref="H1273" ca="1">ROW(INDIRECT(A1273))</f>
        <v>109</v>
      </c>
      <c r="I1273" cm="1">
        <f t="array" aca="1" ref="I1273" ca="1">COLUMN(INDIRECT(A1273))</f>
        <v>7</v>
      </c>
      <c r="M1273" t="str" cm="1">
        <f t="array" aca="1" ref="M1273" ca="1">IF(AND(J1273="O",ISBLANK(INDIRECT(A1273))),"Valeur obligatoire non renseignée","")</f>
        <v/>
      </c>
    </row>
    <row r="1274" spans="1:13" x14ac:dyDescent="0.25">
      <c r="A1274" s="91" t="s">
        <v>4071</v>
      </c>
      <c r="B1274" cm="1">
        <f t="array" aca="1" ref="B1274" ca="1">INDIRECT(A1274)</f>
        <v>0</v>
      </c>
      <c r="C1274">
        <f t="shared" ca="1" si="76"/>
        <v>5</v>
      </c>
      <c r="D1274" t="str" cm="1">
        <f t="array" aca="1" ref="D1274" ca="1">CELL("nomfichier",INDIRECT(A1274))</f>
        <v>G:\SCPE\sdc\bq\6 - Mentions valorisantes\Certification environnementale\TEXTES_REGLEMENTATION_CE\Plans_contrôle et grilles\Grille audit niveau 3\Grille d'audit v1.11\[grille-audit-hvev4-v1.11-vf.xlsx]Surfaces_Horti</v>
      </c>
      <c r="E1274">
        <f t="shared" ca="1" si="77"/>
        <v>200</v>
      </c>
      <c r="F1274">
        <f t="shared" ca="1" si="78"/>
        <v>214</v>
      </c>
      <c r="G1274" t="str">
        <f t="shared" ca="1" si="79"/>
        <v>Surfaces_Horti</v>
      </c>
      <c r="H1274" cm="1">
        <f t="array" aca="1" ref="H1274" ca="1">ROW(INDIRECT(A1274))</f>
        <v>109</v>
      </c>
      <c r="I1274" cm="1">
        <f t="array" aca="1" ref="I1274" ca="1">COLUMN(INDIRECT(A1274))</f>
        <v>8</v>
      </c>
      <c r="M1274" t="str" cm="1">
        <f t="array" aca="1" ref="M1274" ca="1">IF(AND(J1274="O",ISBLANK(INDIRECT(A1274))),"Valeur obligatoire non renseignée","")</f>
        <v/>
      </c>
    </row>
    <row r="1275" spans="1:13" x14ac:dyDescent="0.25">
      <c r="A1275" s="91" t="s">
        <v>4098</v>
      </c>
      <c r="B1275" cm="1">
        <f t="array" aca="1" ref="B1275" ca="1">INDIRECT(A1275)</f>
        <v>0</v>
      </c>
      <c r="C1275">
        <f t="shared" ca="1" si="76"/>
        <v>5</v>
      </c>
      <c r="D1275" t="str" cm="1">
        <f t="array" aca="1" ref="D1275" ca="1">CELL("nomfichier",INDIRECT(A1275))</f>
        <v>G:\SCPE\sdc\bq\6 - Mentions valorisantes\Certification environnementale\TEXTES_REGLEMENTATION_CE\Plans_contrôle et grilles\Grille audit niveau 3\Grille d'audit v1.11\[grille-audit-hvev4-v1.11-vf.xlsx]Surfaces_Horti</v>
      </c>
      <c r="E1275">
        <f t="shared" ca="1" si="77"/>
        <v>200</v>
      </c>
      <c r="F1275">
        <f t="shared" ca="1" si="78"/>
        <v>214</v>
      </c>
      <c r="G1275" t="str">
        <f t="shared" ca="1" si="79"/>
        <v>Surfaces_Horti</v>
      </c>
      <c r="H1275" cm="1">
        <f t="array" aca="1" ref="H1275" ca="1">ROW(INDIRECT(A1275))</f>
        <v>109</v>
      </c>
      <c r="I1275" cm="1">
        <f t="array" aca="1" ref="I1275" ca="1">COLUMN(INDIRECT(A1275))</f>
        <v>9</v>
      </c>
      <c r="M1275" t="str" cm="1">
        <f t="array" aca="1" ref="M1275" ca="1">IF(AND(J1275="O",ISBLANK(INDIRECT(A1275))),"Valeur obligatoire non renseignée","")</f>
        <v/>
      </c>
    </row>
    <row r="1276" spans="1:13" x14ac:dyDescent="0.25">
      <c r="A1276" s="91" t="s">
        <v>4125</v>
      </c>
      <c r="B1276" cm="1">
        <f t="array" aca="1" ref="B1276" ca="1">INDIRECT(A1276)</f>
        <v>0</v>
      </c>
      <c r="C1276">
        <f t="shared" ca="1" si="76"/>
        <v>5</v>
      </c>
      <c r="D1276" t="str" cm="1">
        <f t="array" aca="1" ref="D1276" ca="1">CELL("nomfichier",INDIRECT(A1276))</f>
        <v>G:\SCPE\sdc\bq\6 - Mentions valorisantes\Certification environnementale\TEXTES_REGLEMENTATION_CE\Plans_contrôle et grilles\Grille audit niveau 3\Grille d'audit v1.11\[grille-audit-hvev4-v1.11-vf.xlsx]Surfaces_Horti</v>
      </c>
      <c r="E1276">
        <f t="shared" ca="1" si="77"/>
        <v>200</v>
      </c>
      <c r="F1276">
        <f t="shared" ca="1" si="78"/>
        <v>214</v>
      </c>
      <c r="G1276" t="str">
        <f t="shared" ca="1" si="79"/>
        <v>Surfaces_Horti</v>
      </c>
      <c r="H1276" cm="1">
        <f t="array" aca="1" ref="H1276" ca="1">ROW(INDIRECT(A1276))</f>
        <v>109</v>
      </c>
      <c r="I1276" cm="1">
        <f t="array" aca="1" ref="I1276" ca="1">COLUMN(INDIRECT(A1276))</f>
        <v>10</v>
      </c>
      <c r="M1276" t="str" cm="1">
        <f t="array" aca="1" ref="M1276" ca="1">IF(AND(J1276="O",ISBLANK(INDIRECT(A1276))),"Valeur obligatoire non renseignée","")</f>
        <v/>
      </c>
    </row>
    <row r="1277" spans="1:13" x14ac:dyDescent="0.25">
      <c r="A1277" s="91" t="s">
        <v>4152</v>
      </c>
      <c r="B1277" cm="1">
        <f t="array" aca="1" ref="B1277" ca="1">INDIRECT(A1277)</f>
        <v>0</v>
      </c>
      <c r="C1277">
        <f t="shared" ca="1" si="76"/>
        <v>5</v>
      </c>
      <c r="D1277" t="str" cm="1">
        <f t="array" aca="1" ref="D1277" ca="1">CELL("nomfichier",INDIRECT(A1277))</f>
        <v>G:\SCPE\sdc\bq\6 - Mentions valorisantes\Certification environnementale\TEXTES_REGLEMENTATION_CE\Plans_contrôle et grilles\Grille audit niveau 3\Grille d'audit v1.11\[grille-audit-hvev4-v1.11-vf.xlsx]Surfaces_Horti</v>
      </c>
      <c r="E1277">
        <f t="shared" ca="1" si="77"/>
        <v>200</v>
      </c>
      <c r="F1277">
        <f t="shared" ca="1" si="78"/>
        <v>214</v>
      </c>
      <c r="G1277" t="str">
        <f t="shared" ca="1" si="79"/>
        <v>Surfaces_Horti</v>
      </c>
      <c r="H1277" cm="1">
        <f t="array" aca="1" ref="H1277" ca="1">ROW(INDIRECT(A1277))</f>
        <v>109</v>
      </c>
      <c r="I1277" cm="1">
        <f t="array" aca="1" ref="I1277" ca="1">COLUMN(INDIRECT(A1277))</f>
        <v>11</v>
      </c>
      <c r="M1277" t="str" cm="1">
        <f t="array" aca="1" ref="M1277" ca="1">IF(AND(J1277="O",ISBLANK(INDIRECT(A1277))),"Valeur obligatoire non renseignée","")</f>
        <v/>
      </c>
    </row>
    <row r="1278" spans="1:13" x14ac:dyDescent="0.25">
      <c r="A1278" s="91" t="s">
        <v>4179</v>
      </c>
      <c r="B1278" cm="1">
        <f t="array" aca="1" ref="B1278" ca="1">INDIRECT(A1278)</f>
        <v>0</v>
      </c>
      <c r="C1278">
        <f t="shared" ca="1" si="76"/>
        <v>5</v>
      </c>
      <c r="D1278" t="str" cm="1">
        <f t="array" aca="1" ref="D1278" ca="1">CELL("nomfichier",INDIRECT(A1278))</f>
        <v>G:\SCPE\sdc\bq\6 - Mentions valorisantes\Certification environnementale\TEXTES_REGLEMENTATION_CE\Plans_contrôle et grilles\Grille audit niveau 3\Grille d'audit v1.11\[grille-audit-hvev4-v1.11-vf.xlsx]Surfaces_Horti</v>
      </c>
      <c r="E1278">
        <f t="shared" ca="1" si="77"/>
        <v>200</v>
      </c>
      <c r="F1278">
        <f t="shared" ca="1" si="78"/>
        <v>214</v>
      </c>
      <c r="G1278" t="str">
        <f t="shared" ca="1" si="79"/>
        <v>Surfaces_Horti</v>
      </c>
      <c r="H1278" cm="1">
        <f t="array" aca="1" ref="H1278" ca="1">ROW(INDIRECT(A1278))</f>
        <v>109</v>
      </c>
      <c r="I1278" cm="1">
        <f t="array" aca="1" ref="I1278" ca="1">COLUMN(INDIRECT(A1278))</f>
        <v>12</v>
      </c>
      <c r="M1278" t="str" cm="1">
        <f t="array" aca="1" ref="M1278" ca="1">IF(AND(J1278="O",ISBLANK(INDIRECT(A1278))),"Valeur obligatoire non renseignée","")</f>
        <v/>
      </c>
    </row>
    <row r="1279" spans="1:13" x14ac:dyDescent="0.25">
      <c r="A1279" s="91" t="s">
        <v>4206</v>
      </c>
      <c r="B1279" cm="1">
        <f t="array" aca="1" ref="B1279" ca="1">INDIRECT(A1279)</f>
        <v>0</v>
      </c>
      <c r="C1279">
        <f t="shared" ca="1" si="76"/>
        <v>5</v>
      </c>
      <c r="D1279" t="str" cm="1">
        <f t="array" aca="1" ref="D1279" ca="1">CELL("nomfichier",INDIRECT(A1279))</f>
        <v>G:\SCPE\sdc\bq\6 - Mentions valorisantes\Certification environnementale\TEXTES_REGLEMENTATION_CE\Plans_contrôle et grilles\Grille audit niveau 3\Grille d'audit v1.11\[grille-audit-hvev4-v1.11-vf.xlsx]Surfaces_Horti</v>
      </c>
      <c r="E1279">
        <f t="shared" ca="1" si="77"/>
        <v>200</v>
      </c>
      <c r="F1279">
        <f t="shared" ca="1" si="78"/>
        <v>214</v>
      </c>
      <c r="G1279" t="str">
        <f t="shared" ca="1" si="79"/>
        <v>Surfaces_Horti</v>
      </c>
      <c r="H1279" cm="1">
        <f t="array" aca="1" ref="H1279" ca="1">ROW(INDIRECT(A1279))</f>
        <v>109</v>
      </c>
      <c r="I1279" cm="1">
        <f t="array" aca="1" ref="I1279" ca="1">COLUMN(INDIRECT(A1279))</f>
        <v>13</v>
      </c>
      <c r="M1279" t="str" cm="1">
        <f t="array" aca="1" ref="M1279" ca="1">IF(AND(J1279="O",ISBLANK(INDIRECT(A1279))),"Valeur obligatoire non renseignée","")</f>
        <v/>
      </c>
    </row>
    <row r="1280" spans="1:13" x14ac:dyDescent="0.25">
      <c r="A1280" s="91" t="s">
        <v>4233</v>
      </c>
      <c r="B1280" cm="1">
        <f t="array" aca="1" ref="B1280" ca="1">INDIRECT(A1280)</f>
        <v>0</v>
      </c>
      <c r="C1280">
        <f t="shared" ca="1" si="76"/>
        <v>5</v>
      </c>
      <c r="D1280" t="str" cm="1">
        <f t="array" aca="1" ref="D1280" ca="1">CELL("nomfichier",INDIRECT(A1280))</f>
        <v>G:\SCPE\sdc\bq\6 - Mentions valorisantes\Certification environnementale\TEXTES_REGLEMENTATION_CE\Plans_contrôle et grilles\Grille audit niveau 3\Grille d'audit v1.11\[grille-audit-hvev4-v1.11-vf.xlsx]Surfaces_Horti</v>
      </c>
      <c r="E1280">
        <f t="shared" ca="1" si="77"/>
        <v>200</v>
      </c>
      <c r="F1280">
        <f t="shared" ca="1" si="78"/>
        <v>214</v>
      </c>
      <c r="G1280" t="str">
        <f t="shared" ca="1" si="79"/>
        <v>Surfaces_Horti</v>
      </c>
      <c r="H1280" cm="1">
        <f t="array" aca="1" ref="H1280" ca="1">ROW(INDIRECT(A1280))</f>
        <v>109</v>
      </c>
      <c r="I1280" cm="1">
        <f t="array" aca="1" ref="I1280" ca="1">COLUMN(INDIRECT(A1280))</f>
        <v>14</v>
      </c>
      <c r="M1280" t="str" cm="1">
        <f t="array" aca="1" ref="M1280" ca="1">IF(AND(J1280="O",ISBLANK(INDIRECT(A1280))),"Valeur obligatoire non renseignée","")</f>
        <v/>
      </c>
    </row>
    <row r="1281" spans="1:13" x14ac:dyDescent="0.25">
      <c r="A1281" s="91" t="s">
        <v>3910</v>
      </c>
      <c r="B1281" cm="1">
        <f t="array" aca="1" ref="B1281" ca="1">INDIRECT(A1281)</f>
        <v>0</v>
      </c>
      <c r="C1281">
        <f t="shared" ca="1" si="76"/>
        <v>5</v>
      </c>
      <c r="D1281" t="str" cm="1">
        <f t="array" aca="1" ref="D1281" ca="1">CELL("nomfichier",INDIRECT(A1281))</f>
        <v>G:\SCPE\sdc\bq\6 - Mentions valorisantes\Certification environnementale\TEXTES_REGLEMENTATION_CE\Plans_contrôle et grilles\Grille audit niveau 3\Grille d'audit v1.11\[grille-audit-hvev4-v1.11-vf.xlsx]Surfaces_Horti</v>
      </c>
      <c r="E1281">
        <f t="shared" ca="1" si="77"/>
        <v>200</v>
      </c>
      <c r="F1281">
        <f t="shared" ca="1" si="78"/>
        <v>214</v>
      </c>
      <c r="G1281" t="str">
        <f t="shared" ca="1" si="79"/>
        <v>Surfaces_Horti</v>
      </c>
      <c r="H1281" cm="1">
        <f t="array" aca="1" ref="H1281" ca="1">ROW(INDIRECT(A1281))</f>
        <v>110</v>
      </c>
      <c r="I1281" cm="1">
        <f t="array" aca="1" ref="I1281" ca="1">COLUMN(INDIRECT(A1281))</f>
        <v>2</v>
      </c>
      <c r="M1281" t="str" cm="1">
        <f t="array" aca="1" ref="M1281" ca="1">IF(AND(J1281="O",ISBLANK(INDIRECT(A1281))),"Valeur obligatoire non renseignée","")</f>
        <v/>
      </c>
    </row>
    <row r="1282" spans="1:13" x14ac:dyDescent="0.25">
      <c r="A1282" s="91" t="s">
        <v>3937</v>
      </c>
      <c r="B1282" cm="1">
        <f t="array" aca="1" ref="B1282" ca="1">INDIRECT(A1282)</f>
        <v>0</v>
      </c>
      <c r="C1282">
        <f t="shared" ref="C1282:C1345" ca="1" si="80">_xlfn.SHEET(INDIRECT(A1282))</f>
        <v>5</v>
      </c>
      <c r="D1282" t="str" cm="1">
        <f t="array" aca="1" ref="D1282" ca="1">CELL("nomfichier",INDIRECT(A1282))</f>
        <v>G:\SCPE\sdc\bq\6 - Mentions valorisantes\Certification environnementale\TEXTES_REGLEMENTATION_CE\Plans_contrôle et grilles\Grille audit niveau 3\Grille d'audit v1.11\[grille-audit-hvev4-v1.11-vf.xlsx]Surfaces_Horti</v>
      </c>
      <c r="E1282">
        <f t="shared" ref="E1282:E1345" ca="1" si="81">FIND("]",D1282)</f>
        <v>200</v>
      </c>
      <c r="F1282">
        <f t="shared" ref="F1282:F1345" ca="1" si="82">LEN(D1282)</f>
        <v>214</v>
      </c>
      <c r="G1282" t="str">
        <f t="shared" ref="G1282:G1345" ca="1" si="83">RIGHT(D1282,F1282-E1282)</f>
        <v>Surfaces_Horti</v>
      </c>
      <c r="H1282" cm="1">
        <f t="array" aca="1" ref="H1282" ca="1">ROW(INDIRECT(A1282))</f>
        <v>110</v>
      </c>
      <c r="I1282" cm="1">
        <f t="array" aca="1" ref="I1282" ca="1">COLUMN(INDIRECT(A1282))</f>
        <v>3</v>
      </c>
      <c r="M1282" t="str" cm="1">
        <f t="array" aca="1" ref="M1282" ca="1">IF(AND(J1282="O",ISBLANK(INDIRECT(A1282))),"Valeur obligatoire non renseignée","")</f>
        <v/>
      </c>
    </row>
    <row r="1283" spans="1:13" x14ac:dyDescent="0.25">
      <c r="A1283" s="91" t="s">
        <v>3964</v>
      </c>
      <c r="B1283" cm="1">
        <f t="array" aca="1" ref="B1283" ca="1">INDIRECT(A1283)</f>
        <v>0</v>
      </c>
      <c r="C1283">
        <f t="shared" ca="1" si="80"/>
        <v>5</v>
      </c>
      <c r="D1283" t="str" cm="1">
        <f t="array" aca="1" ref="D1283" ca="1">CELL("nomfichier",INDIRECT(A1283))</f>
        <v>G:\SCPE\sdc\bq\6 - Mentions valorisantes\Certification environnementale\TEXTES_REGLEMENTATION_CE\Plans_contrôle et grilles\Grille audit niveau 3\Grille d'audit v1.11\[grille-audit-hvev4-v1.11-vf.xlsx]Surfaces_Horti</v>
      </c>
      <c r="E1283">
        <f t="shared" ca="1" si="81"/>
        <v>200</v>
      </c>
      <c r="F1283">
        <f t="shared" ca="1" si="82"/>
        <v>214</v>
      </c>
      <c r="G1283" t="str">
        <f t="shared" ca="1" si="83"/>
        <v>Surfaces_Horti</v>
      </c>
      <c r="H1283" cm="1">
        <f t="array" aca="1" ref="H1283" ca="1">ROW(INDIRECT(A1283))</f>
        <v>110</v>
      </c>
      <c r="I1283" cm="1">
        <f t="array" aca="1" ref="I1283" ca="1">COLUMN(INDIRECT(A1283))</f>
        <v>4</v>
      </c>
      <c r="M1283" t="str" cm="1">
        <f t="array" aca="1" ref="M1283" ca="1">IF(AND(J1283="O",ISBLANK(INDIRECT(A1283))),"Valeur obligatoire non renseignée","")</f>
        <v/>
      </c>
    </row>
    <row r="1284" spans="1:13" x14ac:dyDescent="0.25">
      <c r="A1284" s="91" t="s">
        <v>3991</v>
      </c>
      <c r="B1284" cm="1">
        <f t="array" aca="1" ref="B1284" ca="1">INDIRECT(A1284)</f>
        <v>0</v>
      </c>
      <c r="C1284">
        <f t="shared" ca="1" si="80"/>
        <v>5</v>
      </c>
      <c r="D1284" t="str" cm="1">
        <f t="array" aca="1" ref="D1284" ca="1">CELL("nomfichier",INDIRECT(A1284))</f>
        <v>G:\SCPE\sdc\bq\6 - Mentions valorisantes\Certification environnementale\TEXTES_REGLEMENTATION_CE\Plans_contrôle et grilles\Grille audit niveau 3\Grille d'audit v1.11\[grille-audit-hvev4-v1.11-vf.xlsx]Surfaces_Horti</v>
      </c>
      <c r="E1284">
        <f t="shared" ca="1" si="81"/>
        <v>200</v>
      </c>
      <c r="F1284">
        <f t="shared" ca="1" si="82"/>
        <v>214</v>
      </c>
      <c r="G1284" t="str">
        <f t="shared" ca="1" si="83"/>
        <v>Surfaces_Horti</v>
      </c>
      <c r="H1284" cm="1">
        <f t="array" aca="1" ref="H1284" ca="1">ROW(INDIRECT(A1284))</f>
        <v>110</v>
      </c>
      <c r="I1284" cm="1">
        <f t="array" aca="1" ref="I1284" ca="1">COLUMN(INDIRECT(A1284))</f>
        <v>5</v>
      </c>
      <c r="M1284" t="str" cm="1">
        <f t="array" aca="1" ref="M1284" ca="1">IF(AND(J1284="O",ISBLANK(INDIRECT(A1284))),"Valeur obligatoire non renseignée","")</f>
        <v/>
      </c>
    </row>
    <row r="1285" spans="1:13" x14ac:dyDescent="0.25">
      <c r="A1285" s="91" t="s">
        <v>4018</v>
      </c>
      <c r="B1285" cm="1">
        <f t="array" aca="1" ref="B1285" ca="1">INDIRECT(A1285)</f>
        <v>0</v>
      </c>
      <c r="C1285">
        <f t="shared" ca="1" si="80"/>
        <v>5</v>
      </c>
      <c r="D1285" t="str" cm="1">
        <f t="array" aca="1" ref="D1285" ca="1">CELL("nomfichier",INDIRECT(A1285))</f>
        <v>G:\SCPE\sdc\bq\6 - Mentions valorisantes\Certification environnementale\TEXTES_REGLEMENTATION_CE\Plans_contrôle et grilles\Grille audit niveau 3\Grille d'audit v1.11\[grille-audit-hvev4-v1.11-vf.xlsx]Surfaces_Horti</v>
      </c>
      <c r="E1285">
        <f t="shared" ca="1" si="81"/>
        <v>200</v>
      </c>
      <c r="F1285">
        <f t="shared" ca="1" si="82"/>
        <v>214</v>
      </c>
      <c r="G1285" t="str">
        <f t="shared" ca="1" si="83"/>
        <v>Surfaces_Horti</v>
      </c>
      <c r="H1285" cm="1">
        <f t="array" aca="1" ref="H1285" ca="1">ROW(INDIRECT(A1285))</f>
        <v>110</v>
      </c>
      <c r="I1285" cm="1">
        <f t="array" aca="1" ref="I1285" ca="1">COLUMN(INDIRECT(A1285))</f>
        <v>6</v>
      </c>
      <c r="M1285" t="str" cm="1">
        <f t="array" aca="1" ref="M1285" ca="1">IF(AND(J1285="O",ISBLANK(INDIRECT(A1285))),"Valeur obligatoire non renseignée","")</f>
        <v/>
      </c>
    </row>
    <row r="1286" spans="1:13" x14ac:dyDescent="0.25">
      <c r="A1286" s="91" t="s">
        <v>4045</v>
      </c>
      <c r="B1286" cm="1">
        <f t="array" aca="1" ref="B1286" ca="1">INDIRECT(A1286)</f>
        <v>0</v>
      </c>
      <c r="C1286">
        <f t="shared" ca="1" si="80"/>
        <v>5</v>
      </c>
      <c r="D1286" t="str" cm="1">
        <f t="array" aca="1" ref="D1286" ca="1">CELL("nomfichier",INDIRECT(A1286))</f>
        <v>G:\SCPE\sdc\bq\6 - Mentions valorisantes\Certification environnementale\TEXTES_REGLEMENTATION_CE\Plans_contrôle et grilles\Grille audit niveau 3\Grille d'audit v1.11\[grille-audit-hvev4-v1.11-vf.xlsx]Surfaces_Horti</v>
      </c>
      <c r="E1286">
        <f t="shared" ca="1" si="81"/>
        <v>200</v>
      </c>
      <c r="F1286">
        <f t="shared" ca="1" si="82"/>
        <v>214</v>
      </c>
      <c r="G1286" t="str">
        <f t="shared" ca="1" si="83"/>
        <v>Surfaces_Horti</v>
      </c>
      <c r="H1286" cm="1">
        <f t="array" aca="1" ref="H1286" ca="1">ROW(INDIRECT(A1286))</f>
        <v>110</v>
      </c>
      <c r="I1286" cm="1">
        <f t="array" aca="1" ref="I1286" ca="1">COLUMN(INDIRECT(A1286))</f>
        <v>7</v>
      </c>
      <c r="M1286" t="str" cm="1">
        <f t="array" aca="1" ref="M1286" ca="1">IF(AND(J1286="O",ISBLANK(INDIRECT(A1286))),"Valeur obligatoire non renseignée","")</f>
        <v/>
      </c>
    </row>
    <row r="1287" spans="1:13" x14ac:dyDescent="0.25">
      <c r="A1287" s="91" t="s">
        <v>4072</v>
      </c>
      <c r="B1287" cm="1">
        <f t="array" aca="1" ref="B1287" ca="1">INDIRECT(A1287)</f>
        <v>0</v>
      </c>
      <c r="C1287">
        <f t="shared" ca="1" si="80"/>
        <v>5</v>
      </c>
      <c r="D1287" t="str" cm="1">
        <f t="array" aca="1" ref="D1287" ca="1">CELL("nomfichier",INDIRECT(A1287))</f>
        <v>G:\SCPE\sdc\bq\6 - Mentions valorisantes\Certification environnementale\TEXTES_REGLEMENTATION_CE\Plans_contrôle et grilles\Grille audit niveau 3\Grille d'audit v1.11\[grille-audit-hvev4-v1.11-vf.xlsx]Surfaces_Horti</v>
      </c>
      <c r="E1287">
        <f t="shared" ca="1" si="81"/>
        <v>200</v>
      </c>
      <c r="F1287">
        <f t="shared" ca="1" si="82"/>
        <v>214</v>
      </c>
      <c r="G1287" t="str">
        <f t="shared" ca="1" si="83"/>
        <v>Surfaces_Horti</v>
      </c>
      <c r="H1287" cm="1">
        <f t="array" aca="1" ref="H1287" ca="1">ROW(INDIRECT(A1287))</f>
        <v>110</v>
      </c>
      <c r="I1287" cm="1">
        <f t="array" aca="1" ref="I1287" ca="1">COLUMN(INDIRECT(A1287))</f>
        <v>8</v>
      </c>
      <c r="M1287" t="str" cm="1">
        <f t="array" aca="1" ref="M1287" ca="1">IF(AND(J1287="O",ISBLANK(INDIRECT(A1287))),"Valeur obligatoire non renseignée","")</f>
        <v/>
      </c>
    </row>
    <row r="1288" spans="1:13" x14ac:dyDescent="0.25">
      <c r="A1288" s="91" t="s">
        <v>4099</v>
      </c>
      <c r="B1288" cm="1">
        <f t="array" aca="1" ref="B1288" ca="1">INDIRECT(A1288)</f>
        <v>0</v>
      </c>
      <c r="C1288">
        <f t="shared" ca="1" si="80"/>
        <v>5</v>
      </c>
      <c r="D1288" t="str" cm="1">
        <f t="array" aca="1" ref="D1288" ca="1">CELL("nomfichier",INDIRECT(A1288))</f>
        <v>G:\SCPE\sdc\bq\6 - Mentions valorisantes\Certification environnementale\TEXTES_REGLEMENTATION_CE\Plans_contrôle et grilles\Grille audit niveau 3\Grille d'audit v1.11\[grille-audit-hvev4-v1.11-vf.xlsx]Surfaces_Horti</v>
      </c>
      <c r="E1288">
        <f t="shared" ca="1" si="81"/>
        <v>200</v>
      </c>
      <c r="F1288">
        <f t="shared" ca="1" si="82"/>
        <v>214</v>
      </c>
      <c r="G1288" t="str">
        <f t="shared" ca="1" si="83"/>
        <v>Surfaces_Horti</v>
      </c>
      <c r="H1288" cm="1">
        <f t="array" aca="1" ref="H1288" ca="1">ROW(INDIRECT(A1288))</f>
        <v>110</v>
      </c>
      <c r="I1288" cm="1">
        <f t="array" aca="1" ref="I1288" ca="1">COLUMN(INDIRECT(A1288))</f>
        <v>9</v>
      </c>
      <c r="M1288" t="str" cm="1">
        <f t="array" aca="1" ref="M1288" ca="1">IF(AND(J1288="O",ISBLANK(INDIRECT(A1288))),"Valeur obligatoire non renseignée","")</f>
        <v/>
      </c>
    </row>
    <row r="1289" spans="1:13" x14ac:dyDescent="0.25">
      <c r="A1289" s="91" t="s">
        <v>4126</v>
      </c>
      <c r="B1289" cm="1">
        <f t="array" aca="1" ref="B1289" ca="1">INDIRECT(A1289)</f>
        <v>0</v>
      </c>
      <c r="C1289">
        <f t="shared" ca="1" si="80"/>
        <v>5</v>
      </c>
      <c r="D1289" t="str" cm="1">
        <f t="array" aca="1" ref="D1289" ca="1">CELL("nomfichier",INDIRECT(A1289))</f>
        <v>G:\SCPE\sdc\bq\6 - Mentions valorisantes\Certification environnementale\TEXTES_REGLEMENTATION_CE\Plans_contrôle et grilles\Grille audit niveau 3\Grille d'audit v1.11\[grille-audit-hvev4-v1.11-vf.xlsx]Surfaces_Horti</v>
      </c>
      <c r="E1289">
        <f t="shared" ca="1" si="81"/>
        <v>200</v>
      </c>
      <c r="F1289">
        <f t="shared" ca="1" si="82"/>
        <v>214</v>
      </c>
      <c r="G1289" t="str">
        <f t="shared" ca="1" si="83"/>
        <v>Surfaces_Horti</v>
      </c>
      <c r="H1289" cm="1">
        <f t="array" aca="1" ref="H1289" ca="1">ROW(INDIRECT(A1289))</f>
        <v>110</v>
      </c>
      <c r="I1289" cm="1">
        <f t="array" aca="1" ref="I1289" ca="1">COLUMN(INDIRECT(A1289))</f>
        <v>10</v>
      </c>
      <c r="M1289" t="str" cm="1">
        <f t="array" aca="1" ref="M1289" ca="1">IF(AND(J1289="O",ISBLANK(INDIRECT(A1289))),"Valeur obligatoire non renseignée","")</f>
        <v/>
      </c>
    </row>
    <row r="1290" spans="1:13" x14ac:dyDescent="0.25">
      <c r="A1290" s="91" t="s">
        <v>4153</v>
      </c>
      <c r="B1290" cm="1">
        <f t="array" aca="1" ref="B1290" ca="1">INDIRECT(A1290)</f>
        <v>0</v>
      </c>
      <c r="C1290">
        <f t="shared" ca="1" si="80"/>
        <v>5</v>
      </c>
      <c r="D1290" t="str" cm="1">
        <f t="array" aca="1" ref="D1290" ca="1">CELL("nomfichier",INDIRECT(A1290))</f>
        <v>G:\SCPE\sdc\bq\6 - Mentions valorisantes\Certification environnementale\TEXTES_REGLEMENTATION_CE\Plans_contrôle et grilles\Grille audit niveau 3\Grille d'audit v1.11\[grille-audit-hvev4-v1.11-vf.xlsx]Surfaces_Horti</v>
      </c>
      <c r="E1290">
        <f t="shared" ca="1" si="81"/>
        <v>200</v>
      </c>
      <c r="F1290">
        <f t="shared" ca="1" si="82"/>
        <v>214</v>
      </c>
      <c r="G1290" t="str">
        <f t="shared" ca="1" si="83"/>
        <v>Surfaces_Horti</v>
      </c>
      <c r="H1290" cm="1">
        <f t="array" aca="1" ref="H1290" ca="1">ROW(INDIRECT(A1290))</f>
        <v>110</v>
      </c>
      <c r="I1290" cm="1">
        <f t="array" aca="1" ref="I1290" ca="1">COLUMN(INDIRECT(A1290))</f>
        <v>11</v>
      </c>
      <c r="M1290" t="str" cm="1">
        <f t="array" aca="1" ref="M1290" ca="1">IF(AND(J1290="O",ISBLANK(INDIRECT(A1290))),"Valeur obligatoire non renseignée","")</f>
        <v/>
      </c>
    </row>
    <row r="1291" spans="1:13" x14ac:dyDescent="0.25">
      <c r="A1291" s="91" t="s">
        <v>4180</v>
      </c>
      <c r="B1291" cm="1">
        <f t="array" aca="1" ref="B1291" ca="1">INDIRECT(A1291)</f>
        <v>0</v>
      </c>
      <c r="C1291">
        <f t="shared" ca="1" si="80"/>
        <v>5</v>
      </c>
      <c r="D1291" t="str" cm="1">
        <f t="array" aca="1" ref="D1291" ca="1">CELL("nomfichier",INDIRECT(A1291))</f>
        <v>G:\SCPE\sdc\bq\6 - Mentions valorisantes\Certification environnementale\TEXTES_REGLEMENTATION_CE\Plans_contrôle et grilles\Grille audit niveau 3\Grille d'audit v1.11\[grille-audit-hvev4-v1.11-vf.xlsx]Surfaces_Horti</v>
      </c>
      <c r="E1291">
        <f t="shared" ca="1" si="81"/>
        <v>200</v>
      </c>
      <c r="F1291">
        <f t="shared" ca="1" si="82"/>
        <v>214</v>
      </c>
      <c r="G1291" t="str">
        <f t="shared" ca="1" si="83"/>
        <v>Surfaces_Horti</v>
      </c>
      <c r="H1291" cm="1">
        <f t="array" aca="1" ref="H1291" ca="1">ROW(INDIRECT(A1291))</f>
        <v>110</v>
      </c>
      <c r="I1291" cm="1">
        <f t="array" aca="1" ref="I1291" ca="1">COLUMN(INDIRECT(A1291))</f>
        <v>12</v>
      </c>
      <c r="M1291" t="str" cm="1">
        <f t="array" aca="1" ref="M1291" ca="1">IF(AND(J1291="O",ISBLANK(INDIRECT(A1291))),"Valeur obligatoire non renseignée","")</f>
        <v/>
      </c>
    </row>
    <row r="1292" spans="1:13" x14ac:dyDescent="0.25">
      <c r="A1292" s="91" t="s">
        <v>4207</v>
      </c>
      <c r="B1292" cm="1">
        <f t="array" aca="1" ref="B1292" ca="1">INDIRECT(A1292)</f>
        <v>0</v>
      </c>
      <c r="C1292">
        <f t="shared" ca="1" si="80"/>
        <v>5</v>
      </c>
      <c r="D1292" t="str" cm="1">
        <f t="array" aca="1" ref="D1292" ca="1">CELL("nomfichier",INDIRECT(A1292))</f>
        <v>G:\SCPE\sdc\bq\6 - Mentions valorisantes\Certification environnementale\TEXTES_REGLEMENTATION_CE\Plans_contrôle et grilles\Grille audit niveau 3\Grille d'audit v1.11\[grille-audit-hvev4-v1.11-vf.xlsx]Surfaces_Horti</v>
      </c>
      <c r="E1292">
        <f t="shared" ca="1" si="81"/>
        <v>200</v>
      </c>
      <c r="F1292">
        <f t="shared" ca="1" si="82"/>
        <v>214</v>
      </c>
      <c r="G1292" t="str">
        <f t="shared" ca="1" si="83"/>
        <v>Surfaces_Horti</v>
      </c>
      <c r="H1292" cm="1">
        <f t="array" aca="1" ref="H1292" ca="1">ROW(INDIRECT(A1292))</f>
        <v>110</v>
      </c>
      <c r="I1292" cm="1">
        <f t="array" aca="1" ref="I1292" ca="1">COLUMN(INDIRECT(A1292))</f>
        <v>13</v>
      </c>
      <c r="M1292" t="str" cm="1">
        <f t="array" aca="1" ref="M1292" ca="1">IF(AND(J1292="O",ISBLANK(INDIRECT(A1292))),"Valeur obligatoire non renseignée","")</f>
        <v/>
      </c>
    </row>
    <row r="1293" spans="1:13" x14ac:dyDescent="0.25">
      <c r="A1293" s="91" t="s">
        <v>4234</v>
      </c>
      <c r="B1293" cm="1">
        <f t="array" aca="1" ref="B1293" ca="1">INDIRECT(A1293)</f>
        <v>0</v>
      </c>
      <c r="C1293">
        <f t="shared" ca="1" si="80"/>
        <v>5</v>
      </c>
      <c r="D1293" t="str" cm="1">
        <f t="array" aca="1" ref="D1293" ca="1">CELL("nomfichier",INDIRECT(A1293))</f>
        <v>G:\SCPE\sdc\bq\6 - Mentions valorisantes\Certification environnementale\TEXTES_REGLEMENTATION_CE\Plans_contrôle et grilles\Grille audit niveau 3\Grille d'audit v1.11\[grille-audit-hvev4-v1.11-vf.xlsx]Surfaces_Horti</v>
      </c>
      <c r="E1293">
        <f t="shared" ca="1" si="81"/>
        <v>200</v>
      </c>
      <c r="F1293">
        <f t="shared" ca="1" si="82"/>
        <v>214</v>
      </c>
      <c r="G1293" t="str">
        <f t="shared" ca="1" si="83"/>
        <v>Surfaces_Horti</v>
      </c>
      <c r="H1293" cm="1">
        <f t="array" aca="1" ref="H1293" ca="1">ROW(INDIRECT(A1293))</f>
        <v>110</v>
      </c>
      <c r="I1293" cm="1">
        <f t="array" aca="1" ref="I1293" ca="1">COLUMN(INDIRECT(A1293))</f>
        <v>14</v>
      </c>
      <c r="M1293" t="str" cm="1">
        <f t="array" aca="1" ref="M1293" ca="1">IF(AND(J1293="O",ISBLANK(INDIRECT(A1293))),"Valeur obligatoire non renseignée","")</f>
        <v/>
      </c>
    </row>
    <row r="1294" spans="1:13" x14ac:dyDescent="0.25">
      <c r="A1294" s="91" t="s">
        <v>3911</v>
      </c>
      <c r="B1294" cm="1">
        <f t="array" aca="1" ref="B1294" ca="1">INDIRECT(A1294)</f>
        <v>0</v>
      </c>
      <c r="C1294">
        <f t="shared" ca="1" si="80"/>
        <v>5</v>
      </c>
      <c r="D1294" t="str" cm="1">
        <f t="array" aca="1" ref="D1294" ca="1">CELL("nomfichier",INDIRECT(A1294))</f>
        <v>G:\SCPE\sdc\bq\6 - Mentions valorisantes\Certification environnementale\TEXTES_REGLEMENTATION_CE\Plans_contrôle et grilles\Grille audit niveau 3\Grille d'audit v1.11\[grille-audit-hvev4-v1.11-vf.xlsx]Surfaces_Horti</v>
      </c>
      <c r="E1294">
        <f t="shared" ca="1" si="81"/>
        <v>200</v>
      </c>
      <c r="F1294">
        <f t="shared" ca="1" si="82"/>
        <v>214</v>
      </c>
      <c r="G1294" t="str">
        <f t="shared" ca="1" si="83"/>
        <v>Surfaces_Horti</v>
      </c>
      <c r="H1294" cm="1">
        <f t="array" aca="1" ref="H1294" ca="1">ROW(INDIRECT(A1294))</f>
        <v>112</v>
      </c>
      <c r="I1294" cm="1">
        <f t="array" aca="1" ref="I1294" ca="1">COLUMN(INDIRECT(A1294))</f>
        <v>2</v>
      </c>
      <c r="M1294" t="str" cm="1">
        <f t="array" aca="1" ref="M1294" ca="1">IF(AND(J1294="O",ISBLANK(INDIRECT(A1294))),"Valeur obligatoire non renseignée","")</f>
        <v/>
      </c>
    </row>
    <row r="1295" spans="1:13" x14ac:dyDescent="0.25">
      <c r="A1295" s="91" t="s">
        <v>3938</v>
      </c>
      <c r="B1295" cm="1">
        <f t="array" aca="1" ref="B1295" ca="1">INDIRECT(A1295)</f>
        <v>0</v>
      </c>
      <c r="C1295">
        <f t="shared" ca="1" si="80"/>
        <v>5</v>
      </c>
      <c r="D1295" t="str" cm="1">
        <f t="array" aca="1" ref="D1295" ca="1">CELL("nomfichier",INDIRECT(A1295))</f>
        <v>G:\SCPE\sdc\bq\6 - Mentions valorisantes\Certification environnementale\TEXTES_REGLEMENTATION_CE\Plans_contrôle et grilles\Grille audit niveau 3\Grille d'audit v1.11\[grille-audit-hvev4-v1.11-vf.xlsx]Surfaces_Horti</v>
      </c>
      <c r="E1295">
        <f t="shared" ca="1" si="81"/>
        <v>200</v>
      </c>
      <c r="F1295">
        <f t="shared" ca="1" si="82"/>
        <v>214</v>
      </c>
      <c r="G1295" t="str">
        <f t="shared" ca="1" si="83"/>
        <v>Surfaces_Horti</v>
      </c>
      <c r="H1295" cm="1">
        <f t="array" aca="1" ref="H1295" ca="1">ROW(INDIRECT(A1295))</f>
        <v>112</v>
      </c>
      <c r="I1295" cm="1">
        <f t="array" aca="1" ref="I1295" ca="1">COLUMN(INDIRECT(A1295))</f>
        <v>3</v>
      </c>
      <c r="M1295" t="str" cm="1">
        <f t="array" aca="1" ref="M1295" ca="1">IF(AND(J1295="O",ISBLANK(INDIRECT(A1295))),"Valeur obligatoire non renseignée","")</f>
        <v/>
      </c>
    </row>
    <row r="1296" spans="1:13" x14ac:dyDescent="0.25">
      <c r="A1296" s="91" t="s">
        <v>3965</v>
      </c>
      <c r="B1296" cm="1">
        <f t="array" aca="1" ref="B1296" ca="1">INDIRECT(A1296)</f>
        <v>0</v>
      </c>
      <c r="C1296">
        <f t="shared" ca="1" si="80"/>
        <v>5</v>
      </c>
      <c r="D1296" t="str" cm="1">
        <f t="array" aca="1" ref="D1296" ca="1">CELL("nomfichier",INDIRECT(A1296))</f>
        <v>G:\SCPE\sdc\bq\6 - Mentions valorisantes\Certification environnementale\TEXTES_REGLEMENTATION_CE\Plans_contrôle et grilles\Grille audit niveau 3\Grille d'audit v1.11\[grille-audit-hvev4-v1.11-vf.xlsx]Surfaces_Horti</v>
      </c>
      <c r="E1296">
        <f t="shared" ca="1" si="81"/>
        <v>200</v>
      </c>
      <c r="F1296">
        <f t="shared" ca="1" si="82"/>
        <v>214</v>
      </c>
      <c r="G1296" t="str">
        <f t="shared" ca="1" si="83"/>
        <v>Surfaces_Horti</v>
      </c>
      <c r="H1296" cm="1">
        <f t="array" aca="1" ref="H1296" ca="1">ROW(INDIRECT(A1296))</f>
        <v>112</v>
      </c>
      <c r="I1296" cm="1">
        <f t="array" aca="1" ref="I1296" ca="1">COLUMN(INDIRECT(A1296))</f>
        <v>4</v>
      </c>
      <c r="M1296" t="str" cm="1">
        <f t="array" aca="1" ref="M1296" ca="1">IF(AND(J1296="O",ISBLANK(INDIRECT(A1296))),"Valeur obligatoire non renseignée","")</f>
        <v/>
      </c>
    </row>
    <row r="1297" spans="1:13" x14ac:dyDescent="0.25">
      <c r="A1297" s="91" t="s">
        <v>3992</v>
      </c>
      <c r="B1297" cm="1">
        <f t="array" aca="1" ref="B1297" ca="1">INDIRECT(A1297)</f>
        <v>0</v>
      </c>
      <c r="C1297">
        <f t="shared" ca="1" si="80"/>
        <v>5</v>
      </c>
      <c r="D1297" t="str" cm="1">
        <f t="array" aca="1" ref="D1297" ca="1">CELL("nomfichier",INDIRECT(A1297))</f>
        <v>G:\SCPE\sdc\bq\6 - Mentions valorisantes\Certification environnementale\TEXTES_REGLEMENTATION_CE\Plans_contrôle et grilles\Grille audit niveau 3\Grille d'audit v1.11\[grille-audit-hvev4-v1.11-vf.xlsx]Surfaces_Horti</v>
      </c>
      <c r="E1297">
        <f t="shared" ca="1" si="81"/>
        <v>200</v>
      </c>
      <c r="F1297">
        <f t="shared" ca="1" si="82"/>
        <v>214</v>
      </c>
      <c r="G1297" t="str">
        <f t="shared" ca="1" si="83"/>
        <v>Surfaces_Horti</v>
      </c>
      <c r="H1297" cm="1">
        <f t="array" aca="1" ref="H1297" ca="1">ROW(INDIRECT(A1297))</f>
        <v>112</v>
      </c>
      <c r="I1297" cm="1">
        <f t="array" aca="1" ref="I1297" ca="1">COLUMN(INDIRECT(A1297))</f>
        <v>5</v>
      </c>
      <c r="M1297" t="str" cm="1">
        <f t="array" aca="1" ref="M1297" ca="1">IF(AND(J1297="O",ISBLANK(INDIRECT(A1297))),"Valeur obligatoire non renseignée","")</f>
        <v/>
      </c>
    </row>
    <row r="1298" spans="1:13" x14ac:dyDescent="0.25">
      <c r="A1298" s="91" t="s">
        <v>4019</v>
      </c>
      <c r="B1298" cm="1">
        <f t="array" aca="1" ref="B1298" ca="1">INDIRECT(A1298)</f>
        <v>0</v>
      </c>
      <c r="C1298">
        <f t="shared" ca="1" si="80"/>
        <v>5</v>
      </c>
      <c r="D1298" t="str" cm="1">
        <f t="array" aca="1" ref="D1298" ca="1">CELL("nomfichier",INDIRECT(A1298))</f>
        <v>G:\SCPE\sdc\bq\6 - Mentions valorisantes\Certification environnementale\TEXTES_REGLEMENTATION_CE\Plans_contrôle et grilles\Grille audit niveau 3\Grille d'audit v1.11\[grille-audit-hvev4-v1.11-vf.xlsx]Surfaces_Horti</v>
      </c>
      <c r="E1298">
        <f t="shared" ca="1" si="81"/>
        <v>200</v>
      </c>
      <c r="F1298">
        <f t="shared" ca="1" si="82"/>
        <v>214</v>
      </c>
      <c r="G1298" t="str">
        <f t="shared" ca="1" si="83"/>
        <v>Surfaces_Horti</v>
      </c>
      <c r="H1298" cm="1">
        <f t="array" aca="1" ref="H1298" ca="1">ROW(INDIRECT(A1298))</f>
        <v>112</v>
      </c>
      <c r="I1298" cm="1">
        <f t="array" aca="1" ref="I1298" ca="1">COLUMN(INDIRECT(A1298))</f>
        <v>6</v>
      </c>
      <c r="M1298" t="str" cm="1">
        <f t="array" aca="1" ref="M1298" ca="1">IF(AND(J1298="O",ISBLANK(INDIRECT(A1298))),"Valeur obligatoire non renseignée","")</f>
        <v/>
      </c>
    </row>
    <row r="1299" spans="1:13" x14ac:dyDescent="0.25">
      <c r="A1299" s="91" t="s">
        <v>4046</v>
      </c>
      <c r="B1299" cm="1">
        <f t="array" aca="1" ref="B1299" ca="1">INDIRECT(A1299)</f>
        <v>0</v>
      </c>
      <c r="C1299">
        <f t="shared" ca="1" si="80"/>
        <v>5</v>
      </c>
      <c r="D1299" t="str" cm="1">
        <f t="array" aca="1" ref="D1299" ca="1">CELL("nomfichier",INDIRECT(A1299))</f>
        <v>G:\SCPE\sdc\bq\6 - Mentions valorisantes\Certification environnementale\TEXTES_REGLEMENTATION_CE\Plans_contrôle et grilles\Grille audit niveau 3\Grille d'audit v1.11\[grille-audit-hvev4-v1.11-vf.xlsx]Surfaces_Horti</v>
      </c>
      <c r="E1299">
        <f t="shared" ca="1" si="81"/>
        <v>200</v>
      </c>
      <c r="F1299">
        <f t="shared" ca="1" si="82"/>
        <v>214</v>
      </c>
      <c r="G1299" t="str">
        <f t="shared" ca="1" si="83"/>
        <v>Surfaces_Horti</v>
      </c>
      <c r="H1299" cm="1">
        <f t="array" aca="1" ref="H1299" ca="1">ROW(INDIRECT(A1299))</f>
        <v>112</v>
      </c>
      <c r="I1299" cm="1">
        <f t="array" aca="1" ref="I1299" ca="1">COLUMN(INDIRECT(A1299))</f>
        <v>7</v>
      </c>
      <c r="M1299" t="str" cm="1">
        <f t="array" aca="1" ref="M1299" ca="1">IF(AND(J1299="O",ISBLANK(INDIRECT(A1299))),"Valeur obligatoire non renseignée","")</f>
        <v/>
      </c>
    </row>
    <row r="1300" spans="1:13" x14ac:dyDescent="0.25">
      <c r="A1300" s="91" t="s">
        <v>4073</v>
      </c>
      <c r="B1300" cm="1">
        <f t="array" aca="1" ref="B1300" ca="1">INDIRECT(A1300)</f>
        <v>0</v>
      </c>
      <c r="C1300">
        <f t="shared" ca="1" si="80"/>
        <v>5</v>
      </c>
      <c r="D1300" t="str" cm="1">
        <f t="array" aca="1" ref="D1300" ca="1">CELL("nomfichier",INDIRECT(A1300))</f>
        <v>G:\SCPE\sdc\bq\6 - Mentions valorisantes\Certification environnementale\TEXTES_REGLEMENTATION_CE\Plans_contrôle et grilles\Grille audit niveau 3\Grille d'audit v1.11\[grille-audit-hvev4-v1.11-vf.xlsx]Surfaces_Horti</v>
      </c>
      <c r="E1300">
        <f t="shared" ca="1" si="81"/>
        <v>200</v>
      </c>
      <c r="F1300">
        <f t="shared" ca="1" si="82"/>
        <v>214</v>
      </c>
      <c r="G1300" t="str">
        <f t="shared" ca="1" si="83"/>
        <v>Surfaces_Horti</v>
      </c>
      <c r="H1300" cm="1">
        <f t="array" aca="1" ref="H1300" ca="1">ROW(INDIRECT(A1300))</f>
        <v>112</v>
      </c>
      <c r="I1300" cm="1">
        <f t="array" aca="1" ref="I1300" ca="1">COLUMN(INDIRECT(A1300))</f>
        <v>8</v>
      </c>
      <c r="M1300" t="str" cm="1">
        <f t="array" aca="1" ref="M1300" ca="1">IF(AND(J1300="O",ISBLANK(INDIRECT(A1300))),"Valeur obligatoire non renseignée","")</f>
        <v/>
      </c>
    </row>
    <row r="1301" spans="1:13" x14ac:dyDescent="0.25">
      <c r="A1301" s="91" t="s">
        <v>4100</v>
      </c>
      <c r="B1301" cm="1">
        <f t="array" aca="1" ref="B1301" ca="1">INDIRECT(A1301)</f>
        <v>0</v>
      </c>
      <c r="C1301">
        <f t="shared" ca="1" si="80"/>
        <v>5</v>
      </c>
      <c r="D1301" t="str" cm="1">
        <f t="array" aca="1" ref="D1301" ca="1">CELL("nomfichier",INDIRECT(A1301))</f>
        <v>G:\SCPE\sdc\bq\6 - Mentions valorisantes\Certification environnementale\TEXTES_REGLEMENTATION_CE\Plans_contrôle et grilles\Grille audit niveau 3\Grille d'audit v1.11\[grille-audit-hvev4-v1.11-vf.xlsx]Surfaces_Horti</v>
      </c>
      <c r="E1301">
        <f t="shared" ca="1" si="81"/>
        <v>200</v>
      </c>
      <c r="F1301">
        <f t="shared" ca="1" si="82"/>
        <v>214</v>
      </c>
      <c r="G1301" t="str">
        <f t="shared" ca="1" si="83"/>
        <v>Surfaces_Horti</v>
      </c>
      <c r="H1301" cm="1">
        <f t="array" aca="1" ref="H1301" ca="1">ROW(INDIRECT(A1301))</f>
        <v>112</v>
      </c>
      <c r="I1301" cm="1">
        <f t="array" aca="1" ref="I1301" ca="1">COLUMN(INDIRECT(A1301))</f>
        <v>9</v>
      </c>
      <c r="M1301" t="str" cm="1">
        <f t="array" aca="1" ref="M1301" ca="1">IF(AND(J1301="O",ISBLANK(INDIRECT(A1301))),"Valeur obligatoire non renseignée","")</f>
        <v/>
      </c>
    </row>
    <row r="1302" spans="1:13" x14ac:dyDescent="0.25">
      <c r="A1302" s="91" t="s">
        <v>4127</v>
      </c>
      <c r="B1302" cm="1">
        <f t="array" aca="1" ref="B1302" ca="1">INDIRECT(A1302)</f>
        <v>0</v>
      </c>
      <c r="C1302">
        <f t="shared" ca="1" si="80"/>
        <v>5</v>
      </c>
      <c r="D1302" t="str" cm="1">
        <f t="array" aca="1" ref="D1302" ca="1">CELL("nomfichier",INDIRECT(A1302))</f>
        <v>G:\SCPE\sdc\bq\6 - Mentions valorisantes\Certification environnementale\TEXTES_REGLEMENTATION_CE\Plans_contrôle et grilles\Grille audit niveau 3\Grille d'audit v1.11\[grille-audit-hvev4-v1.11-vf.xlsx]Surfaces_Horti</v>
      </c>
      <c r="E1302">
        <f t="shared" ca="1" si="81"/>
        <v>200</v>
      </c>
      <c r="F1302">
        <f t="shared" ca="1" si="82"/>
        <v>214</v>
      </c>
      <c r="G1302" t="str">
        <f t="shared" ca="1" si="83"/>
        <v>Surfaces_Horti</v>
      </c>
      <c r="H1302" cm="1">
        <f t="array" aca="1" ref="H1302" ca="1">ROW(INDIRECT(A1302))</f>
        <v>112</v>
      </c>
      <c r="I1302" cm="1">
        <f t="array" aca="1" ref="I1302" ca="1">COLUMN(INDIRECT(A1302))</f>
        <v>10</v>
      </c>
      <c r="M1302" t="str" cm="1">
        <f t="array" aca="1" ref="M1302" ca="1">IF(AND(J1302="O",ISBLANK(INDIRECT(A1302))),"Valeur obligatoire non renseignée","")</f>
        <v/>
      </c>
    </row>
    <row r="1303" spans="1:13" x14ac:dyDescent="0.25">
      <c r="A1303" s="91" t="s">
        <v>4154</v>
      </c>
      <c r="B1303" cm="1">
        <f t="array" aca="1" ref="B1303" ca="1">INDIRECT(A1303)</f>
        <v>0</v>
      </c>
      <c r="C1303">
        <f t="shared" ca="1" si="80"/>
        <v>5</v>
      </c>
      <c r="D1303" t="str" cm="1">
        <f t="array" aca="1" ref="D1303" ca="1">CELL("nomfichier",INDIRECT(A1303))</f>
        <v>G:\SCPE\sdc\bq\6 - Mentions valorisantes\Certification environnementale\TEXTES_REGLEMENTATION_CE\Plans_contrôle et grilles\Grille audit niveau 3\Grille d'audit v1.11\[grille-audit-hvev4-v1.11-vf.xlsx]Surfaces_Horti</v>
      </c>
      <c r="E1303">
        <f t="shared" ca="1" si="81"/>
        <v>200</v>
      </c>
      <c r="F1303">
        <f t="shared" ca="1" si="82"/>
        <v>214</v>
      </c>
      <c r="G1303" t="str">
        <f t="shared" ca="1" si="83"/>
        <v>Surfaces_Horti</v>
      </c>
      <c r="H1303" cm="1">
        <f t="array" aca="1" ref="H1303" ca="1">ROW(INDIRECT(A1303))</f>
        <v>112</v>
      </c>
      <c r="I1303" cm="1">
        <f t="array" aca="1" ref="I1303" ca="1">COLUMN(INDIRECT(A1303))</f>
        <v>11</v>
      </c>
      <c r="M1303" t="str" cm="1">
        <f t="array" aca="1" ref="M1303" ca="1">IF(AND(J1303="O",ISBLANK(INDIRECT(A1303))),"Valeur obligatoire non renseignée","")</f>
        <v/>
      </c>
    </row>
    <row r="1304" spans="1:13" x14ac:dyDescent="0.25">
      <c r="A1304" s="91" t="s">
        <v>4181</v>
      </c>
      <c r="B1304" cm="1">
        <f t="array" aca="1" ref="B1304" ca="1">INDIRECT(A1304)</f>
        <v>0</v>
      </c>
      <c r="C1304">
        <f t="shared" ca="1" si="80"/>
        <v>5</v>
      </c>
      <c r="D1304" t="str" cm="1">
        <f t="array" aca="1" ref="D1304" ca="1">CELL("nomfichier",INDIRECT(A1304))</f>
        <v>G:\SCPE\sdc\bq\6 - Mentions valorisantes\Certification environnementale\TEXTES_REGLEMENTATION_CE\Plans_contrôle et grilles\Grille audit niveau 3\Grille d'audit v1.11\[grille-audit-hvev4-v1.11-vf.xlsx]Surfaces_Horti</v>
      </c>
      <c r="E1304">
        <f t="shared" ca="1" si="81"/>
        <v>200</v>
      </c>
      <c r="F1304">
        <f t="shared" ca="1" si="82"/>
        <v>214</v>
      </c>
      <c r="G1304" t="str">
        <f t="shared" ca="1" si="83"/>
        <v>Surfaces_Horti</v>
      </c>
      <c r="H1304" cm="1">
        <f t="array" aca="1" ref="H1304" ca="1">ROW(INDIRECT(A1304))</f>
        <v>112</v>
      </c>
      <c r="I1304" cm="1">
        <f t="array" aca="1" ref="I1304" ca="1">COLUMN(INDIRECT(A1304))</f>
        <v>12</v>
      </c>
      <c r="M1304" t="str" cm="1">
        <f t="array" aca="1" ref="M1304" ca="1">IF(AND(J1304="O",ISBLANK(INDIRECT(A1304))),"Valeur obligatoire non renseignée","")</f>
        <v/>
      </c>
    </row>
    <row r="1305" spans="1:13" x14ac:dyDescent="0.25">
      <c r="A1305" s="91" t="s">
        <v>4208</v>
      </c>
      <c r="B1305" cm="1">
        <f t="array" aca="1" ref="B1305" ca="1">INDIRECT(A1305)</f>
        <v>0</v>
      </c>
      <c r="C1305">
        <f t="shared" ca="1" si="80"/>
        <v>5</v>
      </c>
      <c r="D1305" t="str" cm="1">
        <f t="array" aca="1" ref="D1305" ca="1">CELL("nomfichier",INDIRECT(A1305))</f>
        <v>G:\SCPE\sdc\bq\6 - Mentions valorisantes\Certification environnementale\TEXTES_REGLEMENTATION_CE\Plans_contrôle et grilles\Grille audit niveau 3\Grille d'audit v1.11\[grille-audit-hvev4-v1.11-vf.xlsx]Surfaces_Horti</v>
      </c>
      <c r="E1305">
        <f t="shared" ca="1" si="81"/>
        <v>200</v>
      </c>
      <c r="F1305">
        <f t="shared" ca="1" si="82"/>
        <v>214</v>
      </c>
      <c r="G1305" t="str">
        <f t="shared" ca="1" si="83"/>
        <v>Surfaces_Horti</v>
      </c>
      <c r="H1305" cm="1">
        <f t="array" aca="1" ref="H1305" ca="1">ROW(INDIRECT(A1305))</f>
        <v>112</v>
      </c>
      <c r="I1305" cm="1">
        <f t="array" aca="1" ref="I1305" ca="1">COLUMN(INDIRECT(A1305))</f>
        <v>13</v>
      </c>
      <c r="M1305" t="str" cm="1">
        <f t="array" aca="1" ref="M1305" ca="1">IF(AND(J1305="O",ISBLANK(INDIRECT(A1305))),"Valeur obligatoire non renseignée","")</f>
        <v/>
      </c>
    </row>
    <row r="1306" spans="1:13" x14ac:dyDescent="0.25">
      <c r="A1306" s="91" t="s">
        <v>4235</v>
      </c>
      <c r="B1306" cm="1">
        <f t="array" aca="1" ref="B1306" ca="1">INDIRECT(A1306)</f>
        <v>0</v>
      </c>
      <c r="C1306">
        <f t="shared" ca="1" si="80"/>
        <v>5</v>
      </c>
      <c r="D1306" t="str" cm="1">
        <f t="array" aca="1" ref="D1306" ca="1">CELL("nomfichier",INDIRECT(A1306))</f>
        <v>G:\SCPE\sdc\bq\6 - Mentions valorisantes\Certification environnementale\TEXTES_REGLEMENTATION_CE\Plans_contrôle et grilles\Grille audit niveau 3\Grille d'audit v1.11\[grille-audit-hvev4-v1.11-vf.xlsx]Surfaces_Horti</v>
      </c>
      <c r="E1306">
        <f t="shared" ca="1" si="81"/>
        <v>200</v>
      </c>
      <c r="F1306">
        <f t="shared" ca="1" si="82"/>
        <v>214</v>
      </c>
      <c r="G1306" t="str">
        <f t="shared" ca="1" si="83"/>
        <v>Surfaces_Horti</v>
      </c>
      <c r="H1306" cm="1">
        <f t="array" aca="1" ref="H1306" ca="1">ROW(INDIRECT(A1306))</f>
        <v>112</v>
      </c>
      <c r="I1306" cm="1">
        <f t="array" aca="1" ref="I1306" ca="1">COLUMN(INDIRECT(A1306))</f>
        <v>14</v>
      </c>
      <c r="M1306" t="str" cm="1">
        <f t="array" aca="1" ref="M1306" ca="1">IF(AND(J1306="O",ISBLANK(INDIRECT(A1306))),"Valeur obligatoire non renseignée","")</f>
        <v/>
      </c>
    </row>
    <row r="1307" spans="1:13" x14ac:dyDescent="0.25">
      <c r="A1307" s="91" t="s">
        <v>3912</v>
      </c>
      <c r="B1307" cm="1">
        <f t="array" aca="1" ref="B1307" ca="1">INDIRECT(A1307)</f>
        <v>0</v>
      </c>
      <c r="C1307">
        <f t="shared" ca="1" si="80"/>
        <v>5</v>
      </c>
      <c r="D1307" t="str" cm="1">
        <f t="array" aca="1" ref="D1307" ca="1">CELL("nomfichier",INDIRECT(A1307))</f>
        <v>G:\SCPE\sdc\bq\6 - Mentions valorisantes\Certification environnementale\TEXTES_REGLEMENTATION_CE\Plans_contrôle et grilles\Grille audit niveau 3\Grille d'audit v1.11\[grille-audit-hvev4-v1.11-vf.xlsx]Surfaces_Horti</v>
      </c>
      <c r="E1307">
        <f t="shared" ca="1" si="81"/>
        <v>200</v>
      </c>
      <c r="F1307">
        <f t="shared" ca="1" si="82"/>
        <v>214</v>
      </c>
      <c r="G1307" t="str">
        <f t="shared" ca="1" si="83"/>
        <v>Surfaces_Horti</v>
      </c>
      <c r="H1307" cm="1">
        <f t="array" aca="1" ref="H1307" ca="1">ROW(INDIRECT(A1307))</f>
        <v>113</v>
      </c>
      <c r="I1307" cm="1">
        <f t="array" aca="1" ref="I1307" ca="1">COLUMN(INDIRECT(A1307))</f>
        <v>2</v>
      </c>
      <c r="M1307" t="str" cm="1">
        <f t="array" aca="1" ref="M1307" ca="1">IF(AND(J1307="O",ISBLANK(INDIRECT(A1307))),"Valeur obligatoire non renseignée","")</f>
        <v/>
      </c>
    </row>
    <row r="1308" spans="1:13" x14ac:dyDescent="0.25">
      <c r="A1308" s="91" t="s">
        <v>3939</v>
      </c>
      <c r="B1308" cm="1">
        <f t="array" aca="1" ref="B1308" ca="1">INDIRECT(A1308)</f>
        <v>0</v>
      </c>
      <c r="C1308">
        <f t="shared" ca="1" si="80"/>
        <v>5</v>
      </c>
      <c r="D1308" t="str" cm="1">
        <f t="array" aca="1" ref="D1308" ca="1">CELL("nomfichier",INDIRECT(A1308))</f>
        <v>G:\SCPE\sdc\bq\6 - Mentions valorisantes\Certification environnementale\TEXTES_REGLEMENTATION_CE\Plans_contrôle et grilles\Grille audit niveau 3\Grille d'audit v1.11\[grille-audit-hvev4-v1.11-vf.xlsx]Surfaces_Horti</v>
      </c>
      <c r="E1308">
        <f t="shared" ca="1" si="81"/>
        <v>200</v>
      </c>
      <c r="F1308">
        <f t="shared" ca="1" si="82"/>
        <v>214</v>
      </c>
      <c r="G1308" t="str">
        <f t="shared" ca="1" si="83"/>
        <v>Surfaces_Horti</v>
      </c>
      <c r="H1308" cm="1">
        <f t="array" aca="1" ref="H1308" ca="1">ROW(INDIRECT(A1308))</f>
        <v>113</v>
      </c>
      <c r="I1308" cm="1">
        <f t="array" aca="1" ref="I1308" ca="1">COLUMN(INDIRECT(A1308))</f>
        <v>3</v>
      </c>
      <c r="M1308" t="str" cm="1">
        <f t="array" aca="1" ref="M1308" ca="1">IF(AND(J1308="O",ISBLANK(INDIRECT(A1308))),"Valeur obligatoire non renseignée","")</f>
        <v/>
      </c>
    </row>
    <row r="1309" spans="1:13" x14ac:dyDescent="0.25">
      <c r="A1309" s="91" t="s">
        <v>3966</v>
      </c>
      <c r="B1309" cm="1">
        <f t="array" aca="1" ref="B1309" ca="1">INDIRECT(A1309)</f>
        <v>0</v>
      </c>
      <c r="C1309">
        <f t="shared" ca="1" si="80"/>
        <v>5</v>
      </c>
      <c r="D1309" t="str" cm="1">
        <f t="array" aca="1" ref="D1309" ca="1">CELL("nomfichier",INDIRECT(A1309))</f>
        <v>G:\SCPE\sdc\bq\6 - Mentions valorisantes\Certification environnementale\TEXTES_REGLEMENTATION_CE\Plans_contrôle et grilles\Grille audit niveau 3\Grille d'audit v1.11\[grille-audit-hvev4-v1.11-vf.xlsx]Surfaces_Horti</v>
      </c>
      <c r="E1309">
        <f t="shared" ca="1" si="81"/>
        <v>200</v>
      </c>
      <c r="F1309">
        <f t="shared" ca="1" si="82"/>
        <v>214</v>
      </c>
      <c r="G1309" t="str">
        <f t="shared" ca="1" si="83"/>
        <v>Surfaces_Horti</v>
      </c>
      <c r="H1309" cm="1">
        <f t="array" aca="1" ref="H1309" ca="1">ROW(INDIRECT(A1309))</f>
        <v>113</v>
      </c>
      <c r="I1309" cm="1">
        <f t="array" aca="1" ref="I1309" ca="1">COLUMN(INDIRECT(A1309))</f>
        <v>4</v>
      </c>
      <c r="M1309" t="str" cm="1">
        <f t="array" aca="1" ref="M1309" ca="1">IF(AND(J1309="O",ISBLANK(INDIRECT(A1309))),"Valeur obligatoire non renseignée","")</f>
        <v/>
      </c>
    </row>
    <row r="1310" spans="1:13" x14ac:dyDescent="0.25">
      <c r="A1310" s="91" t="s">
        <v>3993</v>
      </c>
      <c r="B1310" cm="1">
        <f t="array" aca="1" ref="B1310" ca="1">INDIRECT(A1310)</f>
        <v>0</v>
      </c>
      <c r="C1310">
        <f t="shared" ca="1" si="80"/>
        <v>5</v>
      </c>
      <c r="D1310" t="str" cm="1">
        <f t="array" aca="1" ref="D1310" ca="1">CELL("nomfichier",INDIRECT(A1310))</f>
        <v>G:\SCPE\sdc\bq\6 - Mentions valorisantes\Certification environnementale\TEXTES_REGLEMENTATION_CE\Plans_contrôle et grilles\Grille audit niveau 3\Grille d'audit v1.11\[grille-audit-hvev4-v1.11-vf.xlsx]Surfaces_Horti</v>
      </c>
      <c r="E1310">
        <f t="shared" ca="1" si="81"/>
        <v>200</v>
      </c>
      <c r="F1310">
        <f t="shared" ca="1" si="82"/>
        <v>214</v>
      </c>
      <c r="G1310" t="str">
        <f t="shared" ca="1" si="83"/>
        <v>Surfaces_Horti</v>
      </c>
      <c r="H1310" cm="1">
        <f t="array" aca="1" ref="H1310" ca="1">ROW(INDIRECT(A1310))</f>
        <v>113</v>
      </c>
      <c r="I1310" cm="1">
        <f t="array" aca="1" ref="I1310" ca="1">COLUMN(INDIRECT(A1310))</f>
        <v>5</v>
      </c>
      <c r="M1310" t="str" cm="1">
        <f t="array" aca="1" ref="M1310" ca="1">IF(AND(J1310="O",ISBLANK(INDIRECT(A1310))),"Valeur obligatoire non renseignée","")</f>
        <v/>
      </c>
    </row>
    <row r="1311" spans="1:13" x14ac:dyDescent="0.25">
      <c r="A1311" s="91" t="s">
        <v>4020</v>
      </c>
      <c r="B1311" cm="1">
        <f t="array" aca="1" ref="B1311" ca="1">INDIRECT(A1311)</f>
        <v>0</v>
      </c>
      <c r="C1311">
        <f t="shared" ca="1" si="80"/>
        <v>5</v>
      </c>
      <c r="D1311" t="str" cm="1">
        <f t="array" aca="1" ref="D1311" ca="1">CELL("nomfichier",INDIRECT(A1311))</f>
        <v>G:\SCPE\sdc\bq\6 - Mentions valorisantes\Certification environnementale\TEXTES_REGLEMENTATION_CE\Plans_contrôle et grilles\Grille audit niveau 3\Grille d'audit v1.11\[grille-audit-hvev4-v1.11-vf.xlsx]Surfaces_Horti</v>
      </c>
      <c r="E1311">
        <f t="shared" ca="1" si="81"/>
        <v>200</v>
      </c>
      <c r="F1311">
        <f t="shared" ca="1" si="82"/>
        <v>214</v>
      </c>
      <c r="G1311" t="str">
        <f t="shared" ca="1" si="83"/>
        <v>Surfaces_Horti</v>
      </c>
      <c r="H1311" cm="1">
        <f t="array" aca="1" ref="H1311" ca="1">ROW(INDIRECT(A1311))</f>
        <v>113</v>
      </c>
      <c r="I1311" cm="1">
        <f t="array" aca="1" ref="I1311" ca="1">COLUMN(INDIRECT(A1311))</f>
        <v>6</v>
      </c>
      <c r="M1311" t="str" cm="1">
        <f t="array" aca="1" ref="M1311" ca="1">IF(AND(J1311="O",ISBLANK(INDIRECT(A1311))),"Valeur obligatoire non renseignée","")</f>
        <v/>
      </c>
    </row>
    <row r="1312" spans="1:13" x14ac:dyDescent="0.25">
      <c r="A1312" s="91" t="s">
        <v>4047</v>
      </c>
      <c r="B1312" cm="1">
        <f t="array" aca="1" ref="B1312" ca="1">INDIRECT(A1312)</f>
        <v>0</v>
      </c>
      <c r="C1312">
        <f t="shared" ca="1" si="80"/>
        <v>5</v>
      </c>
      <c r="D1312" t="str" cm="1">
        <f t="array" aca="1" ref="D1312" ca="1">CELL("nomfichier",INDIRECT(A1312))</f>
        <v>G:\SCPE\sdc\bq\6 - Mentions valorisantes\Certification environnementale\TEXTES_REGLEMENTATION_CE\Plans_contrôle et grilles\Grille audit niveau 3\Grille d'audit v1.11\[grille-audit-hvev4-v1.11-vf.xlsx]Surfaces_Horti</v>
      </c>
      <c r="E1312">
        <f t="shared" ca="1" si="81"/>
        <v>200</v>
      </c>
      <c r="F1312">
        <f t="shared" ca="1" si="82"/>
        <v>214</v>
      </c>
      <c r="G1312" t="str">
        <f t="shared" ca="1" si="83"/>
        <v>Surfaces_Horti</v>
      </c>
      <c r="H1312" cm="1">
        <f t="array" aca="1" ref="H1312" ca="1">ROW(INDIRECT(A1312))</f>
        <v>113</v>
      </c>
      <c r="I1312" cm="1">
        <f t="array" aca="1" ref="I1312" ca="1">COLUMN(INDIRECT(A1312))</f>
        <v>7</v>
      </c>
      <c r="M1312" t="str" cm="1">
        <f t="array" aca="1" ref="M1312" ca="1">IF(AND(J1312="O",ISBLANK(INDIRECT(A1312))),"Valeur obligatoire non renseignée","")</f>
        <v/>
      </c>
    </row>
    <row r="1313" spans="1:13" x14ac:dyDescent="0.25">
      <c r="A1313" s="91" t="s">
        <v>4074</v>
      </c>
      <c r="B1313" cm="1">
        <f t="array" aca="1" ref="B1313" ca="1">INDIRECT(A1313)</f>
        <v>0</v>
      </c>
      <c r="C1313">
        <f t="shared" ca="1" si="80"/>
        <v>5</v>
      </c>
      <c r="D1313" t="str" cm="1">
        <f t="array" aca="1" ref="D1313" ca="1">CELL("nomfichier",INDIRECT(A1313))</f>
        <v>G:\SCPE\sdc\bq\6 - Mentions valorisantes\Certification environnementale\TEXTES_REGLEMENTATION_CE\Plans_contrôle et grilles\Grille audit niveau 3\Grille d'audit v1.11\[grille-audit-hvev4-v1.11-vf.xlsx]Surfaces_Horti</v>
      </c>
      <c r="E1313">
        <f t="shared" ca="1" si="81"/>
        <v>200</v>
      </c>
      <c r="F1313">
        <f t="shared" ca="1" si="82"/>
        <v>214</v>
      </c>
      <c r="G1313" t="str">
        <f t="shared" ca="1" si="83"/>
        <v>Surfaces_Horti</v>
      </c>
      <c r="H1313" cm="1">
        <f t="array" aca="1" ref="H1313" ca="1">ROW(INDIRECT(A1313))</f>
        <v>113</v>
      </c>
      <c r="I1313" cm="1">
        <f t="array" aca="1" ref="I1313" ca="1">COLUMN(INDIRECT(A1313))</f>
        <v>8</v>
      </c>
      <c r="M1313" t="str" cm="1">
        <f t="array" aca="1" ref="M1313" ca="1">IF(AND(J1313="O",ISBLANK(INDIRECT(A1313))),"Valeur obligatoire non renseignée","")</f>
        <v/>
      </c>
    </row>
    <row r="1314" spans="1:13" x14ac:dyDescent="0.25">
      <c r="A1314" s="91" t="s">
        <v>4101</v>
      </c>
      <c r="B1314" cm="1">
        <f t="array" aca="1" ref="B1314" ca="1">INDIRECT(A1314)</f>
        <v>0</v>
      </c>
      <c r="C1314">
        <f t="shared" ca="1" si="80"/>
        <v>5</v>
      </c>
      <c r="D1314" t="str" cm="1">
        <f t="array" aca="1" ref="D1314" ca="1">CELL("nomfichier",INDIRECT(A1314))</f>
        <v>G:\SCPE\sdc\bq\6 - Mentions valorisantes\Certification environnementale\TEXTES_REGLEMENTATION_CE\Plans_contrôle et grilles\Grille audit niveau 3\Grille d'audit v1.11\[grille-audit-hvev4-v1.11-vf.xlsx]Surfaces_Horti</v>
      </c>
      <c r="E1314">
        <f t="shared" ca="1" si="81"/>
        <v>200</v>
      </c>
      <c r="F1314">
        <f t="shared" ca="1" si="82"/>
        <v>214</v>
      </c>
      <c r="G1314" t="str">
        <f t="shared" ca="1" si="83"/>
        <v>Surfaces_Horti</v>
      </c>
      <c r="H1314" cm="1">
        <f t="array" aca="1" ref="H1314" ca="1">ROW(INDIRECT(A1314))</f>
        <v>113</v>
      </c>
      <c r="I1314" cm="1">
        <f t="array" aca="1" ref="I1314" ca="1">COLUMN(INDIRECT(A1314))</f>
        <v>9</v>
      </c>
      <c r="M1314" t="str" cm="1">
        <f t="array" aca="1" ref="M1314" ca="1">IF(AND(J1314="O",ISBLANK(INDIRECT(A1314))),"Valeur obligatoire non renseignée","")</f>
        <v/>
      </c>
    </row>
    <row r="1315" spans="1:13" x14ac:dyDescent="0.25">
      <c r="A1315" s="91" t="s">
        <v>4128</v>
      </c>
      <c r="B1315" cm="1">
        <f t="array" aca="1" ref="B1315" ca="1">INDIRECT(A1315)</f>
        <v>0</v>
      </c>
      <c r="C1315">
        <f t="shared" ca="1" si="80"/>
        <v>5</v>
      </c>
      <c r="D1315" t="str" cm="1">
        <f t="array" aca="1" ref="D1315" ca="1">CELL("nomfichier",INDIRECT(A1315))</f>
        <v>G:\SCPE\sdc\bq\6 - Mentions valorisantes\Certification environnementale\TEXTES_REGLEMENTATION_CE\Plans_contrôle et grilles\Grille audit niveau 3\Grille d'audit v1.11\[grille-audit-hvev4-v1.11-vf.xlsx]Surfaces_Horti</v>
      </c>
      <c r="E1315">
        <f t="shared" ca="1" si="81"/>
        <v>200</v>
      </c>
      <c r="F1315">
        <f t="shared" ca="1" si="82"/>
        <v>214</v>
      </c>
      <c r="G1315" t="str">
        <f t="shared" ca="1" si="83"/>
        <v>Surfaces_Horti</v>
      </c>
      <c r="H1315" cm="1">
        <f t="array" aca="1" ref="H1315" ca="1">ROW(INDIRECT(A1315))</f>
        <v>113</v>
      </c>
      <c r="I1315" cm="1">
        <f t="array" aca="1" ref="I1315" ca="1">COLUMN(INDIRECT(A1315))</f>
        <v>10</v>
      </c>
      <c r="M1315" t="str" cm="1">
        <f t="array" aca="1" ref="M1315" ca="1">IF(AND(J1315="O",ISBLANK(INDIRECT(A1315))),"Valeur obligatoire non renseignée","")</f>
        <v/>
      </c>
    </row>
    <row r="1316" spans="1:13" x14ac:dyDescent="0.25">
      <c r="A1316" s="91" t="s">
        <v>4155</v>
      </c>
      <c r="B1316" cm="1">
        <f t="array" aca="1" ref="B1316" ca="1">INDIRECT(A1316)</f>
        <v>0</v>
      </c>
      <c r="C1316">
        <f t="shared" ca="1" si="80"/>
        <v>5</v>
      </c>
      <c r="D1316" t="str" cm="1">
        <f t="array" aca="1" ref="D1316" ca="1">CELL("nomfichier",INDIRECT(A1316))</f>
        <v>G:\SCPE\sdc\bq\6 - Mentions valorisantes\Certification environnementale\TEXTES_REGLEMENTATION_CE\Plans_contrôle et grilles\Grille audit niveau 3\Grille d'audit v1.11\[grille-audit-hvev4-v1.11-vf.xlsx]Surfaces_Horti</v>
      </c>
      <c r="E1316">
        <f t="shared" ca="1" si="81"/>
        <v>200</v>
      </c>
      <c r="F1316">
        <f t="shared" ca="1" si="82"/>
        <v>214</v>
      </c>
      <c r="G1316" t="str">
        <f t="shared" ca="1" si="83"/>
        <v>Surfaces_Horti</v>
      </c>
      <c r="H1316" cm="1">
        <f t="array" aca="1" ref="H1316" ca="1">ROW(INDIRECT(A1316))</f>
        <v>113</v>
      </c>
      <c r="I1316" cm="1">
        <f t="array" aca="1" ref="I1316" ca="1">COLUMN(INDIRECT(A1316))</f>
        <v>11</v>
      </c>
      <c r="M1316" t="str" cm="1">
        <f t="array" aca="1" ref="M1316" ca="1">IF(AND(J1316="O",ISBLANK(INDIRECT(A1316))),"Valeur obligatoire non renseignée","")</f>
        <v/>
      </c>
    </row>
    <row r="1317" spans="1:13" x14ac:dyDescent="0.25">
      <c r="A1317" s="91" t="s">
        <v>4182</v>
      </c>
      <c r="B1317" cm="1">
        <f t="array" aca="1" ref="B1317" ca="1">INDIRECT(A1317)</f>
        <v>0</v>
      </c>
      <c r="C1317">
        <f t="shared" ca="1" si="80"/>
        <v>5</v>
      </c>
      <c r="D1317" t="str" cm="1">
        <f t="array" aca="1" ref="D1317" ca="1">CELL("nomfichier",INDIRECT(A1317))</f>
        <v>G:\SCPE\sdc\bq\6 - Mentions valorisantes\Certification environnementale\TEXTES_REGLEMENTATION_CE\Plans_contrôle et grilles\Grille audit niveau 3\Grille d'audit v1.11\[grille-audit-hvev4-v1.11-vf.xlsx]Surfaces_Horti</v>
      </c>
      <c r="E1317">
        <f t="shared" ca="1" si="81"/>
        <v>200</v>
      </c>
      <c r="F1317">
        <f t="shared" ca="1" si="82"/>
        <v>214</v>
      </c>
      <c r="G1317" t="str">
        <f t="shared" ca="1" si="83"/>
        <v>Surfaces_Horti</v>
      </c>
      <c r="H1317" cm="1">
        <f t="array" aca="1" ref="H1317" ca="1">ROW(INDIRECT(A1317))</f>
        <v>113</v>
      </c>
      <c r="I1317" cm="1">
        <f t="array" aca="1" ref="I1317" ca="1">COLUMN(INDIRECT(A1317))</f>
        <v>12</v>
      </c>
      <c r="M1317" t="str" cm="1">
        <f t="array" aca="1" ref="M1317" ca="1">IF(AND(J1317="O",ISBLANK(INDIRECT(A1317))),"Valeur obligatoire non renseignée","")</f>
        <v/>
      </c>
    </row>
    <row r="1318" spans="1:13" x14ac:dyDescent="0.25">
      <c r="A1318" s="91" t="s">
        <v>4209</v>
      </c>
      <c r="B1318" cm="1">
        <f t="array" aca="1" ref="B1318" ca="1">INDIRECT(A1318)</f>
        <v>0</v>
      </c>
      <c r="C1318">
        <f t="shared" ca="1" si="80"/>
        <v>5</v>
      </c>
      <c r="D1318" t="str" cm="1">
        <f t="array" aca="1" ref="D1318" ca="1">CELL("nomfichier",INDIRECT(A1318))</f>
        <v>G:\SCPE\sdc\bq\6 - Mentions valorisantes\Certification environnementale\TEXTES_REGLEMENTATION_CE\Plans_contrôle et grilles\Grille audit niveau 3\Grille d'audit v1.11\[grille-audit-hvev4-v1.11-vf.xlsx]Surfaces_Horti</v>
      </c>
      <c r="E1318">
        <f t="shared" ca="1" si="81"/>
        <v>200</v>
      </c>
      <c r="F1318">
        <f t="shared" ca="1" si="82"/>
        <v>214</v>
      </c>
      <c r="G1318" t="str">
        <f t="shared" ca="1" si="83"/>
        <v>Surfaces_Horti</v>
      </c>
      <c r="H1318" cm="1">
        <f t="array" aca="1" ref="H1318" ca="1">ROW(INDIRECT(A1318))</f>
        <v>113</v>
      </c>
      <c r="I1318" cm="1">
        <f t="array" aca="1" ref="I1318" ca="1">COLUMN(INDIRECT(A1318))</f>
        <v>13</v>
      </c>
      <c r="M1318" t="str" cm="1">
        <f t="array" aca="1" ref="M1318" ca="1">IF(AND(J1318="O",ISBLANK(INDIRECT(A1318))),"Valeur obligatoire non renseignée","")</f>
        <v/>
      </c>
    </row>
    <row r="1319" spans="1:13" x14ac:dyDescent="0.25">
      <c r="A1319" s="91" t="s">
        <v>4236</v>
      </c>
      <c r="B1319" cm="1">
        <f t="array" aca="1" ref="B1319" ca="1">INDIRECT(A1319)</f>
        <v>0</v>
      </c>
      <c r="C1319">
        <f t="shared" ca="1" si="80"/>
        <v>5</v>
      </c>
      <c r="D1319" t="str" cm="1">
        <f t="array" aca="1" ref="D1319" ca="1">CELL("nomfichier",INDIRECT(A1319))</f>
        <v>G:\SCPE\sdc\bq\6 - Mentions valorisantes\Certification environnementale\TEXTES_REGLEMENTATION_CE\Plans_contrôle et grilles\Grille audit niveau 3\Grille d'audit v1.11\[grille-audit-hvev4-v1.11-vf.xlsx]Surfaces_Horti</v>
      </c>
      <c r="E1319">
        <f t="shared" ca="1" si="81"/>
        <v>200</v>
      </c>
      <c r="F1319">
        <f t="shared" ca="1" si="82"/>
        <v>214</v>
      </c>
      <c r="G1319" t="str">
        <f t="shared" ca="1" si="83"/>
        <v>Surfaces_Horti</v>
      </c>
      <c r="H1319" cm="1">
        <f t="array" aca="1" ref="H1319" ca="1">ROW(INDIRECT(A1319))</f>
        <v>113</v>
      </c>
      <c r="I1319" cm="1">
        <f t="array" aca="1" ref="I1319" ca="1">COLUMN(INDIRECT(A1319))</f>
        <v>14</v>
      </c>
      <c r="M1319" t="str" cm="1">
        <f t="array" aca="1" ref="M1319" ca="1">IF(AND(J1319="O",ISBLANK(INDIRECT(A1319))),"Valeur obligatoire non renseignée","")</f>
        <v/>
      </c>
    </row>
    <row r="1320" spans="1:13" x14ac:dyDescent="0.25">
      <c r="A1320" s="91" t="s">
        <v>3913</v>
      </c>
      <c r="B1320" cm="1">
        <f t="array" aca="1" ref="B1320" ca="1">INDIRECT(A1320)</f>
        <v>0</v>
      </c>
      <c r="C1320">
        <f t="shared" ca="1" si="80"/>
        <v>5</v>
      </c>
      <c r="D1320" t="str" cm="1">
        <f t="array" aca="1" ref="D1320" ca="1">CELL("nomfichier",INDIRECT(A1320))</f>
        <v>G:\SCPE\sdc\bq\6 - Mentions valorisantes\Certification environnementale\TEXTES_REGLEMENTATION_CE\Plans_contrôle et grilles\Grille audit niveau 3\Grille d'audit v1.11\[grille-audit-hvev4-v1.11-vf.xlsx]Surfaces_Horti</v>
      </c>
      <c r="E1320">
        <f t="shared" ca="1" si="81"/>
        <v>200</v>
      </c>
      <c r="F1320">
        <f t="shared" ca="1" si="82"/>
        <v>214</v>
      </c>
      <c r="G1320" t="str">
        <f t="shared" ca="1" si="83"/>
        <v>Surfaces_Horti</v>
      </c>
      <c r="H1320" cm="1">
        <f t="array" aca="1" ref="H1320" ca="1">ROW(INDIRECT(A1320))</f>
        <v>114</v>
      </c>
      <c r="I1320" cm="1">
        <f t="array" aca="1" ref="I1320" ca="1">COLUMN(INDIRECT(A1320))</f>
        <v>2</v>
      </c>
      <c r="M1320" t="str" cm="1">
        <f t="array" aca="1" ref="M1320" ca="1">IF(AND(J1320="O",ISBLANK(INDIRECT(A1320))),"Valeur obligatoire non renseignée","")</f>
        <v/>
      </c>
    </row>
    <row r="1321" spans="1:13" x14ac:dyDescent="0.25">
      <c r="A1321" s="91" t="s">
        <v>3940</v>
      </c>
      <c r="B1321" cm="1">
        <f t="array" aca="1" ref="B1321" ca="1">INDIRECT(A1321)</f>
        <v>0</v>
      </c>
      <c r="C1321">
        <f t="shared" ca="1" si="80"/>
        <v>5</v>
      </c>
      <c r="D1321" t="str" cm="1">
        <f t="array" aca="1" ref="D1321" ca="1">CELL("nomfichier",INDIRECT(A1321))</f>
        <v>G:\SCPE\sdc\bq\6 - Mentions valorisantes\Certification environnementale\TEXTES_REGLEMENTATION_CE\Plans_contrôle et grilles\Grille audit niveau 3\Grille d'audit v1.11\[grille-audit-hvev4-v1.11-vf.xlsx]Surfaces_Horti</v>
      </c>
      <c r="E1321">
        <f t="shared" ca="1" si="81"/>
        <v>200</v>
      </c>
      <c r="F1321">
        <f t="shared" ca="1" si="82"/>
        <v>214</v>
      </c>
      <c r="G1321" t="str">
        <f t="shared" ca="1" si="83"/>
        <v>Surfaces_Horti</v>
      </c>
      <c r="H1321" cm="1">
        <f t="array" aca="1" ref="H1321" ca="1">ROW(INDIRECT(A1321))</f>
        <v>114</v>
      </c>
      <c r="I1321" cm="1">
        <f t="array" aca="1" ref="I1321" ca="1">COLUMN(INDIRECT(A1321))</f>
        <v>3</v>
      </c>
      <c r="M1321" t="str" cm="1">
        <f t="array" aca="1" ref="M1321" ca="1">IF(AND(J1321="O",ISBLANK(INDIRECT(A1321))),"Valeur obligatoire non renseignée","")</f>
        <v/>
      </c>
    </row>
    <row r="1322" spans="1:13" x14ac:dyDescent="0.25">
      <c r="A1322" s="91" t="s">
        <v>3967</v>
      </c>
      <c r="B1322" cm="1">
        <f t="array" aca="1" ref="B1322" ca="1">INDIRECT(A1322)</f>
        <v>0</v>
      </c>
      <c r="C1322">
        <f t="shared" ca="1" si="80"/>
        <v>5</v>
      </c>
      <c r="D1322" t="str" cm="1">
        <f t="array" aca="1" ref="D1322" ca="1">CELL("nomfichier",INDIRECT(A1322))</f>
        <v>G:\SCPE\sdc\bq\6 - Mentions valorisantes\Certification environnementale\TEXTES_REGLEMENTATION_CE\Plans_contrôle et grilles\Grille audit niveau 3\Grille d'audit v1.11\[grille-audit-hvev4-v1.11-vf.xlsx]Surfaces_Horti</v>
      </c>
      <c r="E1322">
        <f t="shared" ca="1" si="81"/>
        <v>200</v>
      </c>
      <c r="F1322">
        <f t="shared" ca="1" si="82"/>
        <v>214</v>
      </c>
      <c r="G1322" t="str">
        <f t="shared" ca="1" si="83"/>
        <v>Surfaces_Horti</v>
      </c>
      <c r="H1322" cm="1">
        <f t="array" aca="1" ref="H1322" ca="1">ROW(INDIRECT(A1322))</f>
        <v>114</v>
      </c>
      <c r="I1322" cm="1">
        <f t="array" aca="1" ref="I1322" ca="1">COLUMN(INDIRECT(A1322))</f>
        <v>4</v>
      </c>
      <c r="M1322" t="str" cm="1">
        <f t="array" aca="1" ref="M1322" ca="1">IF(AND(J1322="O",ISBLANK(INDIRECT(A1322))),"Valeur obligatoire non renseignée","")</f>
        <v/>
      </c>
    </row>
    <row r="1323" spans="1:13" x14ac:dyDescent="0.25">
      <c r="A1323" s="91" t="s">
        <v>3994</v>
      </c>
      <c r="B1323" cm="1">
        <f t="array" aca="1" ref="B1323" ca="1">INDIRECT(A1323)</f>
        <v>0</v>
      </c>
      <c r="C1323">
        <f t="shared" ca="1" si="80"/>
        <v>5</v>
      </c>
      <c r="D1323" t="str" cm="1">
        <f t="array" aca="1" ref="D1323" ca="1">CELL("nomfichier",INDIRECT(A1323))</f>
        <v>G:\SCPE\sdc\bq\6 - Mentions valorisantes\Certification environnementale\TEXTES_REGLEMENTATION_CE\Plans_contrôle et grilles\Grille audit niveau 3\Grille d'audit v1.11\[grille-audit-hvev4-v1.11-vf.xlsx]Surfaces_Horti</v>
      </c>
      <c r="E1323">
        <f t="shared" ca="1" si="81"/>
        <v>200</v>
      </c>
      <c r="F1323">
        <f t="shared" ca="1" si="82"/>
        <v>214</v>
      </c>
      <c r="G1323" t="str">
        <f t="shared" ca="1" si="83"/>
        <v>Surfaces_Horti</v>
      </c>
      <c r="H1323" cm="1">
        <f t="array" aca="1" ref="H1323" ca="1">ROW(INDIRECT(A1323))</f>
        <v>114</v>
      </c>
      <c r="I1323" cm="1">
        <f t="array" aca="1" ref="I1323" ca="1">COLUMN(INDIRECT(A1323))</f>
        <v>5</v>
      </c>
      <c r="M1323" t="str" cm="1">
        <f t="array" aca="1" ref="M1323" ca="1">IF(AND(J1323="O",ISBLANK(INDIRECT(A1323))),"Valeur obligatoire non renseignée","")</f>
        <v/>
      </c>
    </row>
    <row r="1324" spans="1:13" x14ac:dyDescent="0.25">
      <c r="A1324" s="91" t="s">
        <v>4021</v>
      </c>
      <c r="B1324" cm="1">
        <f t="array" aca="1" ref="B1324" ca="1">INDIRECT(A1324)</f>
        <v>0</v>
      </c>
      <c r="C1324">
        <f t="shared" ca="1" si="80"/>
        <v>5</v>
      </c>
      <c r="D1324" t="str" cm="1">
        <f t="array" aca="1" ref="D1324" ca="1">CELL("nomfichier",INDIRECT(A1324))</f>
        <v>G:\SCPE\sdc\bq\6 - Mentions valorisantes\Certification environnementale\TEXTES_REGLEMENTATION_CE\Plans_contrôle et grilles\Grille audit niveau 3\Grille d'audit v1.11\[grille-audit-hvev4-v1.11-vf.xlsx]Surfaces_Horti</v>
      </c>
      <c r="E1324">
        <f t="shared" ca="1" si="81"/>
        <v>200</v>
      </c>
      <c r="F1324">
        <f t="shared" ca="1" si="82"/>
        <v>214</v>
      </c>
      <c r="G1324" t="str">
        <f t="shared" ca="1" si="83"/>
        <v>Surfaces_Horti</v>
      </c>
      <c r="H1324" cm="1">
        <f t="array" aca="1" ref="H1324" ca="1">ROW(INDIRECT(A1324))</f>
        <v>114</v>
      </c>
      <c r="I1324" cm="1">
        <f t="array" aca="1" ref="I1324" ca="1">COLUMN(INDIRECT(A1324))</f>
        <v>6</v>
      </c>
      <c r="M1324" t="str" cm="1">
        <f t="array" aca="1" ref="M1324" ca="1">IF(AND(J1324="O",ISBLANK(INDIRECT(A1324))),"Valeur obligatoire non renseignée","")</f>
        <v/>
      </c>
    </row>
    <row r="1325" spans="1:13" x14ac:dyDescent="0.25">
      <c r="A1325" s="91" t="s">
        <v>4048</v>
      </c>
      <c r="B1325" cm="1">
        <f t="array" aca="1" ref="B1325" ca="1">INDIRECT(A1325)</f>
        <v>0</v>
      </c>
      <c r="C1325">
        <f t="shared" ca="1" si="80"/>
        <v>5</v>
      </c>
      <c r="D1325" t="str" cm="1">
        <f t="array" aca="1" ref="D1325" ca="1">CELL("nomfichier",INDIRECT(A1325))</f>
        <v>G:\SCPE\sdc\bq\6 - Mentions valorisantes\Certification environnementale\TEXTES_REGLEMENTATION_CE\Plans_contrôle et grilles\Grille audit niveau 3\Grille d'audit v1.11\[grille-audit-hvev4-v1.11-vf.xlsx]Surfaces_Horti</v>
      </c>
      <c r="E1325">
        <f t="shared" ca="1" si="81"/>
        <v>200</v>
      </c>
      <c r="F1325">
        <f t="shared" ca="1" si="82"/>
        <v>214</v>
      </c>
      <c r="G1325" t="str">
        <f t="shared" ca="1" si="83"/>
        <v>Surfaces_Horti</v>
      </c>
      <c r="H1325" cm="1">
        <f t="array" aca="1" ref="H1325" ca="1">ROW(INDIRECT(A1325))</f>
        <v>114</v>
      </c>
      <c r="I1325" cm="1">
        <f t="array" aca="1" ref="I1325" ca="1">COLUMN(INDIRECT(A1325))</f>
        <v>7</v>
      </c>
      <c r="M1325" t="str" cm="1">
        <f t="array" aca="1" ref="M1325" ca="1">IF(AND(J1325="O",ISBLANK(INDIRECT(A1325))),"Valeur obligatoire non renseignée","")</f>
        <v/>
      </c>
    </row>
    <row r="1326" spans="1:13" x14ac:dyDescent="0.25">
      <c r="A1326" s="91" t="s">
        <v>4075</v>
      </c>
      <c r="B1326" cm="1">
        <f t="array" aca="1" ref="B1326" ca="1">INDIRECT(A1326)</f>
        <v>0</v>
      </c>
      <c r="C1326">
        <f t="shared" ca="1" si="80"/>
        <v>5</v>
      </c>
      <c r="D1326" t="str" cm="1">
        <f t="array" aca="1" ref="D1326" ca="1">CELL("nomfichier",INDIRECT(A1326))</f>
        <v>G:\SCPE\sdc\bq\6 - Mentions valorisantes\Certification environnementale\TEXTES_REGLEMENTATION_CE\Plans_contrôle et grilles\Grille audit niveau 3\Grille d'audit v1.11\[grille-audit-hvev4-v1.11-vf.xlsx]Surfaces_Horti</v>
      </c>
      <c r="E1326">
        <f t="shared" ca="1" si="81"/>
        <v>200</v>
      </c>
      <c r="F1326">
        <f t="shared" ca="1" si="82"/>
        <v>214</v>
      </c>
      <c r="G1326" t="str">
        <f t="shared" ca="1" si="83"/>
        <v>Surfaces_Horti</v>
      </c>
      <c r="H1326" cm="1">
        <f t="array" aca="1" ref="H1326" ca="1">ROW(INDIRECT(A1326))</f>
        <v>114</v>
      </c>
      <c r="I1326" cm="1">
        <f t="array" aca="1" ref="I1326" ca="1">COLUMN(INDIRECT(A1326))</f>
        <v>8</v>
      </c>
      <c r="M1326" t="str" cm="1">
        <f t="array" aca="1" ref="M1326" ca="1">IF(AND(J1326="O",ISBLANK(INDIRECT(A1326))),"Valeur obligatoire non renseignée","")</f>
        <v/>
      </c>
    </row>
    <row r="1327" spans="1:13" x14ac:dyDescent="0.25">
      <c r="A1327" s="91" t="s">
        <v>4102</v>
      </c>
      <c r="B1327" cm="1">
        <f t="array" aca="1" ref="B1327" ca="1">INDIRECT(A1327)</f>
        <v>0</v>
      </c>
      <c r="C1327">
        <f t="shared" ca="1" si="80"/>
        <v>5</v>
      </c>
      <c r="D1327" t="str" cm="1">
        <f t="array" aca="1" ref="D1327" ca="1">CELL("nomfichier",INDIRECT(A1327))</f>
        <v>G:\SCPE\sdc\bq\6 - Mentions valorisantes\Certification environnementale\TEXTES_REGLEMENTATION_CE\Plans_contrôle et grilles\Grille audit niveau 3\Grille d'audit v1.11\[grille-audit-hvev4-v1.11-vf.xlsx]Surfaces_Horti</v>
      </c>
      <c r="E1327">
        <f t="shared" ca="1" si="81"/>
        <v>200</v>
      </c>
      <c r="F1327">
        <f t="shared" ca="1" si="82"/>
        <v>214</v>
      </c>
      <c r="G1327" t="str">
        <f t="shared" ca="1" si="83"/>
        <v>Surfaces_Horti</v>
      </c>
      <c r="H1327" cm="1">
        <f t="array" aca="1" ref="H1327" ca="1">ROW(INDIRECT(A1327))</f>
        <v>114</v>
      </c>
      <c r="I1327" cm="1">
        <f t="array" aca="1" ref="I1327" ca="1">COLUMN(INDIRECT(A1327))</f>
        <v>9</v>
      </c>
      <c r="M1327" t="str" cm="1">
        <f t="array" aca="1" ref="M1327" ca="1">IF(AND(J1327="O",ISBLANK(INDIRECT(A1327))),"Valeur obligatoire non renseignée","")</f>
        <v/>
      </c>
    </row>
    <row r="1328" spans="1:13" x14ac:dyDescent="0.25">
      <c r="A1328" s="91" t="s">
        <v>4129</v>
      </c>
      <c r="B1328" cm="1">
        <f t="array" aca="1" ref="B1328" ca="1">INDIRECT(A1328)</f>
        <v>0</v>
      </c>
      <c r="C1328">
        <f t="shared" ca="1" si="80"/>
        <v>5</v>
      </c>
      <c r="D1328" t="str" cm="1">
        <f t="array" aca="1" ref="D1328" ca="1">CELL("nomfichier",INDIRECT(A1328))</f>
        <v>G:\SCPE\sdc\bq\6 - Mentions valorisantes\Certification environnementale\TEXTES_REGLEMENTATION_CE\Plans_contrôle et grilles\Grille audit niveau 3\Grille d'audit v1.11\[grille-audit-hvev4-v1.11-vf.xlsx]Surfaces_Horti</v>
      </c>
      <c r="E1328">
        <f t="shared" ca="1" si="81"/>
        <v>200</v>
      </c>
      <c r="F1328">
        <f t="shared" ca="1" si="82"/>
        <v>214</v>
      </c>
      <c r="G1328" t="str">
        <f t="shared" ca="1" si="83"/>
        <v>Surfaces_Horti</v>
      </c>
      <c r="H1328" cm="1">
        <f t="array" aca="1" ref="H1328" ca="1">ROW(INDIRECT(A1328))</f>
        <v>114</v>
      </c>
      <c r="I1328" cm="1">
        <f t="array" aca="1" ref="I1328" ca="1">COLUMN(INDIRECT(A1328))</f>
        <v>10</v>
      </c>
      <c r="M1328" t="str" cm="1">
        <f t="array" aca="1" ref="M1328" ca="1">IF(AND(J1328="O",ISBLANK(INDIRECT(A1328))),"Valeur obligatoire non renseignée","")</f>
        <v/>
      </c>
    </row>
    <row r="1329" spans="1:13" x14ac:dyDescent="0.25">
      <c r="A1329" s="91" t="s">
        <v>4156</v>
      </c>
      <c r="B1329" cm="1">
        <f t="array" aca="1" ref="B1329" ca="1">INDIRECT(A1329)</f>
        <v>0</v>
      </c>
      <c r="C1329">
        <f t="shared" ca="1" si="80"/>
        <v>5</v>
      </c>
      <c r="D1329" t="str" cm="1">
        <f t="array" aca="1" ref="D1329" ca="1">CELL("nomfichier",INDIRECT(A1329))</f>
        <v>G:\SCPE\sdc\bq\6 - Mentions valorisantes\Certification environnementale\TEXTES_REGLEMENTATION_CE\Plans_contrôle et grilles\Grille audit niveau 3\Grille d'audit v1.11\[grille-audit-hvev4-v1.11-vf.xlsx]Surfaces_Horti</v>
      </c>
      <c r="E1329">
        <f t="shared" ca="1" si="81"/>
        <v>200</v>
      </c>
      <c r="F1329">
        <f t="shared" ca="1" si="82"/>
        <v>214</v>
      </c>
      <c r="G1329" t="str">
        <f t="shared" ca="1" si="83"/>
        <v>Surfaces_Horti</v>
      </c>
      <c r="H1329" cm="1">
        <f t="array" aca="1" ref="H1329" ca="1">ROW(INDIRECT(A1329))</f>
        <v>114</v>
      </c>
      <c r="I1329" cm="1">
        <f t="array" aca="1" ref="I1329" ca="1">COLUMN(INDIRECT(A1329))</f>
        <v>11</v>
      </c>
      <c r="M1329" t="str" cm="1">
        <f t="array" aca="1" ref="M1329" ca="1">IF(AND(J1329="O",ISBLANK(INDIRECT(A1329))),"Valeur obligatoire non renseignée","")</f>
        <v/>
      </c>
    </row>
    <row r="1330" spans="1:13" x14ac:dyDescent="0.25">
      <c r="A1330" s="91" t="s">
        <v>4183</v>
      </c>
      <c r="B1330" cm="1">
        <f t="array" aca="1" ref="B1330" ca="1">INDIRECT(A1330)</f>
        <v>0</v>
      </c>
      <c r="C1330">
        <f t="shared" ca="1" si="80"/>
        <v>5</v>
      </c>
      <c r="D1330" t="str" cm="1">
        <f t="array" aca="1" ref="D1330" ca="1">CELL("nomfichier",INDIRECT(A1330))</f>
        <v>G:\SCPE\sdc\bq\6 - Mentions valorisantes\Certification environnementale\TEXTES_REGLEMENTATION_CE\Plans_contrôle et grilles\Grille audit niveau 3\Grille d'audit v1.11\[grille-audit-hvev4-v1.11-vf.xlsx]Surfaces_Horti</v>
      </c>
      <c r="E1330">
        <f t="shared" ca="1" si="81"/>
        <v>200</v>
      </c>
      <c r="F1330">
        <f t="shared" ca="1" si="82"/>
        <v>214</v>
      </c>
      <c r="G1330" t="str">
        <f t="shared" ca="1" si="83"/>
        <v>Surfaces_Horti</v>
      </c>
      <c r="H1330" cm="1">
        <f t="array" aca="1" ref="H1330" ca="1">ROW(INDIRECT(A1330))</f>
        <v>114</v>
      </c>
      <c r="I1330" cm="1">
        <f t="array" aca="1" ref="I1330" ca="1">COLUMN(INDIRECT(A1330))</f>
        <v>12</v>
      </c>
      <c r="M1330" t="str" cm="1">
        <f t="array" aca="1" ref="M1330" ca="1">IF(AND(J1330="O",ISBLANK(INDIRECT(A1330))),"Valeur obligatoire non renseignée","")</f>
        <v/>
      </c>
    </row>
    <row r="1331" spans="1:13" x14ac:dyDescent="0.25">
      <c r="A1331" s="91" t="s">
        <v>4210</v>
      </c>
      <c r="B1331" cm="1">
        <f t="array" aca="1" ref="B1331" ca="1">INDIRECT(A1331)</f>
        <v>0</v>
      </c>
      <c r="C1331">
        <f t="shared" ca="1" si="80"/>
        <v>5</v>
      </c>
      <c r="D1331" t="str" cm="1">
        <f t="array" aca="1" ref="D1331" ca="1">CELL("nomfichier",INDIRECT(A1331))</f>
        <v>G:\SCPE\sdc\bq\6 - Mentions valorisantes\Certification environnementale\TEXTES_REGLEMENTATION_CE\Plans_contrôle et grilles\Grille audit niveau 3\Grille d'audit v1.11\[grille-audit-hvev4-v1.11-vf.xlsx]Surfaces_Horti</v>
      </c>
      <c r="E1331">
        <f t="shared" ca="1" si="81"/>
        <v>200</v>
      </c>
      <c r="F1331">
        <f t="shared" ca="1" si="82"/>
        <v>214</v>
      </c>
      <c r="G1331" t="str">
        <f t="shared" ca="1" si="83"/>
        <v>Surfaces_Horti</v>
      </c>
      <c r="H1331" cm="1">
        <f t="array" aca="1" ref="H1331" ca="1">ROW(INDIRECT(A1331))</f>
        <v>114</v>
      </c>
      <c r="I1331" cm="1">
        <f t="array" aca="1" ref="I1331" ca="1">COLUMN(INDIRECT(A1331))</f>
        <v>13</v>
      </c>
      <c r="M1331" t="str" cm="1">
        <f t="array" aca="1" ref="M1331" ca="1">IF(AND(J1331="O",ISBLANK(INDIRECT(A1331))),"Valeur obligatoire non renseignée","")</f>
        <v/>
      </c>
    </row>
    <row r="1332" spans="1:13" x14ac:dyDescent="0.25">
      <c r="A1332" s="91" t="s">
        <v>4237</v>
      </c>
      <c r="B1332" cm="1">
        <f t="array" aca="1" ref="B1332" ca="1">INDIRECT(A1332)</f>
        <v>0</v>
      </c>
      <c r="C1332">
        <f t="shared" ca="1" si="80"/>
        <v>5</v>
      </c>
      <c r="D1332" t="str" cm="1">
        <f t="array" aca="1" ref="D1332" ca="1">CELL("nomfichier",INDIRECT(A1332))</f>
        <v>G:\SCPE\sdc\bq\6 - Mentions valorisantes\Certification environnementale\TEXTES_REGLEMENTATION_CE\Plans_contrôle et grilles\Grille audit niveau 3\Grille d'audit v1.11\[grille-audit-hvev4-v1.11-vf.xlsx]Surfaces_Horti</v>
      </c>
      <c r="E1332">
        <f t="shared" ca="1" si="81"/>
        <v>200</v>
      </c>
      <c r="F1332">
        <f t="shared" ca="1" si="82"/>
        <v>214</v>
      </c>
      <c r="G1332" t="str">
        <f t="shared" ca="1" si="83"/>
        <v>Surfaces_Horti</v>
      </c>
      <c r="H1332" cm="1">
        <f t="array" aca="1" ref="H1332" ca="1">ROW(INDIRECT(A1332))</f>
        <v>114</v>
      </c>
      <c r="I1332" cm="1">
        <f t="array" aca="1" ref="I1332" ca="1">COLUMN(INDIRECT(A1332))</f>
        <v>14</v>
      </c>
      <c r="M1332" t="str" cm="1">
        <f t="array" aca="1" ref="M1332" ca="1">IF(AND(J1332="O",ISBLANK(INDIRECT(A1332))),"Valeur obligatoire non renseignée","")</f>
        <v/>
      </c>
    </row>
    <row r="1333" spans="1:13" x14ac:dyDescent="0.25">
      <c r="A1333" s="91" t="s">
        <v>3914</v>
      </c>
      <c r="B1333" cm="1">
        <f t="array" aca="1" ref="B1333" ca="1">INDIRECT(A1333)</f>
        <v>0</v>
      </c>
      <c r="C1333">
        <f t="shared" ca="1" si="80"/>
        <v>5</v>
      </c>
      <c r="D1333" t="str" cm="1">
        <f t="array" aca="1" ref="D1333" ca="1">CELL("nomfichier",INDIRECT(A1333))</f>
        <v>G:\SCPE\sdc\bq\6 - Mentions valorisantes\Certification environnementale\TEXTES_REGLEMENTATION_CE\Plans_contrôle et grilles\Grille audit niveau 3\Grille d'audit v1.11\[grille-audit-hvev4-v1.11-vf.xlsx]Surfaces_Horti</v>
      </c>
      <c r="E1333">
        <f t="shared" ca="1" si="81"/>
        <v>200</v>
      </c>
      <c r="F1333">
        <f t="shared" ca="1" si="82"/>
        <v>214</v>
      </c>
      <c r="G1333" t="str">
        <f t="shared" ca="1" si="83"/>
        <v>Surfaces_Horti</v>
      </c>
      <c r="H1333" cm="1">
        <f t="array" aca="1" ref="H1333" ca="1">ROW(INDIRECT(A1333))</f>
        <v>115</v>
      </c>
      <c r="I1333" cm="1">
        <f t="array" aca="1" ref="I1333" ca="1">COLUMN(INDIRECT(A1333))</f>
        <v>2</v>
      </c>
      <c r="M1333" t="str" cm="1">
        <f t="array" aca="1" ref="M1333" ca="1">IF(AND(J1333="O",ISBLANK(INDIRECT(A1333))),"Valeur obligatoire non renseignée","")</f>
        <v/>
      </c>
    </row>
    <row r="1334" spans="1:13" x14ac:dyDescent="0.25">
      <c r="A1334" s="91" t="s">
        <v>3941</v>
      </c>
      <c r="B1334" cm="1">
        <f t="array" aca="1" ref="B1334" ca="1">INDIRECT(A1334)</f>
        <v>0</v>
      </c>
      <c r="C1334">
        <f t="shared" ca="1" si="80"/>
        <v>5</v>
      </c>
      <c r="D1334" t="str" cm="1">
        <f t="array" aca="1" ref="D1334" ca="1">CELL("nomfichier",INDIRECT(A1334))</f>
        <v>G:\SCPE\sdc\bq\6 - Mentions valorisantes\Certification environnementale\TEXTES_REGLEMENTATION_CE\Plans_contrôle et grilles\Grille audit niveau 3\Grille d'audit v1.11\[grille-audit-hvev4-v1.11-vf.xlsx]Surfaces_Horti</v>
      </c>
      <c r="E1334">
        <f t="shared" ca="1" si="81"/>
        <v>200</v>
      </c>
      <c r="F1334">
        <f t="shared" ca="1" si="82"/>
        <v>214</v>
      </c>
      <c r="G1334" t="str">
        <f t="shared" ca="1" si="83"/>
        <v>Surfaces_Horti</v>
      </c>
      <c r="H1334" cm="1">
        <f t="array" aca="1" ref="H1334" ca="1">ROW(INDIRECT(A1334))</f>
        <v>115</v>
      </c>
      <c r="I1334" cm="1">
        <f t="array" aca="1" ref="I1334" ca="1">COLUMN(INDIRECT(A1334))</f>
        <v>3</v>
      </c>
      <c r="M1334" t="str" cm="1">
        <f t="array" aca="1" ref="M1334" ca="1">IF(AND(J1334="O",ISBLANK(INDIRECT(A1334))),"Valeur obligatoire non renseignée","")</f>
        <v/>
      </c>
    </row>
    <row r="1335" spans="1:13" x14ac:dyDescent="0.25">
      <c r="A1335" s="91" t="s">
        <v>3968</v>
      </c>
      <c r="B1335" cm="1">
        <f t="array" aca="1" ref="B1335" ca="1">INDIRECT(A1335)</f>
        <v>0</v>
      </c>
      <c r="C1335">
        <f t="shared" ca="1" si="80"/>
        <v>5</v>
      </c>
      <c r="D1335" t="str" cm="1">
        <f t="array" aca="1" ref="D1335" ca="1">CELL("nomfichier",INDIRECT(A1335))</f>
        <v>G:\SCPE\sdc\bq\6 - Mentions valorisantes\Certification environnementale\TEXTES_REGLEMENTATION_CE\Plans_contrôle et grilles\Grille audit niveau 3\Grille d'audit v1.11\[grille-audit-hvev4-v1.11-vf.xlsx]Surfaces_Horti</v>
      </c>
      <c r="E1335">
        <f t="shared" ca="1" si="81"/>
        <v>200</v>
      </c>
      <c r="F1335">
        <f t="shared" ca="1" si="82"/>
        <v>214</v>
      </c>
      <c r="G1335" t="str">
        <f t="shared" ca="1" si="83"/>
        <v>Surfaces_Horti</v>
      </c>
      <c r="H1335" cm="1">
        <f t="array" aca="1" ref="H1335" ca="1">ROW(INDIRECT(A1335))</f>
        <v>115</v>
      </c>
      <c r="I1335" cm="1">
        <f t="array" aca="1" ref="I1335" ca="1">COLUMN(INDIRECT(A1335))</f>
        <v>4</v>
      </c>
      <c r="M1335" t="str" cm="1">
        <f t="array" aca="1" ref="M1335" ca="1">IF(AND(J1335="O",ISBLANK(INDIRECT(A1335))),"Valeur obligatoire non renseignée","")</f>
        <v/>
      </c>
    </row>
    <row r="1336" spans="1:13" x14ac:dyDescent="0.25">
      <c r="A1336" s="91" t="s">
        <v>3995</v>
      </c>
      <c r="B1336" cm="1">
        <f t="array" aca="1" ref="B1336" ca="1">INDIRECT(A1336)</f>
        <v>0</v>
      </c>
      <c r="C1336">
        <f t="shared" ca="1" si="80"/>
        <v>5</v>
      </c>
      <c r="D1336" t="str" cm="1">
        <f t="array" aca="1" ref="D1336" ca="1">CELL("nomfichier",INDIRECT(A1336))</f>
        <v>G:\SCPE\sdc\bq\6 - Mentions valorisantes\Certification environnementale\TEXTES_REGLEMENTATION_CE\Plans_contrôle et grilles\Grille audit niveau 3\Grille d'audit v1.11\[grille-audit-hvev4-v1.11-vf.xlsx]Surfaces_Horti</v>
      </c>
      <c r="E1336">
        <f t="shared" ca="1" si="81"/>
        <v>200</v>
      </c>
      <c r="F1336">
        <f t="shared" ca="1" si="82"/>
        <v>214</v>
      </c>
      <c r="G1336" t="str">
        <f t="shared" ca="1" si="83"/>
        <v>Surfaces_Horti</v>
      </c>
      <c r="H1336" cm="1">
        <f t="array" aca="1" ref="H1336" ca="1">ROW(INDIRECT(A1336))</f>
        <v>115</v>
      </c>
      <c r="I1336" cm="1">
        <f t="array" aca="1" ref="I1336" ca="1">COLUMN(INDIRECT(A1336))</f>
        <v>5</v>
      </c>
      <c r="M1336" t="str" cm="1">
        <f t="array" aca="1" ref="M1336" ca="1">IF(AND(J1336="O",ISBLANK(INDIRECT(A1336))),"Valeur obligatoire non renseignée","")</f>
        <v/>
      </c>
    </row>
    <row r="1337" spans="1:13" x14ac:dyDescent="0.25">
      <c r="A1337" s="91" t="s">
        <v>4022</v>
      </c>
      <c r="B1337" cm="1">
        <f t="array" aca="1" ref="B1337" ca="1">INDIRECT(A1337)</f>
        <v>0</v>
      </c>
      <c r="C1337">
        <f t="shared" ca="1" si="80"/>
        <v>5</v>
      </c>
      <c r="D1337" t="str" cm="1">
        <f t="array" aca="1" ref="D1337" ca="1">CELL("nomfichier",INDIRECT(A1337))</f>
        <v>G:\SCPE\sdc\bq\6 - Mentions valorisantes\Certification environnementale\TEXTES_REGLEMENTATION_CE\Plans_contrôle et grilles\Grille audit niveau 3\Grille d'audit v1.11\[grille-audit-hvev4-v1.11-vf.xlsx]Surfaces_Horti</v>
      </c>
      <c r="E1337">
        <f t="shared" ca="1" si="81"/>
        <v>200</v>
      </c>
      <c r="F1337">
        <f t="shared" ca="1" si="82"/>
        <v>214</v>
      </c>
      <c r="G1337" t="str">
        <f t="shared" ca="1" si="83"/>
        <v>Surfaces_Horti</v>
      </c>
      <c r="H1337" cm="1">
        <f t="array" aca="1" ref="H1337" ca="1">ROW(INDIRECT(A1337))</f>
        <v>115</v>
      </c>
      <c r="I1337" cm="1">
        <f t="array" aca="1" ref="I1337" ca="1">COLUMN(INDIRECT(A1337))</f>
        <v>6</v>
      </c>
      <c r="M1337" t="str" cm="1">
        <f t="array" aca="1" ref="M1337" ca="1">IF(AND(J1337="O",ISBLANK(INDIRECT(A1337))),"Valeur obligatoire non renseignée","")</f>
        <v/>
      </c>
    </row>
    <row r="1338" spans="1:13" x14ac:dyDescent="0.25">
      <c r="A1338" s="91" t="s">
        <v>4049</v>
      </c>
      <c r="B1338" cm="1">
        <f t="array" aca="1" ref="B1338" ca="1">INDIRECT(A1338)</f>
        <v>0</v>
      </c>
      <c r="C1338">
        <f t="shared" ca="1" si="80"/>
        <v>5</v>
      </c>
      <c r="D1338" t="str" cm="1">
        <f t="array" aca="1" ref="D1338" ca="1">CELL("nomfichier",INDIRECT(A1338))</f>
        <v>G:\SCPE\sdc\bq\6 - Mentions valorisantes\Certification environnementale\TEXTES_REGLEMENTATION_CE\Plans_contrôle et grilles\Grille audit niveau 3\Grille d'audit v1.11\[grille-audit-hvev4-v1.11-vf.xlsx]Surfaces_Horti</v>
      </c>
      <c r="E1338">
        <f t="shared" ca="1" si="81"/>
        <v>200</v>
      </c>
      <c r="F1338">
        <f t="shared" ca="1" si="82"/>
        <v>214</v>
      </c>
      <c r="G1338" t="str">
        <f t="shared" ca="1" si="83"/>
        <v>Surfaces_Horti</v>
      </c>
      <c r="H1338" cm="1">
        <f t="array" aca="1" ref="H1338" ca="1">ROW(INDIRECT(A1338))</f>
        <v>115</v>
      </c>
      <c r="I1338" cm="1">
        <f t="array" aca="1" ref="I1338" ca="1">COLUMN(INDIRECT(A1338))</f>
        <v>7</v>
      </c>
      <c r="M1338" t="str" cm="1">
        <f t="array" aca="1" ref="M1338" ca="1">IF(AND(J1338="O",ISBLANK(INDIRECT(A1338))),"Valeur obligatoire non renseignée","")</f>
        <v/>
      </c>
    </row>
    <row r="1339" spans="1:13" x14ac:dyDescent="0.25">
      <c r="A1339" s="91" t="s">
        <v>4076</v>
      </c>
      <c r="B1339" cm="1">
        <f t="array" aca="1" ref="B1339" ca="1">INDIRECT(A1339)</f>
        <v>0</v>
      </c>
      <c r="C1339">
        <f t="shared" ca="1" si="80"/>
        <v>5</v>
      </c>
      <c r="D1339" t="str" cm="1">
        <f t="array" aca="1" ref="D1339" ca="1">CELL("nomfichier",INDIRECT(A1339))</f>
        <v>G:\SCPE\sdc\bq\6 - Mentions valorisantes\Certification environnementale\TEXTES_REGLEMENTATION_CE\Plans_contrôle et grilles\Grille audit niveau 3\Grille d'audit v1.11\[grille-audit-hvev4-v1.11-vf.xlsx]Surfaces_Horti</v>
      </c>
      <c r="E1339">
        <f t="shared" ca="1" si="81"/>
        <v>200</v>
      </c>
      <c r="F1339">
        <f t="shared" ca="1" si="82"/>
        <v>214</v>
      </c>
      <c r="G1339" t="str">
        <f t="shared" ca="1" si="83"/>
        <v>Surfaces_Horti</v>
      </c>
      <c r="H1339" cm="1">
        <f t="array" aca="1" ref="H1339" ca="1">ROW(INDIRECT(A1339))</f>
        <v>115</v>
      </c>
      <c r="I1339" cm="1">
        <f t="array" aca="1" ref="I1339" ca="1">COLUMN(INDIRECT(A1339))</f>
        <v>8</v>
      </c>
      <c r="M1339" t="str" cm="1">
        <f t="array" aca="1" ref="M1339" ca="1">IF(AND(J1339="O",ISBLANK(INDIRECT(A1339))),"Valeur obligatoire non renseignée","")</f>
        <v/>
      </c>
    </row>
    <row r="1340" spans="1:13" x14ac:dyDescent="0.25">
      <c r="A1340" s="91" t="s">
        <v>4103</v>
      </c>
      <c r="B1340" cm="1">
        <f t="array" aca="1" ref="B1340" ca="1">INDIRECT(A1340)</f>
        <v>0</v>
      </c>
      <c r="C1340">
        <f t="shared" ca="1" si="80"/>
        <v>5</v>
      </c>
      <c r="D1340" t="str" cm="1">
        <f t="array" aca="1" ref="D1340" ca="1">CELL("nomfichier",INDIRECT(A1340))</f>
        <v>G:\SCPE\sdc\bq\6 - Mentions valorisantes\Certification environnementale\TEXTES_REGLEMENTATION_CE\Plans_contrôle et grilles\Grille audit niveau 3\Grille d'audit v1.11\[grille-audit-hvev4-v1.11-vf.xlsx]Surfaces_Horti</v>
      </c>
      <c r="E1340">
        <f t="shared" ca="1" si="81"/>
        <v>200</v>
      </c>
      <c r="F1340">
        <f t="shared" ca="1" si="82"/>
        <v>214</v>
      </c>
      <c r="G1340" t="str">
        <f t="shared" ca="1" si="83"/>
        <v>Surfaces_Horti</v>
      </c>
      <c r="H1340" cm="1">
        <f t="array" aca="1" ref="H1340" ca="1">ROW(INDIRECT(A1340))</f>
        <v>115</v>
      </c>
      <c r="I1340" cm="1">
        <f t="array" aca="1" ref="I1340" ca="1">COLUMN(INDIRECT(A1340))</f>
        <v>9</v>
      </c>
      <c r="M1340" t="str" cm="1">
        <f t="array" aca="1" ref="M1340" ca="1">IF(AND(J1340="O",ISBLANK(INDIRECT(A1340))),"Valeur obligatoire non renseignée","")</f>
        <v/>
      </c>
    </row>
    <row r="1341" spans="1:13" x14ac:dyDescent="0.25">
      <c r="A1341" s="91" t="s">
        <v>4130</v>
      </c>
      <c r="B1341" cm="1">
        <f t="array" aca="1" ref="B1341" ca="1">INDIRECT(A1341)</f>
        <v>0</v>
      </c>
      <c r="C1341">
        <f t="shared" ca="1" si="80"/>
        <v>5</v>
      </c>
      <c r="D1341" t="str" cm="1">
        <f t="array" aca="1" ref="D1341" ca="1">CELL("nomfichier",INDIRECT(A1341))</f>
        <v>G:\SCPE\sdc\bq\6 - Mentions valorisantes\Certification environnementale\TEXTES_REGLEMENTATION_CE\Plans_contrôle et grilles\Grille audit niveau 3\Grille d'audit v1.11\[grille-audit-hvev4-v1.11-vf.xlsx]Surfaces_Horti</v>
      </c>
      <c r="E1341">
        <f t="shared" ca="1" si="81"/>
        <v>200</v>
      </c>
      <c r="F1341">
        <f t="shared" ca="1" si="82"/>
        <v>214</v>
      </c>
      <c r="G1341" t="str">
        <f t="shared" ca="1" si="83"/>
        <v>Surfaces_Horti</v>
      </c>
      <c r="H1341" cm="1">
        <f t="array" aca="1" ref="H1341" ca="1">ROW(INDIRECT(A1341))</f>
        <v>115</v>
      </c>
      <c r="I1341" cm="1">
        <f t="array" aca="1" ref="I1341" ca="1">COLUMN(INDIRECT(A1341))</f>
        <v>10</v>
      </c>
      <c r="M1341" t="str" cm="1">
        <f t="array" aca="1" ref="M1341" ca="1">IF(AND(J1341="O",ISBLANK(INDIRECT(A1341))),"Valeur obligatoire non renseignée","")</f>
        <v/>
      </c>
    </row>
    <row r="1342" spans="1:13" x14ac:dyDescent="0.25">
      <c r="A1342" s="91" t="s">
        <v>4157</v>
      </c>
      <c r="B1342" cm="1">
        <f t="array" aca="1" ref="B1342" ca="1">INDIRECT(A1342)</f>
        <v>0</v>
      </c>
      <c r="C1342">
        <f t="shared" ca="1" si="80"/>
        <v>5</v>
      </c>
      <c r="D1342" t="str" cm="1">
        <f t="array" aca="1" ref="D1342" ca="1">CELL("nomfichier",INDIRECT(A1342))</f>
        <v>G:\SCPE\sdc\bq\6 - Mentions valorisantes\Certification environnementale\TEXTES_REGLEMENTATION_CE\Plans_contrôle et grilles\Grille audit niveau 3\Grille d'audit v1.11\[grille-audit-hvev4-v1.11-vf.xlsx]Surfaces_Horti</v>
      </c>
      <c r="E1342">
        <f t="shared" ca="1" si="81"/>
        <v>200</v>
      </c>
      <c r="F1342">
        <f t="shared" ca="1" si="82"/>
        <v>214</v>
      </c>
      <c r="G1342" t="str">
        <f t="shared" ca="1" si="83"/>
        <v>Surfaces_Horti</v>
      </c>
      <c r="H1342" cm="1">
        <f t="array" aca="1" ref="H1342" ca="1">ROW(INDIRECT(A1342))</f>
        <v>115</v>
      </c>
      <c r="I1342" cm="1">
        <f t="array" aca="1" ref="I1342" ca="1">COLUMN(INDIRECT(A1342))</f>
        <v>11</v>
      </c>
      <c r="M1342" t="str" cm="1">
        <f t="array" aca="1" ref="M1342" ca="1">IF(AND(J1342="O",ISBLANK(INDIRECT(A1342))),"Valeur obligatoire non renseignée","")</f>
        <v/>
      </c>
    </row>
    <row r="1343" spans="1:13" x14ac:dyDescent="0.25">
      <c r="A1343" s="91" t="s">
        <v>4184</v>
      </c>
      <c r="B1343" cm="1">
        <f t="array" aca="1" ref="B1343" ca="1">INDIRECT(A1343)</f>
        <v>0</v>
      </c>
      <c r="C1343">
        <f t="shared" ca="1" si="80"/>
        <v>5</v>
      </c>
      <c r="D1343" t="str" cm="1">
        <f t="array" aca="1" ref="D1343" ca="1">CELL("nomfichier",INDIRECT(A1343))</f>
        <v>G:\SCPE\sdc\bq\6 - Mentions valorisantes\Certification environnementale\TEXTES_REGLEMENTATION_CE\Plans_contrôle et grilles\Grille audit niveau 3\Grille d'audit v1.11\[grille-audit-hvev4-v1.11-vf.xlsx]Surfaces_Horti</v>
      </c>
      <c r="E1343">
        <f t="shared" ca="1" si="81"/>
        <v>200</v>
      </c>
      <c r="F1343">
        <f t="shared" ca="1" si="82"/>
        <v>214</v>
      </c>
      <c r="G1343" t="str">
        <f t="shared" ca="1" si="83"/>
        <v>Surfaces_Horti</v>
      </c>
      <c r="H1343" cm="1">
        <f t="array" aca="1" ref="H1343" ca="1">ROW(INDIRECT(A1343))</f>
        <v>115</v>
      </c>
      <c r="I1343" cm="1">
        <f t="array" aca="1" ref="I1343" ca="1">COLUMN(INDIRECT(A1343))</f>
        <v>12</v>
      </c>
      <c r="M1343" t="str" cm="1">
        <f t="array" aca="1" ref="M1343" ca="1">IF(AND(J1343="O",ISBLANK(INDIRECT(A1343))),"Valeur obligatoire non renseignée","")</f>
        <v/>
      </c>
    </row>
    <row r="1344" spans="1:13" x14ac:dyDescent="0.25">
      <c r="A1344" s="91" t="s">
        <v>4211</v>
      </c>
      <c r="B1344" cm="1">
        <f t="array" aca="1" ref="B1344" ca="1">INDIRECT(A1344)</f>
        <v>0</v>
      </c>
      <c r="C1344">
        <f t="shared" ca="1" si="80"/>
        <v>5</v>
      </c>
      <c r="D1344" t="str" cm="1">
        <f t="array" aca="1" ref="D1344" ca="1">CELL("nomfichier",INDIRECT(A1344))</f>
        <v>G:\SCPE\sdc\bq\6 - Mentions valorisantes\Certification environnementale\TEXTES_REGLEMENTATION_CE\Plans_contrôle et grilles\Grille audit niveau 3\Grille d'audit v1.11\[grille-audit-hvev4-v1.11-vf.xlsx]Surfaces_Horti</v>
      </c>
      <c r="E1344">
        <f t="shared" ca="1" si="81"/>
        <v>200</v>
      </c>
      <c r="F1344">
        <f t="shared" ca="1" si="82"/>
        <v>214</v>
      </c>
      <c r="G1344" t="str">
        <f t="shared" ca="1" si="83"/>
        <v>Surfaces_Horti</v>
      </c>
      <c r="H1344" cm="1">
        <f t="array" aca="1" ref="H1344" ca="1">ROW(INDIRECT(A1344))</f>
        <v>115</v>
      </c>
      <c r="I1344" cm="1">
        <f t="array" aca="1" ref="I1344" ca="1">COLUMN(INDIRECT(A1344))</f>
        <v>13</v>
      </c>
      <c r="M1344" t="str" cm="1">
        <f t="array" aca="1" ref="M1344" ca="1">IF(AND(J1344="O",ISBLANK(INDIRECT(A1344))),"Valeur obligatoire non renseignée","")</f>
        <v/>
      </c>
    </row>
    <row r="1345" spans="1:13" x14ac:dyDescent="0.25">
      <c r="A1345" s="91" t="s">
        <v>4238</v>
      </c>
      <c r="B1345" cm="1">
        <f t="array" aca="1" ref="B1345" ca="1">INDIRECT(A1345)</f>
        <v>0</v>
      </c>
      <c r="C1345">
        <f t="shared" ca="1" si="80"/>
        <v>5</v>
      </c>
      <c r="D1345" t="str" cm="1">
        <f t="array" aca="1" ref="D1345" ca="1">CELL("nomfichier",INDIRECT(A1345))</f>
        <v>G:\SCPE\sdc\bq\6 - Mentions valorisantes\Certification environnementale\TEXTES_REGLEMENTATION_CE\Plans_contrôle et grilles\Grille audit niveau 3\Grille d'audit v1.11\[grille-audit-hvev4-v1.11-vf.xlsx]Surfaces_Horti</v>
      </c>
      <c r="E1345">
        <f t="shared" ca="1" si="81"/>
        <v>200</v>
      </c>
      <c r="F1345">
        <f t="shared" ca="1" si="82"/>
        <v>214</v>
      </c>
      <c r="G1345" t="str">
        <f t="shared" ca="1" si="83"/>
        <v>Surfaces_Horti</v>
      </c>
      <c r="H1345" cm="1">
        <f t="array" aca="1" ref="H1345" ca="1">ROW(INDIRECT(A1345))</f>
        <v>115</v>
      </c>
      <c r="I1345" cm="1">
        <f t="array" aca="1" ref="I1345" ca="1">COLUMN(INDIRECT(A1345))</f>
        <v>14</v>
      </c>
      <c r="M1345" t="str" cm="1">
        <f t="array" aca="1" ref="M1345" ca="1">IF(AND(J1345="O",ISBLANK(INDIRECT(A1345))),"Valeur obligatoire non renseignée","")</f>
        <v/>
      </c>
    </row>
    <row r="1346" spans="1:13" x14ac:dyDescent="0.25">
      <c r="A1346" t="s">
        <v>4302</v>
      </c>
      <c r="B1346" cm="1">
        <f t="array" aca="1" ref="B1346" ca="1">INDIRECT(A1346)</f>
        <v>0</v>
      </c>
      <c r="C1346">
        <f t="shared" ref="C1346:C1409" ca="1" si="84">_xlfn.SHEET(INDIRECT(A1346))</f>
        <v>6</v>
      </c>
      <c r="D1346" t="str" cm="1">
        <f t="array" aca="1" ref="D1346" ca="1">CELL("nomfichier",INDIRECT(A1346))</f>
        <v>G:\SCPE\sdc\bq\6 - Mentions valorisantes\Certification environnementale\TEXTES_REGLEMENTATION_CE\Plans_contrôle et grilles\Grille audit niveau 3\Grille d'audit v1.11\[grille-audit-hvev4-v1.11-vf.xlsx]Biodiversité</v>
      </c>
      <c r="E1346">
        <f t="shared" ref="E1346:E1409" ca="1" si="85">FIND("]",D1346)</f>
        <v>200</v>
      </c>
      <c r="F1346">
        <f t="shared" ref="F1346:F1409" ca="1" si="86">LEN(D1346)</f>
        <v>212</v>
      </c>
      <c r="G1346" t="str">
        <f t="shared" ref="G1346:G1409" ca="1" si="87">RIGHT(D1346,F1346-E1346)</f>
        <v>Biodiversité</v>
      </c>
      <c r="H1346" cm="1">
        <f t="array" aca="1" ref="H1346" ca="1">ROW(INDIRECT(A1346))</f>
        <v>17</v>
      </c>
      <c r="I1346" cm="1">
        <f t="array" aca="1" ref="I1346" ca="1">COLUMN(INDIRECT(A1346))</f>
        <v>16</v>
      </c>
      <c r="M1346" t="str" cm="1">
        <f t="array" aca="1" ref="M1346" ca="1">IF(AND(J1346="O",ISBLANK(INDIRECT(A1346))),"Valeur obligatoire non renseignée","")</f>
        <v/>
      </c>
    </row>
    <row r="1347" spans="1:13" x14ac:dyDescent="0.25">
      <c r="A1347" t="s">
        <v>4303</v>
      </c>
      <c r="B1347" cm="1">
        <f t="array" aca="1" ref="B1347" ca="1">INDIRECT(A1347)</f>
        <v>0</v>
      </c>
      <c r="C1347">
        <f t="shared" ca="1" si="84"/>
        <v>6</v>
      </c>
      <c r="D1347" t="str" cm="1">
        <f t="array" aca="1" ref="D1347" ca="1">CELL("nomfichier",INDIRECT(A1347))</f>
        <v>G:\SCPE\sdc\bq\6 - Mentions valorisantes\Certification environnementale\TEXTES_REGLEMENTATION_CE\Plans_contrôle et grilles\Grille audit niveau 3\Grille d'audit v1.11\[grille-audit-hvev4-v1.11-vf.xlsx]Biodiversité</v>
      </c>
      <c r="E1347">
        <f t="shared" ca="1" si="85"/>
        <v>200</v>
      </c>
      <c r="F1347">
        <f t="shared" ca="1" si="86"/>
        <v>212</v>
      </c>
      <c r="G1347" t="str">
        <f t="shared" ca="1" si="87"/>
        <v>Biodiversité</v>
      </c>
      <c r="H1347" cm="1">
        <f t="array" aca="1" ref="H1347" ca="1">ROW(INDIRECT(A1347))</f>
        <v>17</v>
      </c>
      <c r="I1347" cm="1">
        <f t="array" aca="1" ref="I1347" ca="1">COLUMN(INDIRECT(A1347))</f>
        <v>18</v>
      </c>
      <c r="M1347" t="str" cm="1">
        <f t="array" aca="1" ref="M1347" ca="1">IF(AND(J1347="O",ISBLANK(INDIRECT(A1347))),"Valeur obligatoire non renseignée","")</f>
        <v/>
      </c>
    </row>
    <row r="1348" spans="1:13" x14ac:dyDescent="0.25">
      <c r="A1348" t="s">
        <v>4304</v>
      </c>
      <c r="B1348" t="str" cm="1">
        <f t="array" aca="1" ref="B1348" ca="1">INDIRECT(A1348)</f>
        <v>m linéaire</v>
      </c>
      <c r="C1348">
        <f t="shared" ca="1" si="84"/>
        <v>6</v>
      </c>
      <c r="D1348" t="str" cm="1">
        <f t="array" aca="1" ref="D1348" ca="1">CELL("nomfichier",INDIRECT(A1348))</f>
        <v>G:\SCPE\sdc\bq\6 - Mentions valorisantes\Certification environnementale\TEXTES_REGLEMENTATION_CE\Plans_contrôle et grilles\Grille audit niveau 3\Grille d'audit v1.11\[grille-audit-hvev4-v1.11-vf.xlsx]Biodiversité</v>
      </c>
      <c r="E1348">
        <f t="shared" ca="1" si="85"/>
        <v>200</v>
      </c>
      <c r="F1348">
        <f t="shared" ca="1" si="86"/>
        <v>212</v>
      </c>
      <c r="G1348" t="str">
        <f t="shared" ca="1" si="87"/>
        <v>Biodiversité</v>
      </c>
      <c r="H1348" cm="1">
        <f t="array" aca="1" ref="H1348" ca="1">ROW(INDIRECT(A1348))</f>
        <v>17</v>
      </c>
      <c r="I1348" cm="1">
        <f t="array" aca="1" ref="I1348" ca="1">COLUMN(INDIRECT(A1348))</f>
        <v>20</v>
      </c>
      <c r="M1348" t="str" cm="1">
        <f t="array" aca="1" ref="M1348" ca="1">IF(AND(J1348="O",ISBLANK(INDIRECT(A1348))),"Valeur obligatoire non renseignée","")</f>
        <v/>
      </c>
    </row>
    <row r="1349" spans="1:13" x14ac:dyDescent="0.25">
      <c r="A1349" t="s">
        <v>4300</v>
      </c>
      <c r="B1349" cm="1">
        <f t="array" aca="1" ref="B1349" ca="1">INDIRECT(A1349)</f>
        <v>0</v>
      </c>
      <c r="C1349">
        <f t="shared" ca="1" si="84"/>
        <v>6</v>
      </c>
      <c r="D1349" t="str" cm="1">
        <f t="array" aca="1" ref="D1349" ca="1">CELL("nomfichier",INDIRECT(A1349))</f>
        <v>G:\SCPE\sdc\bq\6 - Mentions valorisantes\Certification environnementale\TEXTES_REGLEMENTATION_CE\Plans_contrôle et grilles\Grille audit niveau 3\Grille d'audit v1.11\[grille-audit-hvev4-v1.11-vf.xlsx]Biodiversité</v>
      </c>
      <c r="E1349">
        <f t="shared" ca="1" si="85"/>
        <v>200</v>
      </c>
      <c r="F1349">
        <f t="shared" ca="1" si="86"/>
        <v>212</v>
      </c>
      <c r="G1349" t="str">
        <f t="shared" ca="1" si="87"/>
        <v>Biodiversité</v>
      </c>
      <c r="H1349" cm="1">
        <f t="array" aca="1" ref="H1349" ca="1">ROW(INDIRECT(A1349))</f>
        <v>17</v>
      </c>
      <c r="I1349" cm="1">
        <f t="array" aca="1" ref="I1349" ca="1">COLUMN(INDIRECT(A1349))</f>
        <v>23</v>
      </c>
      <c r="M1349" t="str" cm="1">
        <f t="array" aca="1" ref="M1349" ca="1">IF(AND(J1349="O",ISBLANK(INDIRECT(A1349))),"Valeur obligatoire non renseignée","")</f>
        <v/>
      </c>
    </row>
    <row r="1350" spans="1:13" x14ac:dyDescent="0.25">
      <c r="A1350" t="s">
        <v>4301</v>
      </c>
      <c r="B1350" cm="1">
        <f t="array" aca="1" ref="B1350" ca="1">INDIRECT(A1350)</f>
        <v>0</v>
      </c>
      <c r="C1350">
        <f t="shared" ca="1" si="84"/>
        <v>6</v>
      </c>
      <c r="D1350" t="str" cm="1">
        <f t="array" aca="1" ref="D1350" ca="1">CELL("nomfichier",INDIRECT(A1350))</f>
        <v>G:\SCPE\sdc\bq\6 - Mentions valorisantes\Certification environnementale\TEXTES_REGLEMENTATION_CE\Plans_contrôle et grilles\Grille audit niveau 3\Grille d'audit v1.11\[grille-audit-hvev4-v1.11-vf.xlsx]Biodiversité</v>
      </c>
      <c r="E1350">
        <f t="shared" ca="1" si="85"/>
        <v>200</v>
      </c>
      <c r="F1350">
        <f t="shared" ca="1" si="86"/>
        <v>212</v>
      </c>
      <c r="G1350" t="str">
        <f t="shared" ca="1" si="87"/>
        <v>Biodiversité</v>
      </c>
      <c r="H1350" cm="1">
        <f t="array" aca="1" ref="H1350" ca="1">ROW(INDIRECT(A1350))</f>
        <v>17</v>
      </c>
      <c r="I1350" cm="1">
        <f t="array" aca="1" ref="I1350" ca="1">COLUMN(INDIRECT(A1350))</f>
        <v>25</v>
      </c>
      <c r="M1350" t="str" cm="1">
        <f t="array" aca="1" ref="M1350" ca="1">IF(AND(J1350="O",ISBLANK(INDIRECT(A1350))),"Valeur obligatoire non renseignée","")</f>
        <v/>
      </c>
    </row>
    <row r="1351" spans="1:13" x14ac:dyDescent="0.25">
      <c r="A1351" t="s">
        <v>4242</v>
      </c>
      <c r="B1351" cm="1">
        <f t="array" aca="1" ref="B1351" ca="1">INDIRECT(A1351)</f>
        <v>0</v>
      </c>
      <c r="C1351">
        <f t="shared" ca="1" si="84"/>
        <v>6</v>
      </c>
      <c r="D1351" t="str" cm="1">
        <f t="array" aca="1" ref="D1351" ca="1">CELL("nomfichier",INDIRECT(A1351))</f>
        <v>G:\SCPE\sdc\bq\6 - Mentions valorisantes\Certification environnementale\TEXTES_REGLEMENTATION_CE\Plans_contrôle et grilles\Grille audit niveau 3\Grille d'audit v1.11\[grille-audit-hvev4-v1.11-vf.xlsx]Biodiversité</v>
      </c>
      <c r="E1351">
        <f t="shared" ca="1" si="85"/>
        <v>200</v>
      </c>
      <c r="F1351">
        <f t="shared" ca="1" si="86"/>
        <v>212</v>
      </c>
      <c r="G1351" t="str">
        <f t="shared" ca="1" si="87"/>
        <v>Biodiversité</v>
      </c>
      <c r="H1351" cm="1">
        <f t="array" aca="1" ref="H1351" ca="1">ROW(INDIRECT(A1351))</f>
        <v>18</v>
      </c>
      <c r="I1351" cm="1">
        <f t="array" aca="1" ref="I1351" ca="1">COLUMN(INDIRECT(A1351))</f>
        <v>16</v>
      </c>
      <c r="M1351" t="str" cm="1">
        <f t="array" aca="1" ref="M1351" ca="1">IF(AND(J1351="O",ISBLANK(INDIRECT(A1351))),"Valeur obligatoire non renseignée","")</f>
        <v/>
      </c>
    </row>
    <row r="1352" spans="1:13" x14ac:dyDescent="0.25">
      <c r="A1352" t="s">
        <v>4243</v>
      </c>
      <c r="B1352" cm="1">
        <f t="array" aca="1" ref="B1352" ca="1">INDIRECT(A1352)</f>
        <v>0</v>
      </c>
      <c r="C1352">
        <f t="shared" ca="1" si="84"/>
        <v>6</v>
      </c>
      <c r="D1352" t="str" cm="1">
        <f t="array" aca="1" ref="D1352" ca="1">CELL("nomfichier",INDIRECT(A1352))</f>
        <v>G:\SCPE\sdc\bq\6 - Mentions valorisantes\Certification environnementale\TEXTES_REGLEMENTATION_CE\Plans_contrôle et grilles\Grille audit niveau 3\Grille d'audit v1.11\[grille-audit-hvev4-v1.11-vf.xlsx]Biodiversité</v>
      </c>
      <c r="E1352">
        <f t="shared" ca="1" si="85"/>
        <v>200</v>
      </c>
      <c r="F1352">
        <f t="shared" ca="1" si="86"/>
        <v>212</v>
      </c>
      <c r="G1352" t="str">
        <f t="shared" ca="1" si="87"/>
        <v>Biodiversité</v>
      </c>
      <c r="H1352" cm="1">
        <f t="array" aca="1" ref="H1352" ca="1">ROW(INDIRECT(A1352))</f>
        <v>18</v>
      </c>
      <c r="I1352" cm="1">
        <f t="array" aca="1" ref="I1352" ca="1">COLUMN(INDIRECT(A1352))</f>
        <v>18</v>
      </c>
      <c r="M1352" t="str" cm="1">
        <f t="array" aca="1" ref="M1352" ca="1">IF(AND(J1352="O",ISBLANK(INDIRECT(A1352))),"Valeur obligatoire non renseignée","")</f>
        <v/>
      </c>
    </row>
    <row r="1353" spans="1:13" x14ac:dyDescent="0.25">
      <c r="A1353" t="s">
        <v>4244</v>
      </c>
      <c r="B1353" t="str" cm="1">
        <f t="array" aca="1" ref="B1353" ca="1">INDIRECT(A1353)</f>
        <v>m linéaire</v>
      </c>
      <c r="C1353">
        <f t="shared" ca="1" si="84"/>
        <v>6</v>
      </c>
      <c r="D1353" t="str" cm="1">
        <f t="array" aca="1" ref="D1353" ca="1">CELL("nomfichier",INDIRECT(A1353))</f>
        <v>G:\SCPE\sdc\bq\6 - Mentions valorisantes\Certification environnementale\TEXTES_REGLEMENTATION_CE\Plans_contrôle et grilles\Grille audit niveau 3\Grille d'audit v1.11\[grille-audit-hvev4-v1.11-vf.xlsx]Biodiversité</v>
      </c>
      <c r="E1353">
        <f t="shared" ca="1" si="85"/>
        <v>200</v>
      </c>
      <c r="F1353">
        <f t="shared" ca="1" si="86"/>
        <v>212</v>
      </c>
      <c r="G1353" t="str">
        <f t="shared" ca="1" si="87"/>
        <v>Biodiversité</v>
      </c>
      <c r="H1353" cm="1">
        <f t="array" aca="1" ref="H1353" ca="1">ROW(INDIRECT(A1353))</f>
        <v>18</v>
      </c>
      <c r="I1353" cm="1">
        <f t="array" aca="1" ref="I1353" ca="1">COLUMN(INDIRECT(A1353))</f>
        <v>20</v>
      </c>
      <c r="M1353" t="str" cm="1">
        <f t="array" aca="1" ref="M1353" ca="1">IF(AND(J1353="O",ISBLANK(INDIRECT(A1353))),"Valeur obligatoire non renseignée","")</f>
        <v/>
      </c>
    </row>
    <row r="1354" spans="1:13" x14ac:dyDescent="0.25">
      <c r="A1354" t="s">
        <v>4240</v>
      </c>
      <c r="B1354" cm="1">
        <f t="array" aca="1" ref="B1354" ca="1">INDIRECT(A1354)</f>
        <v>0</v>
      </c>
      <c r="C1354">
        <f t="shared" ca="1" si="84"/>
        <v>6</v>
      </c>
      <c r="D1354" t="str" cm="1">
        <f t="array" aca="1" ref="D1354" ca="1">CELL("nomfichier",INDIRECT(A1354))</f>
        <v>G:\SCPE\sdc\bq\6 - Mentions valorisantes\Certification environnementale\TEXTES_REGLEMENTATION_CE\Plans_contrôle et grilles\Grille audit niveau 3\Grille d'audit v1.11\[grille-audit-hvev4-v1.11-vf.xlsx]Biodiversité</v>
      </c>
      <c r="E1354">
        <f t="shared" ca="1" si="85"/>
        <v>200</v>
      </c>
      <c r="F1354">
        <f t="shared" ca="1" si="86"/>
        <v>212</v>
      </c>
      <c r="G1354" t="str">
        <f t="shared" ca="1" si="87"/>
        <v>Biodiversité</v>
      </c>
      <c r="H1354" cm="1">
        <f t="array" aca="1" ref="H1354" ca="1">ROW(INDIRECT(A1354))</f>
        <v>18</v>
      </c>
      <c r="I1354" cm="1">
        <f t="array" aca="1" ref="I1354" ca="1">COLUMN(INDIRECT(A1354))</f>
        <v>23</v>
      </c>
      <c r="M1354" t="str" cm="1">
        <f t="array" aca="1" ref="M1354" ca="1">IF(AND(J1354="O",ISBLANK(INDIRECT(A1354))),"Valeur obligatoire non renseignée","")</f>
        <v/>
      </c>
    </row>
    <row r="1355" spans="1:13" x14ac:dyDescent="0.25">
      <c r="A1355" t="s">
        <v>4241</v>
      </c>
      <c r="B1355" cm="1">
        <f t="array" aca="1" ref="B1355" ca="1">INDIRECT(A1355)</f>
        <v>0</v>
      </c>
      <c r="C1355">
        <f t="shared" ca="1" si="84"/>
        <v>6</v>
      </c>
      <c r="D1355" t="str" cm="1">
        <f t="array" aca="1" ref="D1355" ca="1">CELL("nomfichier",INDIRECT(A1355))</f>
        <v>G:\SCPE\sdc\bq\6 - Mentions valorisantes\Certification environnementale\TEXTES_REGLEMENTATION_CE\Plans_contrôle et grilles\Grille audit niveau 3\Grille d'audit v1.11\[grille-audit-hvev4-v1.11-vf.xlsx]Biodiversité</v>
      </c>
      <c r="E1355">
        <f t="shared" ca="1" si="85"/>
        <v>200</v>
      </c>
      <c r="F1355">
        <f t="shared" ca="1" si="86"/>
        <v>212</v>
      </c>
      <c r="G1355" t="str">
        <f t="shared" ca="1" si="87"/>
        <v>Biodiversité</v>
      </c>
      <c r="H1355" cm="1">
        <f t="array" aca="1" ref="H1355" ca="1">ROW(INDIRECT(A1355))</f>
        <v>18</v>
      </c>
      <c r="I1355" cm="1">
        <f t="array" aca="1" ref="I1355" ca="1">COLUMN(INDIRECT(A1355))</f>
        <v>25</v>
      </c>
      <c r="M1355" t="str" cm="1">
        <f t="array" aca="1" ref="M1355" ca="1">IF(AND(J1355="O",ISBLANK(INDIRECT(A1355))),"Valeur obligatoire non renseignée","")</f>
        <v/>
      </c>
    </row>
    <row r="1356" spans="1:13" x14ac:dyDescent="0.25">
      <c r="A1356" t="s">
        <v>4308</v>
      </c>
      <c r="B1356" cm="1">
        <f t="array" aca="1" ref="B1356" ca="1">INDIRECT(A1356)</f>
        <v>0</v>
      </c>
      <c r="C1356">
        <f t="shared" ca="1" si="84"/>
        <v>6</v>
      </c>
      <c r="D1356" t="str" cm="1">
        <f t="array" aca="1" ref="D1356" ca="1">CELL("nomfichier",INDIRECT(A1356))</f>
        <v>G:\SCPE\sdc\bq\6 - Mentions valorisantes\Certification environnementale\TEXTES_REGLEMENTATION_CE\Plans_contrôle et grilles\Grille audit niveau 3\Grille d'audit v1.11\[grille-audit-hvev4-v1.11-vf.xlsx]Biodiversité</v>
      </c>
      <c r="E1356">
        <f t="shared" ca="1" si="85"/>
        <v>200</v>
      </c>
      <c r="F1356">
        <f t="shared" ca="1" si="86"/>
        <v>212</v>
      </c>
      <c r="G1356" t="str">
        <f t="shared" ca="1" si="87"/>
        <v>Biodiversité</v>
      </c>
      <c r="H1356" cm="1">
        <f t="array" aca="1" ref="H1356" ca="1">ROW(INDIRECT(A1356))</f>
        <v>19</v>
      </c>
      <c r="I1356" cm="1">
        <f t="array" aca="1" ref="I1356" ca="1">COLUMN(INDIRECT(A1356))</f>
        <v>16</v>
      </c>
      <c r="M1356" t="str" cm="1">
        <f t="array" aca="1" ref="M1356" ca="1">IF(AND(J1356="O",ISBLANK(INDIRECT(A1356))),"Valeur obligatoire non renseignée","")</f>
        <v/>
      </c>
    </row>
    <row r="1357" spans="1:13" x14ac:dyDescent="0.25">
      <c r="A1357" t="s">
        <v>4309</v>
      </c>
      <c r="B1357" cm="1">
        <f t="array" aca="1" ref="B1357" ca="1">INDIRECT(A1357)</f>
        <v>0</v>
      </c>
      <c r="C1357">
        <f t="shared" ca="1" si="84"/>
        <v>6</v>
      </c>
      <c r="D1357" t="str" cm="1">
        <f t="array" aca="1" ref="D1357" ca="1">CELL("nomfichier",INDIRECT(A1357))</f>
        <v>G:\SCPE\sdc\bq\6 - Mentions valorisantes\Certification environnementale\TEXTES_REGLEMENTATION_CE\Plans_contrôle et grilles\Grille audit niveau 3\Grille d'audit v1.11\[grille-audit-hvev4-v1.11-vf.xlsx]Biodiversité</v>
      </c>
      <c r="E1357">
        <f t="shared" ca="1" si="85"/>
        <v>200</v>
      </c>
      <c r="F1357">
        <f t="shared" ca="1" si="86"/>
        <v>212</v>
      </c>
      <c r="G1357" t="str">
        <f t="shared" ca="1" si="87"/>
        <v>Biodiversité</v>
      </c>
      <c r="H1357" cm="1">
        <f t="array" aca="1" ref="H1357" ca="1">ROW(INDIRECT(A1357))</f>
        <v>19</v>
      </c>
      <c r="I1357" cm="1">
        <f t="array" aca="1" ref="I1357" ca="1">COLUMN(INDIRECT(A1357))</f>
        <v>18</v>
      </c>
      <c r="M1357" t="str" cm="1">
        <f t="array" aca="1" ref="M1357" ca="1">IF(AND(J1357="O",ISBLANK(INDIRECT(A1357))),"Valeur obligatoire non renseignée","")</f>
        <v/>
      </c>
    </row>
    <row r="1358" spans="1:13" x14ac:dyDescent="0.25">
      <c r="A1358" t="s">
        <v>4310</v>
      </c>
      <c r="B1358" t="str" cm="1">
        <f t="array" aca="1" ref="B1358" ca="1">INDIRECT(A1358)</f>
        <v>arbre</v>
      </c>
      <c r="C1358">
        <f t="shared" ca="1" si="84"/>
        <v>6</v>
      </c>
      <c r="D1358" t="str" cm="1">
        <f t="array" aca="1" ref="D1358" ca="1">CELL("nomfichier",INDIRECT(A1358))</f>
        <v>G:\SCPE\sdc\bq\6 - Mentions valorisantes\Certification environnementale\TEXTES_REGLEMENTATION_CE\Plans_contrôle et grilles\Grille audit niveau 3\Grille d'audit v1.11\[grille-audit-hvev4-v1.11-vf.xlsx]Biodiversité</v>
      </c>
      <c r="E1358">
        <f t="shared" ca="1" si="85"/>
        <v>200</v>
      </c>
      <c r="F1358">
        <f t="shared" ca="1" si="86"/>
        <v>212</v>
      </c>
      <c r="G1358" t="str">
        <f t="shared" ca="1" si="87"/>
        <v>Biodiversité</v>
      </c>
      <c r="H1358" cm="1">
        <f t="array" aca="1" ref="H1358" ca="1">ROW(INDIRECT(A1358))</f>
        <v>19</v>
      </c>
      <c r="I1358" cm="1">
        <f t="array" aca="1" ref="I1358" ca="1">COLUMN(INDIRECT(A1358))</f>
        <v>20</v>
      </c>
      <c r="M1358" t="str" cm="1">
        <f t="array" aca="1" ref="M1358" ca="1">IF(AND(J1358="O",ISBLANK(INDIRECT(A1358))),"Valeur obligatoire non renseignée","")</f>
        <v/>
      </c>
    </row>
    <row r="1359" spans="1:13" x14ac:dyDescent="0.25">
      <c r="A1359" t="s">
        <v>4306</v>
      </c>
      <c r="B1359" cm="1">
        <f t="array" aca="1" ref="B1359" ca="1">INDIRECT(A1359)</f>
        <v>0</v>
      </c>
      <c r="C1359">
        <f t="shared" ca="1" si="84"/>
        <v>6</v>
      </c>
      <c r="D1359" t="str" cm="1">
        <f t="array" aca="1" ref="D1359" ca="1">CELL("nomfichier",INDIRECT(A1359))</f>
        <v>G:\SCPE\sdc\bq\6 - Mentions valorisantes\Certification environnementale\TEXTES_REGLEMENTATION_CE\Plans_contrôle et grilles\Grille audit niveau 3\Grille d'audit v1.11\[grille-audit-hvev4-v1.11-vf.xlsx]Biodiversité</v>
      </c>
      <c r="E1359">
        <f t="shared" ca="1" si="85"/>
        <v>200</v>
      </c>
      <c r="F1359">
        <f t="shared" ca="1" si="86"/>
        <v>212</v>
      </c>
      <c r="G1359" t="str">
        <f t="shared" ca="1" si="87"/>
        <v>Biodiversité</v>
      </c>
      <c r="H1359" cm="1">
        <f t="array" aca="1" ref="H1359" ca="1">ROW(INDIRECT(A1359))</f>
        <v>19</v>
      </c>
      <c r="I1359" cm="1">
        <f t="array" aca="1" ref="I1359" ca="1">COLUMN(INDIRECT(A1359))</f>
        <v>23</v>
      </c>
      <c r="M1359" t="str" cm="1">
        <f t="array" aca="1" ref="M1359" ca="1">IF(AND(J1359="O",ISBLANK(INDIRECT(A1359))),"Valeur obligatoire non renseignée","")</f>
        <v/>
      </c>
    </row>
    <row r="1360" spans="1:13" x14ac:dyDescent="0.25">
      <c r="A1360" t="s">
        <v>4307</v>
      </c>
      <c r="B1360" cm="1">
        <f t="array" aca="1" ref="B1360" ca="1">INDIRECT(A1360)</f>
        <v>0</v>
      </c>
      <c r="C1360">
        <f t="shared" ca="1" si="84"/>
        <v>6</v>
      </c>
      <c r="D1360" t="str" cm="1">
        <f t="array" aca="1" ref="D1360" ca="1">CELL("nomfichier",INDIRECT(A1360))</f>
        <v>G:\SCPE\sdc\bq\6 - Mentions valorisantes\Certification environnementale\TEXTES_REGLEMENTATION_CE\Plans_contrôle et grilles\Grille audit niveau 3\Grille d'audit v1.11\[grille-audit-hvev4-v1.11-vf.xlsx]Biodiversité</v>
      </c>
      <c r="E1360">
        <f t="shared" ca="1" si="85"/>
        <v>200</v>
      </c>
      <c r="F1360">
        <f t="shared" ca="1" si="86"/>
        <v>212</v>
      </c>
      <c r="G1360" t="str">
        <f t="shared" ca="1" si="87"/>
        <v>Biodiversité</v>
      </c>
      <c r="H1360" cm="1">
        <f t="array" aca="1" ref="H1360" ca="1">ROW(INDIRECT(A1360))</f>
        <v>19</v>
      </c>
      <c r="I1360" cm="1">
        <f t="array" aca="1" ref="I1360" ca="1">COLUMN(INDIRECT(A1360))</f>
        <v>25</v>
      </c>
      <c r="M1360" t="str" cm="1">
        <f t="array" aca="1" ref="M1360" ca="1">IF(AND(J1360="O",ISBLANK(INDIRECT(A1360))),"Valeur obligatoire non renseignée","")</f>
        <v/>
      </c>
    </row>
    <row r="1361" spans="1:13" x14ac:dyDescent="0.25">
      <c r="A1361" t="s">
        <v>4277</v>
      </c>
      <c r="B1361" cm="1">
        <f t="array" aca="1" ref="B1361" ca="1">INDIRECT(A1361)</f>
        <v>0</v>
      </c>
      <c r="C1361">
        <f t="shared" ca="1" si="84"/>
        <v>6</v>
      </c>
      <c r="D1361" t="str" cm="1">
        <f t="array" aca="1" ref="D1361" ca="1">CELL("nomfichier",INDIRECT(A1361))</f>
        <v>G:\SCPE\sdc\bq\6 - Mentions valorisantes\Certification environnementale\TEXTES_REGLEMENTATION_CE\Plans_contrôle et grilles\Grille audit niveau 3\Grille d'audit v1.11\[grille-audit-hvev4-v1.11-vf.xlsx]Biodiversité</v>
      </c>
      <c r="E1361">
        <f t="shared" ca="1" si="85"/>
        <v>200</v>
      </c>
      <c r="F1361">
        <f t="shared" ca="1" si="86"/>
        <v>212</v>
      </c>
      <c r="G1361" t="str">
        <f t="shared" ca="1" si="87"/>
        <v>Biodiversité</v>
      </c>
      <c r="H1361" cm="1">
        <f t="array" aca="1" ref="H1361" ca="1">ROW(INDIRECT(A1361))</f>
        <v>20</v>
      </c>
      <c r="I1361" cm="1">
        <f t="array" aca="1" ref="I1361" ca="1">COLUMN(INDIRECT(A1361))</f>
        <v>16</v>
      </c>
      <c r="M1361" t="str" cm="1">
        <f t="array" aca="1" ref="M1361" ca="1">IF(AND(J1361="O",ISBLANK(INDIRECT(A1361))),"Valeur obligatoire non renseignée","")</f>
        <v/>
      </c>
    </row>
    <row r="1362" spans="1:13" x14ac:dyDescent="0.25">
      <c r="A1362" t="s">
        <v>4278</v>
      </c>
      <c r="B1362" cm="1">
        <f t="array" aca="1" ref="B1362" ca="1">INDIRECT(A1362)</f>
        <v>0</v>
      </c>
      <c r="C1362">
        <f t="shared" ca="1" si="84"/>
        <v>6</v>
      </c>
      <c r="D1362" t="str" cm="1">
        <f t="array" aca="1" ref="D1362" ca="1">CELL("nomfichier",INDIRECT(A1362))</f>
        <v>G:\SCPE\sdc\bq\6 - Mentions valorisantes\Certification environnementale\TEXTES_REGLEMENTATION_CE\Plans_contrôle et grilles\Grille audit niveau 3\Grille d'audit v1.11\[grille-audit-hvev4-v1.11-vf.xlsx]Biodiversité</v>
      </c>
      <c r="E1362">
        <f t="shared" ca="1" si="85"/>
        <v>200</v>
      </c>
      <c r="F1362">
        <f t="shared" ca="1" si="86"/>
        <v>212</v>
      </c>
      <c r="G1362" t="str">
        <f t="shared" ca="1" si="87"/>
        <v>Biodiversité</v>
      </c>
      <c r="H1362" cm="1">
        <f t="array" aca="1" ref="H1362" ca="1">ROW(INDIRECT(A1362))</f>
        <v>20</v>
      </c>
      <c r="I1362" cm="1">
        <f t="array" aca="1" ref="I1362" ca="1">COLUMN(INDIRECT(A1362))</f>
        <v>18</v>
      </c>
      <c r="M1362" t="str" cm="1">
        <f t="array" aca="1" ref="M1362" ca="1">IF(AND(J1362="O",ISBLANK(INDIRECT(A1362))),"Valeur obligatoire non renseignée","")</f>
        <v/>
      </c>
    </row>
    <row r="1363" spans="1:13" x14ac:dyDescent="0.25">
      <c r="A1363" t="s">
        <v>4279</v>
      </c>
      <c r="B1363" t="str" cm="1">
        <f t="array" aca="1" ref="B1363" ca="1">INDIRECT(A1363)</f>
        <v>hectares</v>
      </c>
      <c r="C1363">
        <f t="shared" ca="1" si="84"/>
        <v>6</v>
      </c>
      <c r="D1363" t="str" cm="1">
        <f t="array" aca="1" ref="D1363" ca="1">CELL("nomfichier",INDIRECT(A1363))</f>
        <v>G:\SCPE\sdc\bq\6 - Mentions valorisantes\Certification environnementale\TEXTES_REGLEMENTATION_CE\Plans_contrôle et grilles\Grille audit niveau 3\Grille d'audit v1.11\[grille-audit-hvev4-v1.11-vf.xlsx]Biodiversité</v>
      </c>
      <c r="E1363">
        <f t="shared" ca="1" si="85"/>
        <v>200</v>
      </c>
      <c r="F1363">
        <f t="shared" ca="1" si="86"/>
        <v>212</v>
      </c>
      <c r="G1363" t="str">
        <f t="shared" ca="1" si="87"/>
        <v>Biodiversité</v>
      </c>
      <c r="H1363" cm="1">
        <f t="array" aca="1" ref="H1363" ca="1">ROW(INDIRECT(A1363))</f>
        <v>20</v>
      </c>
      <c r="I1363" cm="1">
        <f t="array" aca="1" ref="I1363" ca="1">COLUMN(INDIRECT(A1363))</f>
        <v>20</v>
      </c>
      <c r="M1363" t="str" cm="1">
        <f t="array" aca="1" ref="M1363" ca="1">IF(AND(J1363="O",ISBLANK(INDIRECT(A1363))),"Valeur obligatoire non renseignée","")</f>
        <v/>
      </c>
    </row>
    <row r="1364" spans="1:13" x14ac:dyDescent="0.25">
      <c r="A1364" t="s">
        <v>4275</v>
      </c>
      <c r="B1364" cm="1">
        <f t="array" aca="1" ref="B1364" ca="1">INDIRECT(A1364)</f>
        <v>0</v>
      </c>
      <c r="C1364">
        <f t="shared" ca="1" si="84"/>
        <v>6</v>
      </c>
      <c r="D1364" t="str" cm="1">
        <f t="array" aca="1" ref="D1364" ca="1">CELL("nomfichier",INDIRECT(A1364))</f>
        <v>G:\SCPE\sdc\bq\6 - Mentions valorisantes\Certification environnementale\TEXTES_REGLEMENTATION_CE\Plans_contrôle et grilles\Grille audit niveau 3\Grille d'audit v1.11\[grille-audit-hvev4-v1.11-vf.xlsx]Biodiversité</v>
      </c>
      <c r="E1364">
        <f t="shared" ca="1" si="85"/>
        <v>200</v>
      </c>
      <c r="F1364">
        <f t="shared" ca="1" si="86"/>
        <v>212</v>
      </c>
      <c r="G1364" t="str">
        <f t="shared" ca="1" si="87"/>
        <v>Biodiversité</v>
      </c>
      <c r="H1364" cm="1">
        <f t="array" aca="1" ref="H1364" ca="1">ROW(INDIRECT(A1364))</f>
        <v>20</v>
      </c>
      <c r="I1364" cm="1">
        <f t="array" aca="1" ref="I1364" ca="1">COLUMN(INDIRECT(A1364))</f>
        <v>23</v>
      </c>
      <c r="M1364" t="str" cm="1">
        <f t="array" aca="1" ref="M1364" ca="1">IF(AND(J1364="O",ISBLANK(INDIRECT(A1364))),"Valeur obligatoire non renseignée","")</f>
        <v/>
      </c>
    </row>
    <row r="1365" spans="1:13" x14ac:dyDescent="0.25">
      <c r="A1365" t="s">
        <v>4276</v>
      </c>
      <c r="B1365" cm="1">
        <f t="array" aca="1" ref="B1365" ca="1">INDIRECT(A1365)</f>
        <v>0</v>
      </c>
      <c r="C1365">
        <f t="shared" ca="1" si="84"/>
        <v>6</v>
      </c>
      <c r="D1365" t="str" cm="1">
        <f t="array" aca="1" ref="D1365" ca="1">CELL("nomfichier",INDIRECT(A1365))</f>
        <v>G:\SCPE\sdc\bq\6 - Mentions valorisantes\Certification environnementale\TEXTES_REGLEMENTATION_CE\Plans_contrôle et grilles\Grille audit niveau 3\Grille d'audit v1.11\[grille-audit-hvev4-v1.11-vf.xlsx]Biodiversité</v>
      </c>
      <c r="E1365">
        <f t="shared" ca="1" si="85"/>
        <v>200</v>
      </c>
      <c r="F1365">
        <f t="shared" ca="1" si="86"/>
        <v>212</v>
      </c>
      <c r="G1365" t="str">
        <f t="shared" ca="1" si="87"/>
        <v>Biodiversité</v>
      </c>
      <c r="H1365" cm="1">
        <f t="array" aca="1" ref="H1365" ca="1">ROW(INDIRECT(A1365))</f>
        <v>20</v>
      </c>
      <c r="I1365" cm="1">
        <f t="array" aca="1" ref="I1365" ca="1">COLUMN(INDIRECT(A1365))</f>
        <v>25</v>
      </c>
      <c r="M1365" t="str" cm="1">
        <f t="array" aca="1" ref="M1365" ca="1">IF(AND(J1365="O",ISBLANK(INDIRECT(A1365))),"Valeur obligatoire non renseignée","")</f>
        <v/>
      </c>
    </row>
    <row r="1366" spans="1:13" x14ac:dyDescent="0.25">
      <c r="A1366" t="s">
        <v>4328</v>
      </c>
      <c r="B1366" cm="1">
        <f t="array" aca="1" ref="B1366" ca="1">INDIRECT(A1366)</f>
        <v>0</v>
      </c>
      <c r="C1366">
        <f t="shared" ca="1" si="84"/>
        <v>6</v>
      </c>
      <c r="D1366" t="str" cm="1">
        <f t="array" aca="1" ref="D1366" ca="1">CELL("nomfichier",INDIRECT(A1366))</f>
        <v>G:\SCPE\sdc\bq\6 - Mentions valorisantes\Certification environnementale\TEXTES_REGLEMENTATION_CE\Plans_contrôle et grilles\Grille audit niveau 3\Grille d'audit v1.11\[grille-audit-hvev4-v1.11-vf.xlsx]Biodiversité</v>
      </c>
      <c r="E1366">
        <f t="shared" ca="1" si="85"/>
        <v>200</v>
      </c>
      <c r="F1366">
        <f t="shared" ca="1" si="86"/>
        <v>212</v>
      </c>
      <c r="G1366" t="str">
        <f t="shared" ca="1" si="87"/>
        <v>Biodiversité</v>
      </c>
      <c r="H1366" cm="1">
        <f t="array" aca="1" ref="H1366" ca="1">ROW(INDIRECT(A1366))</f>
        <v>21</v>
      </c>
      <c r="I1366" cm="1">
        <f t="array" aca="1" ref="I1366" ca="1">COLUMN(INDIRECT(A1366))</f>
        <v>16</v>
      </c>
      <c r="M1366" t="str" cm="1">
        <f t="array" aca="1" ref="M1366" ca="1">IF(AND(J1366="O",ISBLANK(INDIRECT(A1366))),"Valeur obligatoire non renseignée","")</f>
        <v/>
      </c>
    </row>
    <row r="1367" spans="1:13" x14ac:dyDescent="0.25">
      <c r="A1367" t="s">
        <v>4329</v>
      </c>
      <c r="B1367" cm="1">
        <f t="array" aca="1" ref="B1367" ca="1">INDIRECT(A1367)</f>
        <v>0</v>
      </c>
      <c r="C1367">
        <f t="shared" ca="1" si="84"/>
        <v>6</v>
      </c>
      <c r="D1367" t="str" cm="1">
        <f t="array" aca="1" ref="D1367" ca="1">CELL("nomfichier",INDIRECT(A1367))</f>
        <v>G:\SCPE\sdc\bq\6 - Mentions valorisantes\Certification environnementale\TEXTES_REGLEMENTATION_CE\Plans_contrôle et grilles\Grille audit niveau 3\Grille d'audit v1.11\[grille-audit-hvev4-v1.11-vf.xlsx]Biodiversité</v>
      </c>
      <c r="E1367">
        <f t="shared" ca="1" si="85"/>
        <v>200</v>
      </c>
      <c r="F1367">
        <f t="shared" ca="1" si="86"/>
        <v>212</v>
      </c>
      <c r="G1367" t="str">
        <f t="shared" ca="1" si="87"/>
        <v>Biodiversité</v>
      </c>
      <c r="H1367" cm="1">
        <f t="array" aca="1" ref="H1367" ca="1">ROW(INDIRECT(A1367))</f>
        <v>21</v>
      </c>
      <c r="I1367" cm="1">
        <f t="array" aca="1" ref="I1367" ca="1">COLUMN(INDIRECT(A1367))</f>
        <v>18</v>
      </c>
      <c r="M1367" t="str" cm="1">
        <f t="array" aca="1" ref="M1367" ca="1">IF(AND(J1367="O",ISBLANK(INDIRECT(A1367))),"Valeur obligatoire non renseignée","")</f>
        <v/>
      </c>
    </row>
    <row r="1368" spans="1:13" x14ac:dyDescent="0.25">
      <c r="A1368" t="s">
        <v>4330</v>
      </c>
      <c r="B1368" t="str" cm="1">
        <f t="array" aca="1" ref="B1368" ca="1">INDIRECT(A1368)</f>
        <v>hectares</v>
      </c>
      <c r="C1368">
        <f t="shared" ca="1" si="84"/>
        <v>6</v>
      </c>
      <c r="D1368" t="str" cm="1">
        <f t="array" aca="1" ref="D1368" ca="1">CELL("nomfichier",INDIRECT(A1368))</f>
        <v>G:\SCPE\sdc\bq\6 - Mentions valorisantes\Certification environnementale\TEXTES_REGLEMENTATION_CE\Plans_contrôle et grilles\Grille audit niveau 3\Grille d'audit v1.11\[grille-audit-hvev4-v1.11-vf.xlsx]Biodiversité</v>
      </c>
      <c r="E1368">
        <f t="shared" ca="1" si="85"/>
        <v>200</v>
      </c>
      <c r="F1368">
        <f t="shared" ca="1" si="86"/>
        <v>212</v>
      </c>
      <c r="G1368" t="str">
        <f t="shared" ca="1" si="87"/>
        <v>Biodiversité</v>
      </c>
      <c r="H1368" cm="1">
        <f t="array" aca="1" ref="H1368" ca="1">ROW(INDIRECT(A1368))</f>
        <v>21</v>
      </c>
      <c r="I1368" cm="1">
        <f t="array" aca="1" ref="I1368" ca="1">COLUMN(INDIRECT(A1368))</f>
        <v>20</v>
      </c>
      <c r="M1368" t="str" cm="1">
        <f t="array" aca="1" ref="M1368" ca="1">IF(AND(J1368="O",ISBLANK(INDIRECT(A1368))),"Valeur obligatoire non renseignée","")</f>
        <v/>
      </c>
    </row>
    <row r="1369" spans="1:13" x14ac:dyDescent="0.25">
      <c r="A1369" t="s">
        <v>4326</v>
      </c>
      <c r="B1369" cm="1">
        <f t="array" aca="1" ref="B1369" ca="1">INDIRECT(A1369)</f>
        <v>0</v>
      </c>
      <c r="C1369">
        <f t="shared" ca="1" si="84"/>
        <v>6</v>
      </c>
      <c r="D1369" t="str" cm="1">
        <f t="array" aca="1" ref="D1369" ca="1">CELL("nomfichier",INDIRECT(A1369))</f>
        <v>G:\SCPE\sdc\bq\6 - Mentions valorisantes\Certification environnementale\TEXTES_REGLEMENTATION_CE\Plans_contrôle et grilles\Grille audit niveau 3\Grille d'audit v1.11\[grille-audit-hvev4-v1.11-vf.xlsx]Biodiversité</v>
      </c>
      <c r="E1369">
        <f t="shared" ca="1" si="85"/>
        <v>200</v>
      </c>
      <c r="F1369">
        <f t="shared" ca="1" si="86"/>
        <v>212</v>
      </c>
      <c r="G1369" t="str">
        <f t="shared" ca="1" si="87"/>
        <v>Biodiversité</v>
      </c>
      <c r="H1369" cm="1">
        <f t="array" aca="1" ref="H1369" ca="1">ROW(INDIRECT(A1369))</f>
        <v>21</v>
      </c>
      <c r="I1369" cm="1">
        <f t="array" aca="1" ref="I1369" ca="1">COLUMN(INDIRECT(A1369))</f>
        <v>23</v>
      </c>
      <c r="M1369" t="str" cm="1">
        <f t="array" aca="1" ref="M1369" ca="1">IF(AND(J1369="O",ISBLANK(INDIRECT(A1369))),"Valeur obligatoire non renseignée","")</f>
        <v/>
      </c>
    </row>
    <row r="1370" spans="1:13" x14ac:dyDescent="0.25">
      <c r="A1370" t="s">
        <v>4327</v>
      </c>
      <c r="B1370" cm="1">
        <f t="array" aca="1" ref="B1370" ca="1">INDIRECT(A1370)</f>
        <v>0</v>
      </c>
      <c r="C1370">
        <f t="shared" ca="1" si="84"/>
        <v>6</v>
      </c>
      <c r="D1370" t="str" cm="1">
        <f t="array" aca="1" ref="D1370" ca="1">CELL("nomfichier",INDIRECT(A1370))</f>
        <v>G:\SCPE\sdc\bq\6 - Mentions valorisantes\Certification environnementale\TEXTES_REGLEMENTATION_CE\Plans_contrôle et grilles\Grille audit niveau 3\Grille d'audit v1.11\[grille-audit-hvev4-v1.11-vf.xlsx]Biodiversité</v>
      </c>
      <c r="E1370">
        <f t="shared" ca="1" si="85"/>
        <v>200</v>
      </c>
      <c r="F1370">
        <f t="shared" ca="1" si="86"/>
        <v>212</v>
      </c>
      <c r="G1370" t="str">
        <f t="shared" ca="1" si="87"/>
        <v>Biodiversité</v>
      </c>
      <c r="H1370" cm="1">
        <f t="array" aca="1" ref="H1370" ca="1">ROW(INDIRECT(A1370))</f>
        <v>21</v>
      </c>
      <c r="I1370" cm="1">
        <f t="array" aca="1" ref="I1370" ca="1">COLUMN(INDIRECT(A1370))</f>
        <v>25</v>
      </c>
      <c r="M1370" t="str" cm="1">
        <f t="array" aca="1" ref="M1370" ca="1">IF(AND(J1370="O",ISBLANK(INDIRECT(A1370))),"Valeur obligatoire non renseignée","")</f>
        <v/>
      </c>
    </row>
    <row r="1371" spans="1:13" x14ac:dyDescent="0.25">
      <c r="A1371" t="s">
        <v>4297</v>
      </c>
      <c r="B1371" cm="1">
        <f t="array" aca="1" ref="B1371" ca="1">INDIRECT(A1371)</f>
        <v>0</v>
      </c>
      <c r="C1371">
        <f t="shared" ca="1" si="84"/>
        <v>6</v>
      </c>
      <c r="D1371" t="str" cm="1">
        <f t="array" aca="1" ref="D1371" ca="1">CELL("nomfichier",INDIRECT(A1371))</f>
        <v>G:\SCPE\sdc\bq\6 - Mentions valorisantes\Certification environnementale\TEXTES_REGLEMENTATION_CE\Plans_contrôle et grilles\Grille audit niveau 3\Grille d'audit v1.11\[grille-audit-hvev4-v1.11-vf.xlsx]Biodiversité</v>
      </c>
      <c r="E1371">
        <f t="shared" ca="1" si="85"/>
        <v>200</v>
      </c>
      <c r="F1371">
        <f t="shared" ca="1" si="86"/>
        <v>212</v>
      </c>
      <c r="G1371" t="str">
        <f t="shared" ca="1" si="87"/>
        <v>Biodiversité</v>
      </c>
      <c r="H1371" cm="1">
        <f t="array" aca="1" ref="H1371" ca="1">ROW(INDIRECT(A1371))</f>
        <v>22</v>
      </c>
      <c r="I1371" cm="1">
        <f t="array" aca="1" ref="I1371" ca="1">COLUMN(INDIRECT(A1371))</f>
        <v>16</v>
      </c>
      <c r="M1371" t="str" cm="1">
        <f t="array" aca="1" ref="M1371" ca="1">IF(AND(J1371="O",ISBLANK(INDIRECT(A1371))),"Valeur obligatoire non renseignée","")</f>
        <v/>
      </c>
    </row>
    <row r="1372" spans="1:13" x14ac:dyDescent="0.25">
      <c r="A1372" t="s">
        <v>4298</v>
      </c>
      <c r="B1372" cm="1">
        <f t="array" aca="1" ref="B1372" ca="1">INDIRECT(A1372)</f>
        <v>0</v>
      </c>
      <c r="C1372">
        <f t="shared" ca="1" si="84"/>
        <v>6</v>
      </c>
      <c r="D1372" t="str" cm="1">
        <f t="array" aca="1" ref="D1372" ca="1">CELL("nomfichier",INDIRECT(A1372))</f>
        <v>G:\SCPE\sdc\bq\6 - Mentions valorisantes\Certification environnementale\TEXTES_REGLEMENTATION_CE\Plans_contrôle et grilles\Grille audit niveau 3\Grille d'audit v1.11\[grille-audit-hvev4-v1.11-vf.xlsx]Biodiversité</v>
      </c>
      <c r="E1372">
        <f t="shared" ca="1" si="85"/>
        <v>200</v>
      </c>
      <c r="F1372">
        <f t="shared" ca="1" si="86"/>
        <v>212</v>
      </c>
      <c r="G1372" t="str">
        <f t="shared" ca="1" si="87"/>
        <v>Biodiversité</v>
      </c>
      <c r="H1372" cm="1">
        <f t="array" aca="1" ref="H1372" ca="1">ROW(INDIRECT(A1372))</f>
        <v>22</v>
      </c>
      <c r="I1372" cm="1">
        <f t="array" aca="1" ref="I1372" ca="1">COLUMN(INDIRECT(A1372))</f>
        <v>18</v>
      </c>
      <c r="M1372" t="str" cm="1">
        <f t="array" aca="1" ref="M1372" ca="1">IF(AND(J1372="O",ISBLANK(INDIRECT(A1372))),"Valeur obligatoire non renseignée","")</f>
        <v/>
      </c>
    </row>
    <row r="1373" spans="1:13" x14ac:dyDescent="0.25">
      <c r="A1373" t="s">
        <v>4299</v>
      </c>
      <c r="B1373" t="str" cm="1">
        <f t="array" aca="1" ref="B1373" ca="1">INDIRECT(A1373)</f>
        <v>m linéaire</v>
      </c>
      <c r="C1373">
        <f t="shared" ca="1" si="84"/>
        <v>6</v>
      </c>
      <c r="D1373" t="str" cm="1">
        <f t="array" aca="1" ref="D1373" ca="1">CELL("nomfichier",INDIRECT(A1373))</f>
        <v>G:\SCPE\sdc\bq\6 - Mentions valorisantes\Certification environnementale\TEXTES_REGLEMENTATION_CE\Plans_contrôle et grilles\Grille audit niveau 3\Grille d'audit v1.11\[grille-audit-hvev4-v1.11-vf.xlsx]Biodiversité</v>
      </c>
      <c r="E1373">
        <f t="shared" ca="1" si="85"/>
        <v>200</v>
      </c>
      <c r="F1373">
        <f t="shared" ca="1" si="86"/>
        <v>212</v>
      </c>
      <c r="G1373" t="str">
        <f t="shared" ca="1" si="87"/>
        <v>Biodiversité</v>
      </c>
      <c r="H1373" cm="1">
        <f t="array" aca="1" ref="H1373" ca="1">ROW(INDIRECT(A1373))</f>
        <v>22</v>
      </c>
      <c r="I1373" cm="1">
        <f t="array" aca="1" ref="I1373" ca="1">COLUMN(INDIRECT(A1373))</f>
        <v>20</v>
      </c>
      <c r="M1373" t="str" cm="1">
        <f t="array" aca="1" ref="M1373" ca="1">IF(AND(J1373="O",ISBLANK(INDIRECT(A1373))),"Valeur obligatoire non renseignée","")</f>
        <v/>
      </c>
    </row>
    <row r="1374" spans="1:13" x14ac:dyDescent="0.25">
      <c r="A1374" t="s">
        <v>4295</v>
      </c>
      <c r="B1374" cm="1">
        <f t="array" aca="1" ref="B1374" ca="1">INDIRECT(A1374)</f>
        <v>0</v>
      </c>
      <c r="C1374">
        <f t="shared" ca="1" si="84"/>
        <v>6</v>
      </c>
      <c r="D1374" t="str" cm="1">
        <f t="array" aca="1" ref="D1374" ca="1">CELL("nomfichier",INDIRECT(A1374))</f>
        <v>G:\SCPE\sdc\bq\6 - Mentions valorisantes\Certification environnementale\TEXTES_REGLEMENTATION_CE\Plans_contrôle et grilles\Grille audit niveau 3\Grille d'audit v1.11\[grille-audit-hvev4-v1.11-vf.xlsx]Biodiversité</v>
      </c>
      <c r="E1374">
        <f t="shared" ca="1" si="85"/>
        <v>200</v>
      </c>
      <c r="F1374">
        <f t="shared" ca="1" si="86"/>
        <v>212</v>
      </c>
      <c r="G1374" t="str">
        <f t="shared" ca="1" si="87"/>
        <v>Biodiversité</v>
      </c>
      <c r="H1374" cm="1">
        <f t="array" aca="1" ref="H1374" ca="1">ROW(INDIRECT(A1374))</f>
        <v>22</v>
      </c>
      <c r="I1374" cm="1">
        <f t="array" aca="1" ref="I1374" ca="1">COLUMN(INDIRECT(A1374))</f>
        <v>23</v>
      </c>
      <c r="M1374" t="str" cm="1">
        <f t="array" aca="1" ref="M1374" ca="1">IF(AND(J1374="O",ISBLANK(INDIRECT(A1374))),"Valeur obligatoire non renseignée","")</f>
        <v/>
      </c>
    </row>
    <row r="1375" spans="1:13" x14ac:dyDescent="0.25">
      <c r="A1375" t="s">
        <v>4296</v>
      </c>
      <c r="B1375" cm="1">
        <f t="array" aca="1" ref="B1375" ca="1">INDIRECT(A1375)</f>
        <v>0</v>
      </c>
      <c r="C1375">
        <f t="shared" ca="1" si="84"/>
        <v>6</v>
      </c>
      <c r="D1375" t="str" cm="1">
        <f t="array" aca="1" ref="D1375" ca="1">CELL("nomfichier",INDIRECT(A1375))</f>
        <v>G:\SCPE\sdc\bq\6 - Mentions valorisantes\Certification environnementale\TEXTES_REGLEMENTATION_CE\Plans_contrôle et grilles\Grille audit niveau 3\Grille d'audit v1.11\[grille-audit-hvev4-v1.11-vf.xlsx]Biodiversité</v>
      </c>
      <c r="E1375">
        <f t="shared" ca="1" si="85"/>
        <v>200</v>
      </c>
      <c r="F1375">
        <f t="shared" ca="1" si="86"/>
        <v>212</v>
      </c>
      <c r="G1375" t="str">
        <f t="shared" ca="1" si="87"/>
        <v>Biodiversité</v>
      </c>
      <c r="H1375" cm="1">
        <f t="array" aca="1" ref="H1375" ca="1">ROW(INDIRECT(A1375))</f>
        <v>22</v>
      </c>
      <c r="I1375" cm="1">
        <f t="array" aca="1" ref="I1375" ca="1">COLUMN(INDIRECT(A1375))</f>
        <v>25</v>
      </c>
      <c r="M1375" t="str" cm="1">
        <f t="array" aca="1" ref="M1375" ca="1">IF(AND(J1375="O",ISBLANK(INDIRECT(A1375))),"Valeur obligatoire non renseignée","")</f>
        <v/>
      </c>
    </row>
    <row r="1376" spans="1:13" x14ac:dyDescent="0.25">
      <c r="A1376" t="s">
        <v>4350</v>
      </c>
      <c r="B1376" cm="1">
        <f t="array" aca="1" ref="B1376" ca="1">INDIRECT(A1376)</f>
        <v>0</v>
      </c>
      <c r="C1376">
        <f t="shared" ca="1" si="84"/>
        <v>6</v>
      </c>
      <c r="D1376" t="str" cm="1">
        <f t="array" aca="1" ref="D1376" ca="1">CELL("nomfichier",INDIRECT(A1376))</f>
        <v>G:\SCPE\sdc\bq\6 - Mentions valorisantes\Certification environnementale\TEXTES_REGLEMENTATION_CE\Plans_contrôle et grilles\Grille audit niveau 3\Grille d'audit v1.11\[grille-audit-hvev4-v1.11-vf.xlsx]Biodiversité</v>
      </c>
      <c r="E1376">
        <f t="shared" ca="1" si="85"/>
        <v>200</v>
      </c>
      <c r="F1376">
        <f t="shared" ca="1" si="86"/>
        <v>212</v>
      </c>
      <c r="G1376" t="str">
        <f t="shared" ca="1" si="87"/>
        <v>Biodiversité</v>
      </c>
      <c r="H1376" cm="1">
        <f t="array" aca="1" ref="H1376" ca="1">ROW(INDIRECT(A1376))</f>
        <v>23</v>
      </c>
      <c r="I1376" cm="1">
        <f t="array" aca="1" ref="I1376" ca="1">COLUMN(INDIRECT(A1376))</f>
        <v>16</v>
      </c>
      <c r="M1376" t="str" cm="1">
        <f t="array" aca="1" ref="M1376" ca="1">IF(AND(J1376="O",ISBLANK(INDIRECT(A1376))),"Valeur obligatoire non renseignée","")</f>
        <v/>
      </c>
    </row>
    <row r="1377" spans="1:13" x14ac:dyDescent="0.25">
      <c r="A1377" t="s">
        <v>4351</v>
      </c>
      <c r="B1377" cm="1">
        <f t="array" aca="1" ref="B1377" ca="1">INDIRECT(A1377)</f>
        <v>0</v>
      </c>
      <c r="C1377">
        <f t="shared" ca="1" si="84"/>
        <v>6</v>
      </c>
      <c r="D1377" t="str" cm="1">
        <f t="array" aca="1" ref="D1377" ca="1">CELL("nomfichier",INDIRECT(A1377))</f>
        <v>G:\SCPE\sdc\bq\6 - Mentions valorisantes\Certification environnementale\TEXTES_REGLEMENTATION_CE\Plans_contrôle et grilles\Grille audit niveau 3\Grille d'audit v1.11\[grille-audit-hvev4-v1.11-vf.xlsx]Biodiversité</v>
      </c>
      <c r="E1377">
        <f t="shared" ca="1" si="85"/>
        <v>200</v>
      </c>
      <c r="F1377">
        <f t="shared" ca="1" si="86"/>
        <v>212</v>
      </c>
      <c r="G1377" t="str">
        <f t="shared" ca="1" si="87"/>
        <v>Biodiversité</v>
      </c>
      <c r="H1377" cm="1">
        <f t="array" aca="1" ref="H1377" ca="1">ROW(INDIRECT(A1377))</f>
        <v>23</v>
      </c>
      <c r="I1377" cm="1">
        <f t="array" aca="1" ref="I1377" ca="1">COLUMN(INDIRECT(A1377))</f>
        <v>18</v>
      </c>
      <c r="M1377" t="str" cm="1">
        <f t="array" aca="1" ref="M1377" ca="1">IF(AND(J1377="O",ISBLANK(INDIRECT(A1377))),"Valeur obligatoire non renseignée","")</f>
        <v/>
      </c>
    </row>
    <row r="1378" spans="1:13" x14ac:dyDescent="0.25">
      <c r="A1378" t="s">
        <v>4352</v>
      </c>
      <c r="B1378" t="str" cm="1">
        <f t="array" aca="1" ref="B1378" ca="1">INDIRECT(A1378)</f>
        <v>m linéaire</v>
      </c>
      <c r="C1378">
        <f t="shared" ca="1" si="84"/>
        <v>6</v>
      </c>
      <c r="D1378" t="str" cm="1">
        <f t="array" aca="1" ref="D1378" ca="1">CELL("nomfichier",INDIRECT(A1378))</f>
        <v>G:\SCPE\sdc\bq\6 - Mentions valorisantes\Certification environnementale\TEXTES_REGLEMENTATION_CE\Plans_contrôle et grilles\Grille audit niveau 3\Grille d'audit v1.11\[grille-audit-hvev4-v1.11-vf.xlsx]Biodiversité</v>
      </c>
      <c r="E1378">
        <f t="shared" ca="1" si="85"/>
        <v>200</v>
      </c>
      <c r="F1378">
        <f t="shared" ca="1" si="86"/>
        <v>212</v>
      </c>
      <c r="G1378" t="str">
        <f t="shared" ca="1" si="87"/>
        <v>Biodiversité</v>
      </c>
      <c r="H1378" cm="1">
        <f t="array" aca="1" ref="H1378" ca="1">ROW(INDIRECT(A1378))</f>
        <v>23</v>
      </c>
      <c r="I1378" cm="1">
        <f t="array" aca="1" ref="I1378" ca="1">COLUMN(INDIRECT(A1378))</f>
        <v>20</v>
      </c>
      <c r="M1378" t="str" cm="1">
        <f t="array" aca="1" ref="M1378" ca="1">IF(AND(J1378="O",ISBLANK(INDIRECT(A1378))),"Valeur obligatoire non renseignée","")</f>
        <v/>
      </c>
    </row>
    <row r="1379" spans="1:13" x14ac:dyDescent="0.25">
      <c r="A1379" t="s">
        <v>4348</v>
      </c>
      <c r="B1379" cm="1">
        <f t="array" aca="1" ref="B1379" ca="1">INDIRECT(A1379)</f>
        <v>0</v>
      </c>
      <c r="C1379">
        <f t="shared" ca="1" si="84"/>
        <v>6</v>
      </c>
      <c r="D1379" t="str" cm="1">
        <f t="array" aca="1" ref="D1379" ca="1">CELL("nomfichier",INDIRECT(A1379))</f>
        <v>G:\SCPE\sdc\bq\6 - Mentions valorisantes\Certification environnementale\TEXTES_REGLEMENTATION_CE\Plans_contrôle et grilles\Grille audit niveau 3\Grille d'audit v1.11\[grille-audit-hvev4-v1.11-vf.xlsx]Biodiversité</v>
      </c>
      <c r="E1379">
        <f t="shared" ca="1" si="85"/>
        <v>200</v>
      </c>
      <c r="F1379">
        <f t="shared" ca="1" si="86"/>
        <v>212</v>
      </c>
      <c r="G1379" t="str">
        <f t="shared" ca="1" si="87"/>
        <v>Biodiversité</v>
      </c>
      <c r="H1379" cm="1">
        <f t="array" aca="1" ref="H1379" ca="1">ROW(INDIRECT(A1379))</f>
        <v>23</v>
      </c>
      <c r="I1379" cm="1">
        <f t="array" aca="1" ref="I1379" ca="1">COLUMN(INDIRECT(A1379))</f>
        <v>23</v>
      </c>
      <c r="M1379" t="str" cm="1">
        <f t="array" aca="1" ref="M1379" ca="1">IF(AND(J1379="O",ISBLANK(INDIRECT(A1379))),"Valeur obligatoire non renseignée","")</f>
        <v/>
      </c>
    </row>
    <row r="1380" spans="1:13" x14ac:dyDescent="0.25">
      <c r="A1380" t="s">
        <v>4349</v>
      </c>
      <c r="B1380" cm="1">
        <f t="array" aca="1" ref="B1380" ca="1">INDIRECT(A1380)</f>
        <v>0</v>
      </c>
      <c r="C1380">
        <f t="shared" ca="1" si="84"/>
        <v>6</v>
      </c>
      <c r="D1380" t="str" cm="1">
        <f t="array" aca="1" ref="D1380" ca="1">CELL("nomfichier",INDIRECT(A1380))</f>
        <v>G:\SCPE\sdc\bq\6 - Mentions valorisantes\Certification environnementale\TEXTES_REGLEMENTATION_CE\Plans_contrôle et grilles\Grille audit niveau 3\Grille d'audit v1.11\[grille-audit-hvev4-v1.11-vf.xlsx]Biodiversité</v>
      </c>
      <c r="E1380">
        <f t="shared" ca="1" si="85"/>
        <v>200</v>
      </c>
      <c r="F1380">
        <f t="shared" ca="1" si="86"/>
        <v>212</v>
      </c>
      <c r="G1380" t="str">
        <f t="shared" ca="1" si="87"/>
        <v>Biodiversité</v>
      </c>
      <c r="H1380" cm="1">
        <f t="array" aca="1" ref="H1380" ca="1">ROW(INDIRECT(A1380))</f>
        <v>23</v>
      </c>
      <c r="I1380" cm="1">
        <f t="array" aca="1" ref="I1380" ca="1">COLUMN(INDIRECT(A1380))</f>
        <v>25</v>
      </c>
      <c r="M1380" t="str" cm="1">
        <f t="array" aca="1" ref="M1380" ca="1">IF(AND(J1380="O",ISBLANK(INDIRECT(A1380))),"Valeur obligatoire non renseignée","")</f>
        <v/>
      </c>
    </row>
    <row r="1381" spans="1:13" x14ac:dyDescent="0.25">
      <c r="A1381" t="s">
        <v>4270</v>
      </c>
      <c r="B1381" cm="1">
        <f t="array" aca="1" ref="B1381" ca="1">INDIRECT(A1381)</f>
        <v>0</v>
      </c>
      <c r="C1381">
        <f t="shared" ca="1" si="84"/>
        <v>6</v>
      </c>
      <c r="D1381" t="str" cm="1">
        <f t="array" aca="1" ref="D1381" ca="1">CELL("nomfichier",INDIRECT(A1381))</f>
        <v>G:\SCPE\sdc\bq\6 - Mentions valorisantes\Certification environnementale\TEXTES_REGLEMENTATION_CE\Plans_contrôle et grilles\Grille audit niveau 3\Grille d'audit v1.11\[grille-audit-hvev4-v1.11-vf.xlsx]Biodiversité</v>
      </c>
      <c r="E1381">
        <f t="shared" ca="1" si="85"/>
        <v>200</v>
      </c>
      <c r="F1381">
        <f t="shared" ca="1" si="86"/>
        <v>212</v>
      </c>
      <c r="G1381" t="str">
        <f t="shared" ca="1" si="87"/>
        <v>Biodiversité</v>
      </c>
      <c r="H1381" cm="1">
        <f t="array" aca="1" ref="H1381" ca="1">ROW(INDIRECT(A1381))</f>
        <v>24</v>
      </c>
      <c r="I1381" cm="1">
        <f t="array" aca="1" ref="I1381" ca="1">COLUMN(INDIRECT(A1381))</f>
        <v>16</v>
      </c>
      <c r="M1381" t="str" cm="1">
        <f t="array" aca="1" ref="M1381" ca="1">IF(AND(J1381="O",ISBLANK(INDIRECT(A1381))),"Valeur obligatoire non renseignée","")</f>
        <v/>
      </c>
    </row>
    <row r="1382" spans="1:13" x14ac:dyDescent="0.25">
      <c r="A1382" t="s">
        <v>4271</v>
      </c>
      <c r="B1382" t="str" cm="1">
        <f t="array" aca="1" ref="B1382" ca="1">INDIRECT(A1382)</f>
        <v>m linéaire</v>
      </c>
      <c r="C1382">
        <f t="shared" ca="1" si="84"/>
        <v>6</v>
      </c>
      <c r="D1382" t="str" cm="1">
        <f t="array" aca="1" ref="D1382" ca="1">CELL("nomfichier",INDIRECT(A1382))</f>
        <v>G:\SCPE\sdc\bq\6 - Mentions valorisantes\Certification environnementale\TEXTES_REGLEMENTATION_CE\Plans_contrôle et grilles\Grille audit niveau 3\Grille d'audit v1.11\[grille-audit-hvev4-v1.11-vf.xlsx]Biodiversité</v>
      </c>
      <c r="E1382">
        <f t="shared" ca="1" si="85"/>
        <v>200</v>
      </c>
      <c r="F1382">
        <f t="shared" ca="1" si="86"/>
        <v>212</v>
      </c>
      <c r="G1382" t="str">
        <f t="shared" ca="1" si="87"/>
        <v>Biodiversité</v>
      </c>
      <c r="H1382" cm="1">
        <f t="array" aca="1" ref="H1382" ca="1">ROW(INDIRECT(A1382))</f>
        <v>24</v>
      </c>
      <c r="I1382" cm="1">
        <f t="array" aca="1" ref="I1382" ca="1">COLUMN(INDIRECT(A1382))</f>
        <v>20</v>
      </c>
      <c r="M1382" t="str" cm="1">
        <f t="array" aca="1" ref="M1382" ca="1">IF(AND(J1382="O",ISBLANK(INDIRECT(A1382))),"Valeur obligatoire non renseignée","")</f>
        <v/>
      </c>
    </row>
    <row r="1383" spans="1:13" x14ac:dyDescent="0.25">
      <c r="A1383" t="s">
        <v>4269</v>
      </c>
      <c r="B1383" cm="1">
        <f t="array" aca="1" ref="B1383" ca="1">INDIRECT(A1383)</f>
        <v>0</v>
      </c>
      <c r="C1383">
        <f t="shared" ca="1" si="84"/>
        <v>6</v>
      </c>
      <c r="D1383" t="str" cm="1">
        <f t="array" aca="1" ref="D1383" ca="1">CELL("nomfichier",INDIRECT(A1383))</f>
        <v>G:\SCPE\sdc\bq\6 - Mentions valorisantes\Certification environnementale\TEXTES_REGLEMENTATION_CE\Plans_contrôle et grilles\Grille audit niveau 3\Grille d'audit v1.11\[grille-audit-hvev4-v1.11-vf.xlsx]Biodiversité</v>
      </c>
      <c r="E1383">
        <f t="shared" ca="1" si="85"/>
        <v>200</v>
      </c>
      <c r="F1383">
        <f t="shared" ca="1" si="86"/>
        <v>212</v>
      </c>
      <c r="G1383" t="str">
        <f t="shared" ca="1" si="87"/>
        <v>Biodiversité</v>
      </c>
      <c r="H1383" cm="1">
        <f t="array" aca="1" ref="H1383" ca="1">ROW(INDIRECT(A1383))</f>
        <v>24</v>
      </c>
      <c r="I1383" cm="1">
        <f t="array" aca="1" ref="I1383" ca="1">COLUMN(INDIRECT(A1383))</f>
        <v>23</v>
      </c>
      <c r="M1383" t="str" cm="1">
        <f t="array" aca="1" ref="M1383" ca="1">IF(AND(J1383="O",ISBLANK(INDIRECT(A1383))),"Valeur obligatoire non renseignée","")</f>
        <v/>
      </c>
    </row>
    <row r="1384" spans="1:13" x14ac:dyDescent="0.25">
      <c r="A1384" t="s">
        <v>4273</v>
      </c>
      <c r="B1384" cm="1">
        <f t="array" aca="1" ref="B1384" ca="1">INDIRECT(A1384)</f>
        <v>0</v>
      </c>
      <c r="C1384">
        <f t="shared" ca="1" si="84"/>
        <v>6</v>
      </c>
      <c r="D1384" t="str" cm="1">
        <f t="array" aca="1" ref="D1384" ca="1">CELL("nomfichier",INDIRECT(A1384))</f>
        <v>G:\SCPE\sdc\bq\6 - Mentions valorisantes\Certification environnementale\TEXTES_REGLEMENTATION_CE\Plans_contrôle et grilles\Grille audit niveau 3\Grille d'audit v1.11\[grille-audit-hvev4-v1.11-vf.xlsx]Biodiversité</v>
      </c>
      <c r="E1384">
        <f t="shared" ca="1" si="85"/>
        <v>200</v>
      </c>
      <c r="F1384">
        <f t="shared" ca="1" si="86"/>
        <v>212</v>
      </c>
      <c r="G1384" t="str">
        <f t="shared" ca="1" si="87"/>
        <v>Biodiversité</v>
      </c>
      <c r="H1384" cm="1">
        <f t="array" aca="1" ref="H1384" ca="1">ROW(INDIRECT(A1384))</f>
        <v>25</v>
      </c>
      <c r="I1384" cm="1">
        <f t="array" aca="1" ref="I1384" ca="1">COLUMN(INDIRECT(A1384))</f>
        <v>18</v>
      </c>
      <c r="M1384" t="str" cm="1">
        <f t="array" aca="1" ref="M1384" ca="1">IF(AND(J1384="O",ISBLANK(INDIRECT(A1384))),"Valeur obligatoire non renseignée","")</f>
        <v/>
      </c>
    </row>
    <row r="1385" spans="1:13" x14ac:dyDescent="0.25">
      <c r="A1385" t="s">
        <v>4274</v>
      </c>
      <c r="B1385" t="str" cm="1">
        <f t="array" aca="1" ref="B1385" ca="1">INDIRECT(A1385)</f>
        <v>m linéaire</v>
      </c>
      <c r="C1385">
        <f t="shared" ca="1" si="84"/>
        <v>6</v>
      </c>
      <c r="D1385" t="str" cm="1">
        <f t="array" aca="1" ref="D1385" ca="1">CELL("nomfichier",INDIRECT(A1385))</f>
        <v>G:\SCPE\sdc\bq\6 - Mentions valorisantes\Certification environnementale\TEXTES_REGLEMENTATION_CE\Plans_contrôle et grilles\Grille audit niveau 3\Grille d'audit v1.11\[grille-audit-hvev4-v1.11-vf.xlsx]Biodiversité</v>
      </c>
      <c r="E1385">
        <f t="shared" ca="1" si="85"/>
        <v>200</v>
      </c>
      <c r="F1385">
        <f t="shared" ca="1" si="86"/>
        <v>212</v>
      </c>
      <c r="G1385" t="str">
        <f t="shared" ca="1" si="87"/>
        <v>Biodiversité</v>
      </c>
      <c r="H1385" cm="1">
        <f t="array" aca="1" ref="H1385" ca="1">ROW(INDIRECT(A1385))</f>
        <v>25</v>
      </c>
      <c r="I1385" cm="1">
        <f t="array" aca="1" ref="I1385" ca="1">COLUMN(INDIRECT(A1385))</f>
        <v>20</v>
      </c>
      <c r="M1385" t="str" cm="1">
        <f t="array" aca="1" ref="M1385" ca="1">IF(AND(J1385="O",ISBLANK(INDIRECT(A1385))),"Valeur obligatoire non renseignée","")</f>
        <v/>
      </c>
    </row>
    <row r="1386" spans="1:13" x14ac:dyDescent="0.25">
      <c r="A1386" t="s">
        <v>4272</v>
      </c>
      <c r="B1386" cm="1">
        <f t="array" aca="1" ref="B1386" ca="1">INDIRECT(A1386)</f>
        <v>0</v>
      </c>
      <c r="C1386">
        <f t="shared" ca="1" si="84"/>
        <v>6</v>
      </c>
      <c r="D1386" t="str" cm="1">
        <f t="array" aca="1" ref="D1386" ca="1">CELL("nomfichier",INDIRECT(A1386))</f>
        <v>G:\SCPE\sdc\bq\6 - Mentions valorisantes\Certification environnementale\TEXTES_REGLEMENTATION_CE\Plans_contrôle et grilles\Grille audit niveau 3\Grille d'audit v1.11\[grille-audit-hvev4-v1.11-vf.xlsx]Biodiversité</v>
      </c>
      <c r="E1386">
        <f t="shared" ca="1" si="85"/>
        <v>200</v>
      </c>
      <c r="F1386">
        <f t="shared" ca="1" si="86"/>
        <v>212</v>
      </c>
      <c r="G1386" t="str">
        <f t="shared" ca="1" si="87"/>
        <v>Biodiversité</v>
      </c>
      <c r="H1386" cm="1">
        <f t="array" aca="1" ref="H1386" ca="1">ROW(INDIRECT(A1386))</f>
        <v>25</v>
      </c>
      <c r="I1386" cm="1">
        <f t="array" aca="1" ref="I1386" ca="1">COLUMN(INDIRECT(A1386))</f>
        <v>25</v>
      </c>
      <c r="M1386" t="str" cm="1">
        <f t="array" aca="1" ref="M1386" ca="1">IF(AND(J1386="O",ISBLANK(INDIRECT(A1386))),"Valeur obligatoire non renseignée","")</f>
        <v/>
      </c>
    </row>
    <row r="1387" spans="1:13" x14ac:dyDescent="0.25">
      <c r="A1387" t="s">
        <v>4318</v>
      </c>
      <c r="B1387" cm="1">
        <f t="array" aca="1" ref="B1387" ca="1">INDIRECT(A1387)</f>
        <v>0</v>
      </c>
      <c r="C1387">
        <f t="shared" ca="1" si="84"/>
        <v>6</v>
      </c>
      <c r="D1387" t="str" cm="1">
        <f t="array" aca="1" ref="D1387" ca="1">CELL("nomfichier",INDIRECT(A1387))</f>
        <v>G:\SCPE\sdc\bq\6 - Mentions valorisantes\Certification environnementale\TEXTES_REGLEMENTATION_CE\Plans_contrôle et grilles\Grille audit niveau 3\Grille d'audit v1.11\[grille-audit-hvev4-v1.11-vf.xlsx]Biodiversité</v>
      </c>
      <c r="E1387">
        <f t="shared" ca="1" si="85"/>
        <v>200</v>
      </c>
      <c r="F1387">
        <f t="shared" ca="1" si="86"/>
        <v>212</v>
      </c>
      <c r="G1387" t="str">
        <f t="shared" ca="1" si="87"/>
        <v>Biodiversité</v>
      </c>
      <c r="H1387" cm="1">
        <f t="array" aca="1" ref="H1387" ca="1">ROW(INDIRECT(A1387))</f>
        <v>26</v>
      </c>
      <c r="I1387" cm="1">
        <f t="array" aca="1" ref="I1387" ca="1">COLUMN(INDIRECT(A1387))</f>
        <v>16</v>
      </c>
      <c r="M1387" t="str" cm="1">
        <f t="array" aca="1" ref="M1387" ca="1">IF(AND(J1387="O",ISBLANK(INDIRECT(A1387))),"Valeur obligatoire non renseignée","")</f>
        <v/>
      </c>
    </row>
    <row r="1388" spans="1:13" x14ac:dyDescent="0.25">
      <c r="A1388" t="s">
        <v>4319</v>
      </c>
      <c r="B1388" cm="1">
        <f t="array" aca="1" ref="B1388" ca="1">INDIRECT(A1388)</f>
        <v>0</v>
      </c>
      <c r="C1388">
        <f t="shared" ca="1" si="84"/>
        <v>6</v>
      </c>
      <c r="D1388" t="str" cm="1">
        <f t="array" aca="1" ref="D1388" ca="1">CELL("nomfichier",INDIRECT(A1388))</f>
        <v>G:\SCPE\sdc\bq\6 - Mentions valorisantes\Certification environnementale\TEXTES_REGLEMENTATION_CE\Plans_contrôle et grilles\Grille audit niveau 3\Grille d'audit v1.11\[grille-audit-hvev4-v1.11-vf.xlsx]Biodiversité</v>
      </c>
      <c r="E1388">
        <f t="shared" ca="1" si="85"/>
        <v>200</v>
      </c>
      <c r="F1388">
        <f t="shared" ca="1" si="86"/>
        <v>212</v>
      </c>
      <c r="G1388" t="str">
        <f t="shared" ca="1" si="87"/>
        <v>Biodiversité</v>
      </c>
      <c r="H1388" cm="1">
        <f t="array" aca="1" ref="H1388" ca="1">ROW(INDIRECT(A1388))</f>
        <v>26</v>
      </c>
      <c r="I1388" cm="1">
        <f t="array" aca="1" ref="I1388" ca="1">COLUMN(INDIRECT(A1388))</f>
        <v>18</v>
      </c>
      <c r="M1388" t="str" cm="1">
        <f t="array" aca="1" ref="M1388" ca="1">IF(AND(J1388="O",ISBLANK(INDIRECT(A1388))),"Valeur obligatoire non renseignée","")</f>
        <v/>
      </c>
    </row>
    <row r="1389" spans="1:13" x14ac:dyDescent="0.25">
      <c r="A1389" t="s">
        <v>4320</v>
      </c>
      <c r="B1389" t="str" cm="1">
        <f t="array" aca="1" ref="B1389" ca="1">INDIRECT(A1389)</f>
        <v>hectares</v>
      </c>
      <c r="C1389">
        <f t="shared" ca="1" si="84"/>
        <v>6</v>
      </c>
      <c r="D1389" t="str" cm="1">
        <f t="array" aca="1" ref="D1389" ca="1">CELL("nomfichier",INDIRECT(A1389))</f>
        <v>G:\SCPE\sdc\bq\6 - Mentions valorisantes\Certification environnementale\TEXTES_REGLEMENTATION_CE\Plans_contrôle et grilles\Grille audit niveau 3\Grille d'audit v1.11\[grille-audit-hvev4-v1.11-vf.xlsx]Biodiversité</v>
      </c>
      <c r="E1389">
        <f t="shared" ca="1" si="85"/>
        <v>200</v>
      </c>
      <c r="F1389">
        <f t="shared" ca="1" si="86"/>
        <v>212</v>
      </c>
      <c r="G1389" t="str">
        <f t="shared" ca="1" si="87"/>
        <v>Biodiversité</v>
      </c>
      <c r="H1389" cm="1">
        <f t="array" aca="1" ref="H1389" ca="1">ROW(INDIRECT(A1389))</f>
        <v>26</v>
      </c>
      <c r="I1389" cm="1">
        <f t="array" aca="1" ref="I1389" ca="1">COLUMN(INDIRECT(A1389))</f>
        <v>20</v>
      </c>
      <c r="M1389" t="str" cm="1">
        <f t="array" aca="1" ref="M1389" ca="1">IF(AND(J1389="O",ISBLANK(INDIRECT(A1389))),"Valeur obligatoire non renseignée","")</f>
        <v/>
      </c>
    </row>
    <row r="1390" spans="1:13" x14ac:dyDescent="0.25">
      <c r="A1390" t="s">
        <v>4311</v>
      </c>
      <c r="B1390" cm="1">
        <f t="array" aca="1" ref="B1390" ca="1">INDIRECT(A1390)</f>
        <v>0</v>
      </c>
      <c r="C1390">
        <f t="shared" ca="1" si="84"/>
        <v>6</v>
      </c>
      <c r="D1390" t="str" cm="1">
        <f t="array" aca="1" ref="D1390" ca="1">CELL("nomfichier",INDIRECT(A1390))</f>
        <v>G:\SCPE\sdc\bq\6 - Mentions valorisantes\Certification environnementale\TEXTES_REGLEMENTATION_CE\Plans_contrôle et grilles\Grille audit niveau 3\Grille d'audit v1.11\[grille-audit-hvev4-v1.11-vf.xlsx]Biodiversité</v>
      </c>
      <c r="E1390">
        <f t="shared" ca="1" si="85"/>
        <v>200</v>
      </c>
      <c r="F1390">
        <f t="shared" ca="1" si="86"/>
        <v>212</v>
      </c>
      <c r="G1390" t="str">
        <f t="shared" ca="1" si="87"/>
        <v>Biodiversité</v>
      </c>
      <c r="H1390" cm="1">
        <f t="array" aca="1" ref="H1390" ca="1">ROW(INDIRECT(A1390))</f>
        <v>26</v>
      </c>
      <c r="I1390" cm="1">
        <f t="array" aca="1" ref="I1390" ca="1">COLUMN(INDIRECT(A1390))</f>
        <v>23</v>
      </c>
      <c r="M1390" t="str" cm="1">
        <f t="array" aca="1" ref="M1390" ca="1">IF(AND(J1390="O",ISBLANK(INDIRECT(A1390))),"Valeur obligatoire non renseignée","")</f>
        <v/>
      </c>
    </row>
    <row r="1391" spans="1:13" x14ac:dyDescent="0.25">
      <c r="A1391" t="s">
        <v>4312</v>
      </c>
      <c r="B1391" cm="1">
        <f t="array" aca="1" ref="B1391" ca="1">INDIRECT(A1391)</f>
        <v>0</v>
      </c>
      <c r="C1391">
        <f t="shared" ca="1" si="84"/>
        <v>6</v>
      </c>
      <c r="D1391" t="str" cm="1">
        <f t="array" aca="1" ref="D1391" ca="1">CELL("nomfichier",INDIRECT(A1391))</f>
        <v>G:\SCPE\sdc\bq\6 - Mentions valorisantes\Certification environnementale\TEXTES_REGLEMENTATION_CE\Plans_contrôle et grilles\Grille audit niveau 3\Grille d'audit v1.11\[grille-audit-hvev4-v1.11-vf.xlsx]Biodiversité</v>
      </c>
      <c r="E1391">
        <f t="shared" ca="1" si="85"/>
        <v>200</v>
      </c>
      <c r="F1391">
        <f t="shared" ca="1" si="86"/>
        <v>212</v>
      </c>
      <c r="G1391" t="str">
        <f t="shared" ca="1" si="87"/>
        <v>Biodiversité</v>
      </c>
      <c r="H1391" cm="1">
        <f t="array" aca="1" ref="H1391" ca="1">ROW(INDIRECT(A1391))</f>
        <v>26</v>
      </c>
      <c r="I1391" cm="1">
        <f t="array" aca="1" ref="I1391" ca="1">COLUMN(INDIRECT(A1391))</f>
        <v>25</v>
      </c>
      <c r="M1391" t="str" cm="1">
        <f t="array" aca="1" ref="M1391" ca="1">IF(AND(J1391="O",ISBLANK(INDIRECT(A1391))),"Valeur obligatoire non renseignée","")</f>
        <v/>
      </c>
    </row>
    <row r="1392" spans="1:13" x14ac:dyDescent="0.25">
      <c r="A1392" t="s">
        <v>4315</v>
      </c>
      <c r="B1392" cm="1">
        <f t="array" aca="1" ref="B1392" ca="1">INDIRECT(A1392)</f>
        <v>0</v>
      </c>
      <c r="C1392">
        <f t="shared" ca="1" si="84"/>
        <v>6</v>
      </c>
      <c r="D1392" t="str" cm="1">
        <f t="array" aca="1" ref="D1392" ca="1">CELL("nomfichier",INDIRECT(A1392))</f>
        <v>G:\SCPE\sdc\bq\6 - Mentions valorisantes\Certification environnementale\TEXTES_REGLEMENTATION_CE\Plans_contrôle et grilles\Grille audit niveau 3\Grille d'audit v1.11\[grille-audit-hvev4-v1.11-vf.xlsx]Biodiversité</v>
      </c>
      <c r="E1392">
        <f t="shared" ca="1" si="85"/>
        <v>200</v>
      </c>
      <c r="F1392">
        <f t="shared" ca="1" si="86"/>
        <v>212</v>
      </c>
      <c r="G1392" t="str">
        <f t="shared" ca="1" si="87"/>
        <v>Biodiversité</v>
      </c>
      <c r="H1392" cm="1">
        <f t="array" aca="1" ref="H1392" ca="1">ROW(INDIRECT(A1392))</f>
        <v>27</v>
      </c>
      <c r="I1392" cm="1">
        <f t="array" aca="1" ref="I1392" ca="1">COLUMN(INDIRECT(A1392))</f>
        <v>16</v>
      </c>
      <c r="M1392" t="str" cm="1">
        <f t="array" aca="1" ref="M1392" ca="1">IF(AND(J1392="O",ISBLANK(INDIRECT(A1392))),"Valeur obligatoire non renseignée","")</f>
        <v/>
      </c>
    </row>
    <row r="1393" spans="1:13" x14ac:dyDescent="0.25">
      <c r="A1393" t="s">
        <v>4316</v>
      </c>
      <c r="B1393" cm="1">
        <f t="array" aca="1" ref="B1393" ca="1">INDIRECT(A1393)</f>
        <v>0</v>
      </c>
      <c r="C1393">
        <f t="shared" ca="1" si="84"/>
        <v>6</v>
      </c>
      <c r="D1393" t="str" cm="1">
        <f t="array" aca="1" ref="D1393" ca="1">CELL("nomfichier",INDIRECT(A1393))</f>
        <v>G:\SCPE\sdc\bq\6 - Mentions valorisantes\Certification environnementale\TEXTES_REGLEMENTATION_CE\Plans_contrôle et grilles\Grille audit niveau 3\Grille d'audit v1.11\[grille-audit-hvev4-v1.11-vf.xlsx]Biodiversité</v>
      </c>
      <c r="E1393">
        <f t="shared" ca="1" si="85"/>
        <v>200</v>
      </c>
      <c r="F1393">
        <f t="shared" ca="1" si="86"/>
        <v>212</v>
      </c>
      <c r="G1393" t="str">
        <f t="shared" ca="1" si="87"/>
        <v>Biodiversité</v>
      </c>
      <c r="H1393" cm="1">
        <f t="array" aca="1" ref="H1393" ca="1">ROW(INDIRECT(A1393))</f>
        <v>27</v>
      </c>
      <c r="I1393" cm="1">
        <f t="array" aca="1" ref="I1393" ca="1">COLUMN(INDIRECT(A1393))</f>
        <v>18</v>
      </c>
      <c r="M1393" t="str" cm="1">
        <f t="array" aca="1" ref="M1393" ca="1">IF(AND(J1393="O",ISBLANK(INDIRECT(A1393))),"Valeur obligatoire non renseignée","")</f>
        <v/>
      </c>
    </row>
    <row r="1394" spans="1:13" x14ac:dyDescent="0.25">
      <c r="A1394" t="s">
        <v>4317</v>
      </c>
      <c r="B1394" t="str" cm="1">
        <f t="array" aca="1" ref="B1394" ca="1">INDIRECT(A1394)</f>
        <v>hectares</v>
      </c>
      <c r="C1394">
        <f t="shared" ca="1" si="84"/>
        <v>6</v>
      </c>
      <c r="D1394" t="str" cm="1">
        <f t="array" aca="1" ref="D1394" ca="1">CELL("nomfichier",INDIRECT(A1394))</f>
        <v>G:\SCPE\sdc\bq\6 - Mentions valorisantes\Certification environnementale\TEXTES_REGLEMENTATION_CE\Plans_contrôle et grilles\Grille audit niveau 3\Grille d'audit v1.11\[grille-audit-hvev4-v1.11-vf.xlsx]Biodiversité</v>
      </c>
      <c r="E1394">
        <f t="shared" ca="1" si="85"/>
        <v>200</v>
      </c>
      <c r="F1394">
        <f t="shared" ca="1" si="86"/>
        <v>212</v>
      </c>
      <c r="G1394" t="str">
        <f t="shared" ca="1" si="87"/>
        <v>Biodiversité</v>
      </c>
      <c r="H1394" cm="1">
        <f t="array" aca="1" ref="H1394" ca="1">ROW(INDIRECT(A1394))</f>
        <v>27</v>
      </c>
      <c r="I1394" cm="1">
        <f t="array" aca="1" ref="I1394" ca="1">COLUMN(INDIRECT(A1394))</f>
        <v>20</v>
      </c>
      <c r="M1394" t="str" cm="1">
        <f t="array" aca="1" ref="M1394" ca="1">IF(AND(J1394="O",ISBLANK(INDIRECT(A1394))),"Valeur obligatoire non renseignée","")</f>
        <v/>
      </c>
    </row>
    <row r="1395" spans="1:13" x14ac:dyDescent="0.25">
      <c r="A1395" t="s">
        <v>4313</v>
      </c>
      <c r="B1395" cm="1">
        <f t="array" aca="1" ref="B1395" ca="1">INDIRECT(A1395)</f>
        <v>0</v>
      </c>
      <c r="C1395">
        <f t="shared" ca="1" si="84"/>
        <v>6</v>
      </c>
      <c r="D1395" t="str" cm="1">
        <f t="array" aca="1" ref="D1395" ca="1">CELL("nomfichier",INDIRECT(A1395))</f>
        <v>G:\SCPE\sdc\bq\6 - Mentions valorisantes\Certification environnementale\TEXTES_REGLEMENTATION_CE\Plans_contrôle et grilles\Grille audit niveau 3\Grille d'audit v1.11\[grille-audit-hvev4-v1.11-vf.xlsx]Biodiversité</v>
      </c>
      <c r="E1395">
        <f t="shared" ca="1" si="85"/>
        <v>200</v>
      </c>
      <c r="F1395">
        <f t="shared" ca="1" si="86"/>
        <v>212</v>
      </c>
      <c r="G1395" t="str">
        <f t="shared" ca="1" si="87"/>
        <v>Biodiversité</v>
      </c>
      <c r="H1395" cm="1">
        <f t="array" aca="1" ref="H1395" ca="1">ROW(INDIRECT(A1395))</f>
        <v>27</v>
      </c>
      <c r="I1395" cm="1">
        <f t="array" aca="1" ref="I1395" ca="1">COLUMN(INDIRECT(A1395))</f>
        <v>23</v>
      </c>
      <c r="M1395" t="str" cm="1">
        <f t="array" aca="1" ref="M1395" ca="1">IF(AND(J1395="O",ISBLANK(INDIRECT(A1395))),"Valeur obligatoire non renseignée","")</f>
        <v/>
      </c>
    </row>
    <row r="1396" spans="1:13" x14ac:dyDescent="0.25">
      <c r="A1396" t="s">
        <v>4314</v>
      </c>
      <c r="B1396" cm="1">
        <f t="array" aca="1" ref="B1396" ca="1">INDIRECT(A1396)</f>
        <v>0</v>
      </c>
      <c r="C1396">
        <f t="shared" ca="1" si="84"/>
        <v>6</v>
      </c>
      <c r="D1396" t="str" cm="1">
        <f t="array" aca="1" ref="D1396" ca="1">CELL("nomfichier",INDIRECT(A1396))</f>
        <v>G:\SCPE\sdc\bq\6 - Mentions valorisantes\Certification environnementale\TEXTES_REGLEMENTATION_CE\Plans_contrôle et grilles\Grille audit niveau 3\Grille d'audit v1.11\[grille-audit-hvev4-v1.11-vf.xlsx]Biodiversité</v>
      </c>
      <c r="E1396">
        <f t="shared" ca="1" si="85"/>
        <v>200</v>
      </c>
      <c r="F1396">
        <f t="shared" ca="1" si="86"/>
        <v>212</v>
      </c>
      <c r="G1396" t="str">
        <f t="shared" ca="1" si="87"/>
        <v>Biodiversité</v>
      </c>
      <c r="H1396" cm="1">
        <f t="array" aca="1" ref="H1396" ca="1">ROW(INDIRECT(A1396))</f>
        <v>27</v>
      </c>
      <c r="I1396" cm="1">
        <f t="array" aca="1" ref="I1396" ca="1">COLUMN(INDIRECT(A1396))</f>
        <v>25</v>
      </c>
      <c r="M1396" t="str" cm="1">
        <f t="array" aca="1" ref="M1396" ca="1">IF(AND(J1396="O",ISBLANK(INDIRECT(A1396))),"Valeur obligatoire non renseignée","")</f>
        <v/>
      </c>
    </row>
    <row r="1397" spans="1:13" x14ac:dyDescent="0.25">
      <c r="A1397" t="s">
        <v>4490</v>
      </c>
      <c r="B1397" cm="1">
        <f t="array" aca="1" ref="B1397" ca="1">INDIRECT(A1397)</f>
        <v>0</v>
      </c>
      <c r="C1397">
        <f t="shared" ca="1" si="84"/>
        <v>6</v>
      </c>
      <c r="D1397" t="str" cm="1">
        <f t="array" aca="1" ref="D1397" ca="1">CELL("nomfichier",INDIRECT(A1397))</f>
        <v>G:\SCPE\sdc\bq\6 - Mentions valorisantes\Certification environnementale\TEXTES_REGLEMENTATION_CE\Plans_contrôle et grilles\Grille audit niveau 3\Grille d'audit v1.11\[grille-audit-hvev4-v1.11-vf.xlsx]Biodiversité</v>
      </c>
      <c r="E1397">
        <f t="shared" ca="1" si="85"/>
        <v>200</v>
      </c>
      <c r="F1397">
        <f t="shared" ca="1" si="86"/>
        <v>212</v>
      </c>
      <c r="G1397" t="str">
        <f t="shared" ca="1" si="87"/>
        <v>Biodiversité</v>
      </c>
      <c r="H1397" cm="1">
        <f t="array" aca="1" ref="H1397" ca="1">ROW(INDIRECT(A1397))</f>
        <v>28</v>
      </c>
      <c r="I1397" cm="1">
        <f t="array" aca="1" ref="I1397" ca="1">COLUMN(INDIRECT(A1397))</f>
        <v>18</v>
      </c>
      <c r="M1397" t="str" cm="1">
        <f t="array" aca="1" ref="M1397" ca="1">IF(AND(J1397="O",ISBLANK(INDIRECT(A1397))),"Valeur obligatoire non renseignée","")</f>
        <v/>
      </c>
    </row>
    <row r="1398" spans="1:13" x14ac:dyDescent="0.25">
      <c r="A1398" t="s">
        <v>4491</v>
      </c>
      <c r="B1398" t="str" cm="1">
        <f t="array" aca="1" ref="B1398" ca="1">INDIRECT(A1398)</f>
        <v>hectares</v>
      </c>
      <c r="C1398">
        <f t="shared" ca="1" si="84"/>
        <v>6</v>
      </c>
      <c r="D1398" t="str" cm="1">
        <f t="array" aca="1" ref="D1398" ca="1">CELL("nomfichier",INDIRECT(A1398))</f>
        <v>G:\SCPE\sdc\bq\6 - Mentions valorisantes\Certification environnementale\TEXTES_REGLEMENTATION_CE\Plans_contrôle et grilles\Grille audit niveau 3\Grille d'audit v1.11\[grille-audit-hvev4-v1.11-vf.xlsx]Biodiversité</v>
      </c>
      <c r="E1398">
        <f t="shared" ca="1" si="85"/>
        <v>200</v>
      </c>
      <c r="F1398">
        <f t="shared" ca="1" si="86"/>
        <v>212</v>
      </c>
      <c r="G1398" t="str">
        <f t="shared" ca="1" si="87"/>
        <v>Biodiversité</v>
      </c>
      <c r="H1398" cm="1">
        <f t="array" aca="1" ref="H1398" ca="1">ROW(INDIRECT(A1398))</f>
        <v>28</v>
      </c>
      <c r="I1398" cm="1">
        <f t="array" aca="1" ref="I1398" ca="1">COLUMN(INDIRECT(A1398))</f>
        <v>20</v>
      </c>
      <c r="M1398" t="str" cm="1">
        <f t="array" aca="1" ref="M1398" ca="1">IF(AND(J1398="O",ISBLANK(INDIRECT(A1398))),"Valeur obligatoire non renseignée","")</f>
        <v/>
      </c>
    </row>
    <row r="1399" spans="1:13" x14ac:dyDescent="0.25">
      <c r="A1399" t="s">
        <v>4489</v>
      </c>
      <c r="B1399" cm="1">
        <f t="array" aca="1" ref="B1399" ca="1">INDIRECT(A1399)</f>
        <v>0</v>
      </c>
      <c r="C1399">
        <f t="shared" ca="1" si="84"/>
        <v>6</v>
      </c>
      <c r="D1399" t="str" cm="1">
        <f t="array" aca="1" ref="D1399" ca="1">CELL("nomfichier",INDIRECT(A1399))</f>
        <v>G:\SCPE\sdc\bq\6 - Mentions valorisantes\Certification environnementale\TEXTES_REGLEMENTATION_CE\Plans_contrôle et grilles\Grille audit niveau 3\Grille d'audit v1.11\[grille-audit-hvev4-v1.11-vf.xlsx]Biodiversité</v>
      </c>
      <c r="E1399">
        <f t="shared" ca="1" si="85"/>
        <v>200</v>
      </c>
      <c r="F1399">
        <f t="shared" ca="1" si="86"/>
        <v>212</v>
      </c>
      <c r="G1399" t="str">
        <f t="shared" ca="1" si="87"/>
        <v>Biodiversité</v>
      </c>
      <c r="H1399" cm="1">
        <f t="array" aca="1" ref="H1399" ca="1">ROW(INDIRECT(A1399))</f>
        <v>28</v>
      </c>
      <c r="I1399" cm="1">
        <f t="array" aca="1" ref="I1399" ca="1">COLUMN(INDIRECT(A1399))</f>
        <v>25</v>
      </c>
      <c r="M1399" t="str" cm="1">
        <f t="array" aca="1" ref="M1399" ca="1">IF(AND(J1399="O",ISBLANK(INDIRECT(A1399))),"Valeur obligatoire non renseignée","")</f>
        <v/>
      </c>
    </row>
    <row r="1400" spans="1:13" x14ac:dyDescent="0.25">
      <c r="A1400" t="s">
        <v>4484</v>
      </c>
      <c r="B1400" cm="1">
        <f t="array" aca="1" ref="B1400" ca="1">INDIRECT(A1400)</f>
        <v>0</v>
      </c>
      <c r="C1400">
        <f t="shared" ca="1" si="84"/>
        <v>6</v>
      </c>
      <c r="D1400" t="str" cm="1">
        <f t="array" aca="1" ref="D1400" ca="1">CELL("nomfichier",INDIRECT(A1400))</f>
        <v>G:\SCPE\sdc\bq\6 - Mentions valorisantes\Certification environnementale\TEXTES_REGLEMENTATION_CE\Plans_contrôle et grilles\Grille audit niveau 3\Grille d'audit v1.11\[grille-audit-hvev4-v1.11-vf.xlsx]Biodiversité</v>
      </c>
      <c r="E1400">
        <f t="shared" ca="1" si="85"/>
        <v>200</v>
      </c>
      <c r="F1400">
        <f t="shared" ca="1" si="86"/>
        <v>212</v>
      </c>
      <c r="G1400" t="str">
        <f t="shared" ca="1" si="87"/>
        <v>Biodiversité</v>
      </c>
      <c r="H1400" cm="1">
        <f t="array" aca="1" ref="H1400" ca="1">ROW(INDIRECT(A1400))</f>
        <v>29</v>
      </c>
      <c r="I1400" cm="1">
        <f t="array" aca="1" ref="I1400" ca="1">COLUMN(INDIRECT(A1400))</f>
        <v>18</v>
      </c>
      <c r="M1400" t="str" cm="1">
        <f t="array" aca="1" ref="M1400" ca="1">IF(AND(J1400="O",ISBLANK(INDIRECT(A1400))),"Valeur obligatoire non renseignée","")</f>
        <v/>
      </c>
    </row>
    <row r="1401" spans="1:13" x14ac:dyDescent="0.25">
      <c r="A1401" t="s">
        <v>4485</v>
      </c>
      <c r="B1401" t="str" cm="1">
        <f t="array" aca="1" ref="B1401" ca="1">INDIRECT(A1401)</f>
        <v>hectares</v>
      </c>
      <c r="C1401">
        <f t="shared" ca="1" si="84"/>
        <v>6</v>
      </c>
      <c r="D1401" t="str" cm="1">
        <f t="array" aca="1" ref="D1401" ca="1">CELL("nomfichier",INDIRECT(A1401))</f>
        <v>G:\SCPE\sdc\bq\6 - Mentions valorisantes\Certification environnementale\TEXTES_REGLEMENTATION_CE\Plans_contrôle et grilles\Grille audit niveau 3\Grille d'audit v1.11\[grille-audit-hvev4-v1.11-vf.xlsx]Biodiversité</v>
      </c>
      <c r="E1401">
        <f t="shared" ca="1" si="85"/>
        <v>200</v>
      </c>
      <c r="F1401">
        <f t="shared" ca="1" si="86"/>
        <v>212</v>
      </c>
      <c r="G1401" t="str">
        <f t="shared" ca="1" si="87"/>
        <v>Biodiversité</v>
      </c>
      <c r="H1401" cm="1">
        <f t="array" aca="1" ref="H1401" ca="1">ROW(INDIRECT(A1401))</f>
        <v>29</v>
      </c>
      <c r="I1401" cm="1">
        <f t="array" aca="1" ref="I1401" ca="1">COLUMN(INDIRECT(A1401))</f>
        <v>20</v>
      </c>
      <c r="M1401" t="str" cm="1">
        <f t="array" aca="1" ref="M1401" ca="1">IF(AND(J1401="O",ISBLANK(INDIRECT(A1401))),"Valeur obligatoire non renseignée","")</f>
        <v/>
      </c>
    </row>
    <row r="1402" spans="1:13" x14ac:dyDescent="0.25">
      <c r="A1402" t="s">
        <v>4483</v>
      </c>
      <c r="B1402" cm="1">
        <f t="array" aca="1" ref="B1402" ca="1">INDIRECT(A1402)</f>
        <v>0</v>
      </c>
      <c r="C1402">
        <f t="shared" ca="1" si="84"/>
        <v>6</v>
      </c>
      <c r="D1402" t="str" cm="1">
        <f t="array" aca="1" ref="D1402" ca="1">CELL("nomfichier",INDIRECT(A1402))</f>
        <v>G:\SCPE\sdc\bq\6 - Mentions valorisantes\Certification environnementale\TEXTES_REGLEMENTATION_CE\Plans_contrôle et grilles\Grille audit niveau 3\Grille d'audit v1.11\[grille-audit-hvev4-v1.11-vf.xlsx]Biodiversité</v>
      </c>
      <c r="E1402">
        <f t="shared" ca="1" si="85"/>
        <v>200</v>
      </c>
      <c r="F1402">
        <f t="shared" ca="1" si="86"/>
        <v>212</v>
      </c>
      <c r="G1402" t="str">
        <f t="shared" ca="1" si="87"/>
        <v>Biodiversité</v>
      </c>
      <c r="H1402" cm="1">
        <f t="array" aca="1" ref="H1402" ca="1">ROW(INDIRECT(A1402))</f>
        <v>29</v>
      </c>
      <c r="I1402" cm="1">
        <f t="array" aca="1" ref="I1402" ca="1">COLUMN(INDIRECT(A1402))</f>
        <v>25</v>
      </c>
      <c r="M1402" t="str" cm="1">
        <f t="array" aca="1" ref="M1402" ca="1">IF(AND(J1402="O",ISBLANK(INDIRECT(A1402))),"Valeur obligatoire non renseignée","")</f>
        <v/>
      </c>
    </row>
    <row r="1403" spans="1:13" x14ac:dyDescent="0.25">
      <c r="A1403" t="s">
        <v>4267</v>
      </c>
      <c r="B1403" cm="1">
        <f t="array" aca="1" ref="B1403" ca="1">INDIRECT(A1403)</f>
        <v>0</v>
      </c>
      <c r="C1403">
        <f t="shared" ca="1" si="84"/>
        <v>6</v>
      </c>
      <c r="D1403" t="str" cm="1">
        <f t="array" aca="1" ref="D1403" ca="1">CELL("nomfichier",INDIRECT(A1403))</f>
        <v>G:\SCPE\sdc\bq\6 - Mentions valorisantes\Certification environnementale\TEXTES_REGLEMENTATION_CE\Plans_contrôle et grilles\Grille audit niveau 3\Grille d'audit v1.11\[grille-audit-hvev4-v1.11-vf.xlsx]Biodiversité</v>
      </c>
      <c r="E1403">
        <f t="shared" ca="1" si="85"/>
        <v>200</v>
      </c>
      <c r="F1403">
        <f t="shared" ca="1" si="86"/>
        <v>212</v>
      </c>
      <c r="G1403" t="str">
        <f t="shared" ca="1" si="87"/>
        <v>Biodiversité</v>
      </c>
      <c r="H1403" cm="1">
        <f t="array" aca="1" ref="H1403" ca="1">ROW(INDIRECT(A1403))</f>
        <v>30</v>
      </c>
      <c r="I1403" cm="1">
        <f t="array" aca="1" ref="I1403" ca="1">COLUMN(INDIRECT(A1403))</f>
        <v>18</v>
      </c>
      <c r="M1403" t="str" cm="1">
        <f t="array" aca="1" ref="M1403" ca="1">IF(AND(J1403="O",ISBLANK(INDIRECT(A1403))),"Valeur obligatoire non renseignée","")</f>
        <v/>
      </c>
    </row>
    <row r="1404" spans="1:13" x14ac:dyDescent="0.25">
      <c r="A1404" t="s">
        <v>4268</v>
      </c>
      <c r="B1404" t="str" cm="1">
        <f t="array" aca="1" ref="B1404" ca="1">INDIRECT(A1404)</f>
        <v>m linéaire</v>
      </c>
      <c r="C1404">
        <f t="shared" ca="1" si="84"/>
        <v>6</v>
      </c>
      <c r="D1404" t="str" cm="1">
        <f t="array" aca="1" ref="D1404" ca="1">CELL("nomfichier",INDIRECT(A1404))</f>
        <v>G:\SCPE\sdc\bq\6 - Mentions valorisantes\Certification environnementale\TEXTES_REGLEMENTATION_CE\Plans_contrôle et grilles\Grille audit niveau 3\Grille d'audit v1.11\[grille-audit-hvev4-v1.11-vf.xlsx]Biodiversité</v>
      </c>
      <c r="E1404">
        <f t="shared" ca="1" si="85"/>
        <v>200</v>
      </c>
      <c r="F1404">
        <f t="shared" ca="1" si="86"/>
        <v>212</v>
      </c>
      <c r="G1404" t="str">
        <f t="shared" ca="1" si="87"/>
        <v>Biodiversité</v>
      </c>
      <c r="H1404" cm="1">
        <f t="array" aca="1" ref="H1404" ca="1">ROW(INDIRECT(A1404))</f>
        <v>30</v>
      </c>
      <c r="I1404" cm="1">
        <f t="array" aca="1" ref="I1404" ca="1">COLUMN(INDIRECT(A1404))</f>
        <v>20</v>
      </c>
      <c r="M1404" t="str" cm="1">
        <f t="array" aca="1" ref="M1404" ca="1">IF(AND(J1404="O",ISBLANK(INDIRECT(A1404))),"Valeur obligatoire non renseignée","")</f>
        <v/>
      </c>
    </row>
    <row r="1405" spans="1:13" x14ac:dyDescent="0.25">
      <c r="A1405" t="s">
        <v>4266</v>
      </c>
      <c r="B1405" cm="1">
        <f t="array" aca="1" ref="B1405" ca="1">INDIRECT(A1405)</f>
        <v>0</v>
      </c>
      <c r="C1405">
        <f t="shared" ca="1" si="84"/>
        <v>6</v>
      </c>
      <c r="D1405" t="str" cm="1">
        <f t="array" aca="1" ref="D1405" ca="1">CELL("nomfichier",INDIRECT(A1405))</f>
        <v>G:\SCPE\sdc\bq\6 - Mentions valorisantes\Certification environnementale\TEXTES_REGLEMENTATION_CE\Plans_contrôle et grilles\Grille audit niveau 3\Grille d'audit v1.11\[grille-audit-hvev4-v1.11-vf.xlsx]Biodiversité</v>
      </c>
      <c r="E1405">
        <f t="shared" ca="1" si="85"/>
        <v>200</v>
      </c>
      <c r="F1405">
        <f t="shared" ca="1" si="86"/>
        <v>212</v>
      </c>
      <c r="G1405" t="str">
        <f t="shared" ca="1" si="87"/>
        <v>Biodiversité</v>
      </c>
      <c r="H1405" cm="1">
        <f t="array" aca="1" ref="H1405" ca="1">ROW(INDIRECT(A1405))</f>
        <v>30</v>
      </c>
      <c r="I1405" cm="1">
        <f t="array" aca="1" ref="I1405" ca="1">COLUMN(INDIRECT(A1405))</f>
        <v>25</v>
      </c>
      <c r="M1405" t="str" cm="1">
        <f t="array" aca="1" ref="M1405" ca="1">IF(AND(J1405="O",ISBLANK(INDIRECT(A1405))),"Valeur obligatoire non renseignée","")</f>
        <v/>
      </c>
    </row>
    <row r="1406" spans="1:13" x14ac:dyDescent="0.25">
      <c r="A1406" t="s">
        <v>4402</v>
      </c>
      <c r="B1406" cm="1">
        <f t="array" aca="1" ref="B1406" ca="1">INDIRECT(A1406)</f>
        <v>0</v>
      </c>
      <c r="C1406">
        <f t="shared" ca="1" si="84"/>
        <v>6</v>
      </c>
      <c r="D1406" t="str" cm="1">
        <f t="array" aca="1" ref="D1406" ca="1">CELL("nomfichier",INDIRECT(A1406))</f>
        <v>G:\SCPE\sdc\bq\6 - Mentions valorisantes\Certification environnementale\TEXTES_REGLEMENTATION_CE\Plans_contrôle et grilles\Grille audit niveau 3\Grille d'audit v1.11\[grille-audit-hvev4-v1.11-vf.xlsx]Biodiversité</v>
      </c>
      <c r="E1406">
        <f t="shared" ca="1" si="85"/>
        <v>200</v>
      </c>
      <c r="F1406">
        <f t="shared" ca="1" si="86"/>
        <v>212</v>
      </c>
      <c r="G1406" t="str">
        <f t="shared" ca="1" si="87"/>
        <v>Biodiversité</v>
      </c>
      <c r="H1406" cm="1">
        <f t="array" aca="1" ref="H1406" ca="1">ROW(INDIRECT(A1406))</f>
        <v>31</v>
      </c>
      <c r="I1406" cm="1">
        <f t="array" aca="1" ref="I1406" ca="1">COLUMN(INDIRECT(A1406))</f>
        <v>18</v>
      </c>
      <c r="M1406" t="str" cm="1">
        <f t="array" aca="1" ref="M1406" ca="1">IF(AND(J1406="O",ISBLANK(INDIRECT(A1406))),"Valeur obligatoire non renseignée","")</f>
        <v/>
      </c>
    </row>
    <row r="1407" spans="1:13" x14ac:dyDescent="0.25">
      <c r="A1407" t="s">
        <v>4403</v>
      </c>
      <c r="B1407" t="str" cm="1">
        <f t="array" aca="1" ref="B1407" ca="1">INDIRECT(A1407)</f>
        <v>hectares</v>
      </c>
      <c r="C1407">
        <f t="shared" ca="1" si="84"/>
        <v>6</v>
      </c>
      <c r="D1407" t="str" cm="1">
        <f t="array" aca="1" ref="D1407" ca="1">CELL("nomfichier",INDIRECT(A1407))</f>
        <v>G:\SCPE\sdc\bq\6 - Mentions valorisantes\Certification environnementale\TEXTES_REGLEMENTATION_CE\Plans_contrôle et grilles\Grille audit niveau 3\Grille d'audit v1.11\[grille-audit-hvev4-v1.11-vf.xlsx]Biodiversité</v>
      </c>
      <c r="E1407">
        <f t="shared" ca="1" si="85"/>
        <v>200</v>
      </c>
      <c r="F1407">
        <f t="shared" ca="1" si="86"/>
        <v>212</v>
      </c>
      <c r="G1407" t="str">
        <f t="shared" ca="1" si="87"/>
        <v>Biodiversité</v>
      </c>
      <c r="H1407" cm="1">
        <f t="array" aca="1" ref="H1407" ca="1">ROW(INDIRECT(A1407))</f>
        <v>31</v>
      </c>
      <c r="I1407" cm="1">
        <f t="array" aca="1" ref="I1407" ca="1">COLUMN(INDIRECT(A1407))</f>
        <v>20</v>
      </c>
      <c r="M1407" t="str" cm="1">
        <f t="array" aca="1" ref="M1407" ca="1">IF(AND(J1407="O",ISBLANK(INDIRECT(A1407))),"Valeur obligatoire non renseignée","")</f>
        <v/>
      </c>
    </row>
    <row r="1408" spans="1:13" x14ac:dyDescent="0.25">
      <c r="A1408" t="s">
        <v>4401</v>
      </c>
      <c r="B1408" cm="1">
        <f t="array" aca="1" ref="B1408" ca="1">INDIRECT(A1408)</f>
        <v>0</v>
      </c>
      <c r="C1408">
        <f t="shared" ca="1" si="84"/>
        <v>6</v>
      </c>
      <c r="D1408" t="str" cm="1">
        <f t="array" aca="1" ref="D1408" ca="1">CELL("nomfichier",INDIRECT(A1408))</f>
        <v>G:\SCPE\sdc\bq\6 - Mentions valorisantes\Certification environnementale\TEXTES_REGLEMENTATION_CE\Plans_contrôle et grilles\Grille audit niveau 3\Grille d'audit v1.11\[grille-audit-hvev4-v1.11-vf.xlsx]Biodiversité</v>
      </c>
      <c r="E1408">
        <f t="shared" ca="1" si="85"/>
        <v>200</v>
      </c>
      <c r="F1408">
        <f t="shared" ca="1" si="86"/>
        <v>212</v>
      </c>
      <c r="G1408" t="str">
        <f t="shared" ca="1" si="87"/>
        <v>Biodiversité</v>
      </c>
      <c r="H1408" cm="1">
        <f t="array" aca="1" ref="H1408" ca="1">ROW(INDIRECT(A1408))</f>
        <v>31</v>
      </c>
      <c r="I1408" cm="1">
        <f t="array" aca="1" ref="I1408" ca="1">COLUMN(INDIRECT(A1408))</f>
        <v>25</v>
      </c>
      <c r="M1408" t="str" cm="1">
        <f t="array" aca="1" ref="M1408" ca="1">IF(AND(J1408="O",ISBLANK(INDIRECT(A1408))),"Valeur obligatoire non renseignée","")</f>
        <v/>
      </c>
    </row>
    <row r="1409" spans="1:13" x14ac:dyDescent="0.25">
      <c r="A1409" t="s">
        <v>4487</v>
      </c>
      <c r="B1409" cm="1">
        <f t="array" aca="1" ref="B1409" ca="1">INDIRECT(A1409)</f>
        <v>0</v>
      </c>
      <c r="C1409">
        <f t="shared" ca="1" si="84"/>
        <v>6</v>
      </c>
      <c r="D1409" t="str" cm="1">
        <f t="array" aca="1" ref="D1409" ca="1">CELL("nomfichier",INDIRECT(A1409))</f>
        <v>G:\SCPE\sdc\bq\6 - Mentions valorisantes\Certification environnementale\TEXTES_REGLEMENTATION_CE\Plans_contrôle et grilles\Grille audit niveau 3\Grille d'audit v1.11\[grille-audit-hvev4-v1.11-vf.xlsx]Biodiversité</v>
      </c>
      <c r="E1409">
        <f t="shared" ca="1" si="85"/>
        <v>200</v>
      </c>
      <c r="F1409">
        <f t="shared" ca="1" si="86"/>
        <v>212</v>
      </c>
      <c r="G1409" t="str">
        <f t="shared" ca="1" si="87"/>
        <v>Biodiversité</v>
      </c>
      <c r="H1409" cm="1">
        <f t="array" aca="1" ref="H1409" ca="1">ROW(INDIRECT(A1409))</f>
        <v>32</v>
      </c>
      <c r="I1409" cm="1">
        <f t="array" aca="1" ref="I1409" ca="1">COLUMN(INDIRECT(A1409))</f>
        <v>18</v>
      </c>
      <c r="M1409" t="str" cm="1">
        <f t="array" aca="1" ref="M1409" ca="1">IF(AND(J1409="O",ISBLANK(INDIRECT(A1409))),"Valeur obligatoire non renseignée","")</f>
        <v/>
      </c>
    </row>
    <row r="1410" spans="1:13" x14ac:dyDescent="0.25">
      <c r="A1410" t="s">
        <v>4488</v>
      </c>
      <c r="B1410" t="str" cm="1">
        <f t="array" aca="1" ref="B1410" ca="1">INDIRECT(A1410)</f>
        <v>m linéaire</v>
      </c>
      <c r="C1410">
        <f t="shared" ref="C1410:C1473" ca="1" si="88">_xlfn.SHEET(INDIRECT(A1410))</f>
        <v>6</v>
      </c>
      <c r="D1410" t="str" cm="1">
        <f t="array" aca="1" ref="D1410" ca="1">CELL("nomfichier",INDIRECT(A1410))</f>
        <v>G:\SCPE\sdc\bq\6 - Mentions valorisantes\Certification environnementale\TEXTES_REGLEMENTATION_CE\Plans_contrôle et grilles\Grille audit niveau 3\Grille d'audit v1.11\[grille-audit-hvev4-v1.11-vf.xlsx]Biodiversité</v>
      </c>
      <c r="E1410">
        <f t="shared" ref="E1410:E1473" ca="1" si="89">FIND("]",D1410)</f>
        <v>200</v>
      </c>
      <c r="F1410">
        <f t="shared" ref="F1410:F1473" ca="1" si="90">LEN(D1410)</f>
        <v>212</v>
      </c>
      <c r="G1410" t="str">
        <f t="shared" ref="G1410:G1473" ca="1" si="91">RIGHT(D1410,F1410-E1410)</f>
        <v>Biodiversité</v>
      </c>
      <c r="H1410" cm="1">
        <f t="array" aca="1" ref="H1410" ca="1">ROW(INDIRECT(A1410))</f>
        <v>32</v>
      </c>
      <c r="I1410" cm="1">
        <f t="array" aca="1" ref="I1410" ca="1">COLUMN(INDIRECT(A1410))</f>
        <v>20</v>
      </c>
      <c r="M1410" t="str" cm="1">
        <f t="array" aca="1" ref="M1410" ca="1">IF(AND(J1410="O",ISBLANK(INDIRECT(A1410))),"Valeur obligatoire non renseignée","")</f>
        <v/>
      </c>
    </row>
    <row r="1411" spans="1:13" x14ac:dyDescent="0.25">
      <c r="A1411" t="s">
        <v>4486</v>
      </c>
      <c r="B1411" cm="1">
        <f t="array" aca="1" ref="B1411" ca="1">INDIRECT(A1411)</f>
        <v>0</v>
      </c>
      <c r="C1411">
        <f t="shared" ca="1" si="88"/>
        <v>6</v>
      </c>
      <c r="D1411" t="str" cm="1">
        <f t="array" aca="1" ref="D1411" ca="1">CELL("nomfichier",INDIRECT(A1411))</f>
        <v>G:\SCPE\sdc\bq\6 - Mentions valorisantes\Certification environnementale\TEXTES_REGLEMENTATION_CE\Plans_contrôle et grilles\Grille audit niveau 3\Grille d'audit v1.11\[grille-audit-hvev4-v1.11-vf.xlsx]Biodiversité</v>
      </c>
      <c r="E1411">
        <f t="shared" ca="1" si="89"/>
        <v>200</v>
      </c>
      <c r="F1411">
        <f t="shared" ca="1" si="90"/>
        <v>212</v>
      </c>
      <c r="G1411" t="str">
        <f t="shared" ca="1" si="91"/>
        <v>Biodiversité</v>
      </c>
      <c r="H1411" cm="1">
        <f t="array" aca="1" ref="H1411" ca="1">ROW(INDIRECT(A1411))</f>
        <v>32</v>
      </c>
      <c r="I1411" cm="1">
        <f t="array" aca="1" ref="I1411" ca="1">COLUMN(INDIRECT(A1411))</f>
        <v>25</v>
      </c>
      <c r="M1411" t="str" cm="1">
        <f t="array" aca="1" ref="M1411" ca="1">IF(AND(J1411="O",ISBLANK(INDIRECT(A1411))),"Valeur obligatoire non renseignée","")</f>
        <v/>
      </c>
    </row>
    <row r="1412" spans="1:13" x14ac:dyDescent="0.25">
      <c r="A1412" t="s">
        <v>4264</v>
      </c>
      <c r="B1412" cm="1">
        <f t="array" aca="1" ref="B1412" ca="1">INDIRECT(A1412)</f>
        <v>0</v>
      </c>
      <c r="C1412">
        <f t="shared" ca="1" si="88"/>
        <v>6</v>
      </c>
      <c r="D1412" t="str" cm="1">
        <f t="array" aca="1" ref="D1412" ca="1">CELL("nomfichier",INDIRECT(A1412))</f>
        <v>G:\SCPE\sdc\bq\6 - Mentions valorisantes\Certification environnementale\TEXTES_REGLEMENTATION_CE\Plans_contrôle et grilles\Grille audit niveau 3\Grille d'audit v1.11\[grille-audit-hvev4-v1.11-vf.xlsx]Biodiversité</v>
      </c>
      <c r="E1412">
        <f t="shared" ca="1" si="89"/>
        <v>200</v>
      </c>
      <c r="F1412">
        <f t="shared" ca="1" si="90"/>
        <v>212</v>
      </c>
      <c r="G1412" t="str">
        <f t="shared" ca="1" si="91"/>
        <v>Biodiversité</v>
      </c>
      <c r="H1412" cm="1">
        <f t="array" aca="1" ref="H1412" ca="1">ROW(INDIRECT(A1412))</f>
        <v>33</v>
      </c>
      <c r="I1412" cm="1">
        <f t="array" aca="1" ref="I1412" ca="1">COLUMN(INDIRECT(A1412))</f>
        <v>18</v>
      </c>
      <c r="M1412" t="str" cm="1">
        <f t="array" aca="1" ref="M1412" ca="1">IF(AND(J1412="O",ISBLANK(INDIRECT(A1412))),"Valeur obligatoire non renseignée","")</f>
        <v/>
      </c>
    </row>
    <row r="1413" spans="1:13" x14ac:dyDescent="0.25">
      <c r="A1413" t="s">
        <v>4265</v>
      </c>
      <c r="B1413" t="str" cm="1">
        <f t="array" aca="1" ref="B1413" ca="1">INDIRECT(A1413)</f>
        <v>hectares</v>
      </c>
      <c r="C1413">
        <f t="shared" ca="1" si="88"/>
        <v>6</v>
      </c>
      <c r="D1413" t="str" cm="1">
        <f t="array" aca="1" ref="D1413" ca="1">CELL("nomfichier",INDIRECT(A1413))</f>
        <v>G:\SCPE\sdc\bq\6 - Mentions valorisantes\Certification environnementale\TEXTES_REGLEMENTATION_CE\Plans_contrôle et grilles\Grille audit niveau 3\Grille d'audit v1.11\[grille-audit-hvev4-v1.11-vf.xlsx]Biodiversité</v>
      </c>
      <c r="E1413">
        <f t="shared" ca="1" si="89"/>
        <v>200</v>
      </c>
      <c r="F1413">
        <f t="shared" ca="1" si="90"/>
        <v>212</v>
      </c>
      <c r="G1413" t="str">
        <f t="shared" ca="1" si="91"/>
        <v>Biodiversité</v>
      </c>
      <c r="H1413" cm="1">
        <f t="array" aca="1" ref="H1413" ca="1">ROW(INDIRECT(A1413))</f>
        <v>33</v>
      </c>
      <c r="I1413" cm="1">
        <f t="array" aca="1" ref="I1413" ca="1">COLUMN(INDIRECT(A1413))</f>
        <v>20</v>
      </c>
      <c r="M1413" t="str" cm="1">
        <f t="array" aca="1" ref="M1413" ca="1">IF(AND(J1413="O",ISBLANK(INDIRECT(A1413))),"Valeur obligatoire non renseignée","")</f>
        <v/>
      </c>
    </row>
    <row r="1414" spans="1:13" x14ac:dyDescent="0.25">
      <c r="A1414" t="s">
        <v>4263</v>
      </c>
      <c r="B1414" cm="1">
        <f t="array" aca="1" ref="B1414" ca="1">INDIRECT(A1414)</f>
        <v>0</v>
      </c>
      <c r="C1414">
        <f t="shared" ca="1" si="88"/>
        <v>6</v>
      </c>
      <c r="D1414" t="str" cm="1">
        <f t="array" aca="1" ref="D1414" ca="1">CELL("nomfichier",INDIRECT(A1414))</f>
        <v>G:\SCPE\sdc\bq\6 - Mentions valorisantes\Certification environnementale\TEXTES_REGLEMENTATION_CE\Plans_contrôle et grilles\Grille audit niveau 3\Grille d'audit v1.11\[grille-audit-hvev4-v1.11-vf.xlsx]Biodiversité</v>
      </c>
      <c r="E1414">
        <f t="shared" ca="1" si="89"/>
        <v>200</v>
      </c>
      <c r="F1414">
        <f t="shared" ca="1" si="90"/>
        <v>212</v>
      </c>
      <c r="G1414" t="str">
        <f t="shared" ca="1" si="91"/>
        <v>Biodiversité</v>
      </c>
      <c r="H1414" cm="1">
        <f t="array" aca="1" ref="H1414" ca="1">ROW(INDIRECT(A1414))</f>
        <v>33</v>
      </c>
      <c r="I1414" cm="1">
        <f t="array" aca="1" ref="I1414" ca="1">COLUMN(INDIRECT(A1414))</f>
        <v>25</v>
      </c>
      <c r="M1414" t="str" cm="1">
        <f t="array" aca="1" ref="M1414" ca="1">IF(AND(J1414="O",ISBLANK(INDIRECT(A1414))),"Valeur obligatoire non renseignée","")</f>
        <v/>
      </c>
    </row>
    <row r="1415" spans="1:13" x14ac:dyDescent="0.25">
      <c r="A1415" t="s">
        <v>4260</v>
      </c>
      <c r="B1415" cm="1">
        <f t="array" aca="1" ref="B1415" ca="1">INDIRECT(A1415)</f>
        <v>0</v>
      </c>
      <c r="C1415">
        <f t="shared" ca="1" si="88"/>
        <v>6</v>
      </c>
      <c r="D1415" t="str" cm="1">
        <f t="array" aca="1" ref="D1415" ca="1">CELL("nomfichier",INDIRECT(A1415))</f>
        <v>G:\SCPE\sdc\bq\6 - Mentions valorisantes\Certification environnementale\TEXTES_REGLEMENTATION_CE\Plans_contrôle et grilles\Grille audit niveau 3\Grille d'audit v1.11\[grille-audit-hvev4-v1.11-vf.xlsx]Biodiversité</v>
      </c>
      <c r="E1415">
        <f t="shared" ca="1" si="89"/>
        <v>200</v>
      </c>
      <c r="F1415">
        <f t="shared" ca="1" si="90"/>
        <v>212</v>
      </c>
      <c r="G1415" t="str">
        <f t="shared" ca="1" si="91"/>
        <v>Biodiversité</v>
      </c>
      <c r="H1415" cm="1">
        <f t="array" aca="1" ref="H1415" ca="1">ROW(INDIRECT(A1415))</f>
        <v>34</v>
      </c>
      <c r="I1415" cm="1">
        <f t="array" aca="1" ref="I1415" ca="1">COLUMN(INDIRECT(A1415))</f>
        <v>18</v>
      </c>
      <c r="M1415" t="str" cm="1">
        <f t="array" aca="1" ref="M1415" ca="1">IF(AND(J1415="O",ISBLANK(INDIRECT(A1415))),"Valeur obligatoire non renseignée","")</f>
        <v/>
      </c>
    </row>
    <row r="1416" spans="1:13" x14ac:dyDescent="0.25">
      <c r="A1416" t="s">
        <v>4261</v>
      </c>
      <c r="B1416" t="str" cm="1">
        <f t="array" aca="1" ref="B1416" ca="1">INDIRECT(A1416)</f>
        <v>m linéaire</v>
      </c>
      <c r="C1416">
        <f t="shared" ca="1" si="88"/>
        <v>6</v>
      </c>
      <c r="D1416" t="str" cm="1">
        <f t="array" aca="1" ref="D1416" ca="1">CELL("nomfichier",INDIRECT(A1416))</f>
        <v>G:\SCPE\sdc\bq\6 - Mentions valorisantes\Certification environnementale\TEXTES_REGLEMENTATION_CE\Plans_contrôle et grilles\Grille audit niveau 3\Grille d'audit v1.11\[grille-audit-hvev4-v1.11-vf.xlsx]Biodiversité</v>
      </c>
      <c r="E1416">
        <f t="shared" ca="1" si="89"/>
        <v>200</v>
      </c>
      <c r="F1416">
        <f t="shared" ca="1" si="90"/>
        <v>212</v>
      </c>
      <c r="G1416" t="str">
        <f t="shared" ca="1" si="91"/>
        <v>Biodiversité</v>
      </c>
      <c r="H1416" cm="1">
        <f t="array" aca="1" ref="H1416" ca="1">ROW(INDIRECT(A1416))</f>
        <v>34</v>
      </c>
      <c r="I1416" cm="1">
        <f t="array" aca="1" ref="I1416" ca="1">COLUMN(INDIRECT(A1416))</f>
        <v>20</v>
      </c>
      <c r="M1416" t="str" cm="1">
        <f t="array" aca="1" ref="M1416" ca="1">IF(AND(J1416="O",ISBLANK(INDIRECT(A1416))),"Valeur obligatoire non renseignée","")</f>
        <v/>
      </c>
    </row>
    <row r="1417" spans="1:13" x14ac:dyDescent="0.25">
      <c r="A1417" t="s">
        <v>4259</v>
      </c>
      <c r="B1417" cm="1">
        <f t="array" aca="1" ref="B1417" ca="1">INDIRECT(A1417)</f>
        <v>0</v>
      </c>
      <c r="C1417">
        <f t="shared" ca="1" si="88"/>
        <v>6</v>
      </c>
      <c r="D1417" t="str" cm="1">
        <f t="array" aca="1" ref="D1417" ca="1">CELL("nomfichier",INDIRECT(A1417))</f>
        <v>G:\SCPE\sdc\bq\6 - Mentions valorisantes\Certification environnementale\TEXTES_REGLEMENTATION_CE\Plans_contrôle et grilles\Grille audit niveau 3\Grille d'audit v1.11\[grille-audit-hvev4-v1.11-vf.xlsx]Biodiversité</v>
      </c>
      <c r="E1417">
        <f t="shared" ca="1" si="89"/>
        <v>200</v>
      </c>
      <c r="F1417">
        <f t="shared" ca="1" si="90"/>
        <v>212</v>
      </c>
      <c r="G1417" t="str">
        <f t="shared" ca="1" si="91"/>
        <v>Biodiversité</v>
      </c>
      <c r="H1417" cm="1">
        <f t="array" aca="1" ref="H1417" ca="1">ROW(INDIRECT(A1417))</f>
        <v>34</v>
      </c>
      <c r="I1417" cm="1">
        <f t="array" aca="1" ref="I1417" ca="1">COLUMN(INDIRECT(A1417))</f>
        <v>25</v>
      </c>
      <c r="M1417" t="str" cm="1">
        <f t="array" aca="1" ref="M1417" ca="1">IF(AND(J1417="O",ISBLANK(INDIRECT(A1417))),"Valeur obligatoire non renseignée","")</f>
        <v/>
      </c>
    </row>
    <row r="1418" spans="1:13" x14ac:dyDescent="0.25">
      <c r="A1418" t="s">
        <v>4257</v>
      </c>
      <c r="B1418" cm="1">
        <f t="array" aca="1" ref="B1418" ca="1">INDIRECT(A1418)</f>
        <v>0</v>
      </c>
      <c r="C1418">
        <f t="shared" ca="1" si="88"/>
        <v>6</v>
      </c>
      <c r="D1418" t="str" cm="1">
        <f t="array" aca="1" ref="D1418" ca="1">CELL("nomfichier",INDIRECT(A1418))</f>
        <v>G:\SCPE\sdc\bq\6 - Mentions valorisantes\Certification environnementale\TEXTES_REGLEMENTATION_CE\Plans_contrôle et grilles\Grille audit niveau 3\Grille d'audit v1.11\[grille-audit-hvev4-v1.11-vf.xlsx]Biodiversité</v>
      </c>
      <c r="E1418">
        <f t="shared" ca="1" si="89"/>
        <v>200</v>
      </c>
      <c r="F1418">
        <f t="shared" ca="1" si="90"/>
        <v>212</v>
      </c>
      <c r="G1418" t="str">
        <f t="shared" ca="1" si="91"/>
        <v>Biodiversité</v>
      </c>
      <c r="H1418" cm="1">
        <f t="array" aca="1" ref="H1418" ca="1">ROW(INDIRECT(A1418))</f>
        <v>35</v>
      </c>
      <c r="I1418" cm="1">
        <f t="array" aca="1" ref="I1418" ca="1">COLUMN(INDIRECT(A1418))</f>
        <v>18</v>
      </c>
      <c r="M1418" t="str" cm="1">
        <f t="array" aca="1" ref="M1418" ca="1">IF(AND(J1418="O",ISBLANK(INDIRECT(A1418))),"Valeur obligatoire non renseignée","")</f>
        <v/>
      </c>
    </row>
    <row r="1419" spans="1:13" x14ac:dyDescent="0.25">
      <c r="A1419" t="s">
        <v>4258</v>
      </c>
      <c r="B1419" t="str" cm="1">
        <f t="array" aca="1" ref="B1419" ca="1">INDIRECT(A1419)</f>
        <v>m linéaire</v>
      </c>
      <c r="C1419">
        <f t="shared" ca="1" si="88"/>
        <v>6</v>
      </c>
      <c r="D1419" t="str" cm="1">
        <f t="array" aca="1" ref="D1419" ca="1">CELL("nomfichier",INDIRECT(A1419))</f>
        <v>G:\SCPE\sdc\bq\6 - Mentions valorisantes\Certification environnementale\TEXTES_REGLEMENTATION_CE\Plans_contrôle et grilles\Grille audit niveau 3\Grille d'audit v1.11\[grille-audit-hvev4-v1.11-vf.xlsx]Biodiversité</v>
      </c>
      <c r="E1419">
        <f t="shared" ca="1" si="89"/>
        <v>200</v>
      </c>
      <c r="F1419">
        <f t="shared" ca="1" si="90"/>
        <v>212</v>
      </c>
      <c r="G1419" t="str">
        <f t="shared" ca="1" si="91"/>
        <v>Biodiversité</v>
      </c>
      <c r="H1419" cm="1">
        <f t="array" aca="1" ref="H1419" ca="1">ROW(INDIRECT(A1419))</f>
        <v>35</v>
      </c>
      <c r="I1419" cm="1">
        <f t="array" aca="1" ref="I1419" ca="1">COLUMN(INDIRECT(A1419))</f>
        <v>20</v>
      </c>
      <c r="M1419" t="str" cm="1">
        <f t="array" aca="1" ref="M1419" ca="1">IF(AND(J1419="O",ISBLANK(INDIRECT(A1419))),"Valeur obligatoire non renseignée","")</f>
        <v/>
      </c>
    </row>
    <row r="1420" spans="1:13" x14ac:dyDescent="0.25">
      <c r="A1420" t="s">
        <v>4256</v>
      </c>
      <c r="B1420" cm="1">
        <f t="array" aca="1" ref="B1420" ca="1">INDIRECT(A1420)</f>
        <v>0</v>
      </c>
      <c r="C1420">
        <f t="shared" ca="1" si="88"/>
        <v>6</v>
      </c>
      <c r="D1420" t="str" cm="1">
        <f t="array" aca="1" ref="D1420" ca="1">CELL("nomfichier",INDIRECT(A1420))</f>
        <v>G:\SCPE\sdc\bq\6 - Mentions valorisantes\Certification environnementale\TEXTES_REGLEMENTATION_CE\Plans_contrôle et grilles\Grille audit niveau 3\Grille d'audit v1.11\[grille-audit-hvev4-v1.11-vf.xlsx]Biodiversité</v>
      </c>
      <c r="E1420">
        <f t="shared" ca="1" si="89"/>
        <v>200</v>
      </c>
      <c r="F1420">
        <f t="shared" ca="1" si="90"/>
        <v>212</v>
      </c>
      <c r="G1420" t="str">
        <f t="shared" ca="1" si="91"/>
        <v>Biodiversité</v>
      </c>
      <c r="H1420" cm="1">
        <f t="array" aca="1" ref="H1420" ca="1">ROW(INDIRECT(A1420))</f>
        <v>35</v>
      </c>
      <c r="I1420" cm="1">
        <f t="array" aca="1" ref="I1420" ca="1">COLUMN(INDIRECT(A1420))</f>
        <v>25</v>
      </c>
      <c r="M1420" t="str" cm="1">
        <f t="array" aca="1" ref="M1420" ca="1">IF(AND(J1420="O",ISBLANK(INDIRECT(A1420))),"Valeur obligatoire non renseignée","")</f>
        <v/>
      </c>
    </row>
    <row r="1421" spans="1:13" x14ac:dyDescent="0.25">
      <c r="A1421" t="s">
        <v>4285</v>
      </c>
      <c r="B1421" t="str" cm="1">
        <f t="array" aca="1" ref="B1421" ca="1">INDIRECT(A1421)</f>
        <v>NON</v>
      </c>
      <c r="C1421">
        <f t="shared" ca="1" si="88"/>
        <v>6</v>
      </c>
      <c r="D1421" t="str" cm="1">
        <f t="array" aca="1" ref="D1421" ca="1">CELL("nomfichier",INDIRECT(A1421))</f>
        <v>G:\SCPE\sdc\bq\6 - Mentions valorisantes\Certification environnementale\TEXTES_REGLEMENTATION_CE\Plans_contrôle et grilles\Grille audit niveau 3\Grille d'audit v1.11\[grille-audit-hvev4-v1.11-vf.xlsx]Biodiversité</v>
      </c>
      <c r="E1421">
        <f t="shared" ca="1" si="89"/>
        <v>200</v>
      </c>
      <c r="F1421">
        <f t="shared" ca="1" si="90"/>
        <v>212</v>
      </c>
      <c r="G1421" t="str">
        <f t="shared" ca="1" si="91"/>
        <v>Biodiversité</v>
      </c>
      <c r="H1421" cm="1">
        <f t="array" aca="1" ref="H1421" ca="1">ROW(INDIRECT(A1421))</f>
        <v>41</v>
      </c>
      <c r="I1421" cm="1">
        <f t="array" aca="1" ref="I1421" ca="1">COLUMN(INDIRECT(A1421))</f>
        <v>23</v>
      </c>
      <c r="M1421" t="str" cm="1">
        <f t="array" aca="1" ref="M1421" ca="1">IF(AND(J1421="O",ISBLANK(INDIRECT(A1421))),"Valeur obligatoire non renseignée","")</f>
        <v/>
      </c>
    </row>
    <row r="1422" spans="1:13" x14ac:dyDescent="0.25">
      <c r="A1422" t="s">
        <v>4377</v>
      </c>
      <c r="B1422" cm="1">
        <f t="array" aca="1" ref="B1422" ca="1">INDIRECT(A1422)</f>
        <v>0</v>
      </c>
      <c r="C1422">
        <f t="shared" ca="1" si="88"/>
        <v>6</v>
      </c>
      <c r="D1422" t="str" cm="1">
        <f t="array" aca="1" ref="D1422" ca="1">CELL("nomfichier",INDIRECT(A1422))</f>
        <v>G:\SCPE\sdc\bq\6 - Mentions valorisantes\Certification environnementale\TEXTES_REGLEMENTATION_CE\Plans_contrôle et grilles\Grille audit niveau 3\Grille d'audit v1.11\[grille-audit-hvev4-v1.11-vf.xlsx]Biodiversité</v>
      </c>
      <c r="E1422">
        <f t="shared" ca="1" si="89"/>
        <v>200</v>
      </c>
      <c r="F1422">
        <f t="shared" ca="1" si="90"/>
        <v>212</v>
      </c>
      <c r="G1422" t="str">
        <f t="shared" ca="1" si="91"/>
        <v>Biodiversité</v>
      </c>
      <c r="H1422" cm="1">
        <f t="array" aca="1" ref="H1422" ca="1">ROW(INDIRECT(A1422))</f>
        <v>43</v>
      </c>
      <c r="I1422" cm="1">
        <f t="array" aca="1" ref="I1422" ca="1">COLUMN(INDIRECT(A1422))</f>
        <v>20</v>
      </c>
      <c r="M1422" t="str" cm="1">
        <f t="array" aca="1" ref="M1422" ca="1">IF(AND(J1422="O",ISBLANK(INDIRECT(A1422))),"Valeur obligatoire non renseignée","")</f>
        <v/>
      </c>
    </row>
    <row r="1423" spans="1:13" x14ac:dyDescent="0.25">
      <c r="A1423" t="s">
        <v>4375</v>
      </c>
      <c r="B1423" cm="1">
        <f t="array" aca="1" ref="B1423" ca="1">INDIRECT(A1423)</f>
        <v>0</v>
      </c>
      <c r="C1423">
        <f t="shared" ca="1" si="88"/>
        <v>6</v>
      </c>
      <c r="D1423" t="str" cm="1">
        <f t="array" aca="1" ref="D1423" ca="1">CELL("nomfichier",INDIRECT(A1423))</f>
        <v>G:\SCPE\sdc\bq\6 - Mentions valorisantes\Certification environnementale\TEXTES_REGLEMENTATION_CE\Plans_contrôle et grilles\Grille audit niveau 3\Grille d'audit v1.11\[grille-audit-hvev4-v1.11-vf.xlsx]Biodiversité</v>
      </c>
      <c r="E1423">
        <f t="shared" ca="1" si="89"/>
        <v>200</v>
      </c>
      <c r="F1423">
        <f t="shared" ca="1" si="90"/>
        <v>212</v>
      </c>
      <c r="G1423" t="str">
        <f t="shared" ca="1" si="91"/>
        <v>Biodiversité</v>
      </c>
      <c r="H1423" cm="1">
        <f t="array" aca="1" ref="H1423" ca="1">ROW(INDIRECT(A1423))</f>
        <v>44</v>
      </c>
      <c r="I1423" cm="1">
        <f t="array" aca="1" ref="I1423" ca="1">COLUMN(INDIRECT(A1423))</f>
        <v>20</v>
      </c>
      <c r="M1423" t="str" cm="1">
        <f t="array" aca="1" ref="M1423" ca="1">IF(AND(J1423="O",ISBLANK(INDIRECT(A1423))),"Valeur obligatoire non renseignée","")</f>
        <v/>
      </c>
    </row>
    <row r="1424" spans="1:13" x14ac:dyDescent="0.25">
      <c r="A1424" t="s">
        <v>4379</v>
      </c>
      <c r="B1424" cm="1">
        <f t="array" aca="1" ref="B1424" ca="1">INDIRECT(A1424)</f>
        <v>0</v>
      </c>
      <c r="C1424">
        <f t="shared" ca="1" si="88"/>
        <v>6</v>
      </c>
      <c r="D1424" t="str" cm="1">
        <f t="array" aca="1" ref="D1424" ca="1">CELL("nomfichier",INDIRECT(A1424))</f>
        <v>G:\SCPE\sdc\bq\6 - Mentions valorisantes\Certification environnementale\TEXTES_REGLEMENTATION_CE\Plans_contrôle et grilles\Grille audit niveau 3\Grille d'audit v1.11\[grille-audit-hvev4-v1.11-vf.xlsx]Biodiversité</v>
      </c>
      <c r="E1424">
        <f t="shared" ca="1" si="89"/>
        <v>200</v>
      </c>
      <c r="F1424">
        <f t="shared" ca="1" si="90"/>
        <v>212</v>
      </c>
      <c r="G1424" t="str">
        <f t="shared" ca="1" si="91"/>
        <v>Biodiversité</v>
      </c>
      <c r="H1424" cm="1">
        <f t="array" aca="1" ref="H1424" ca="1">ROW(INDIRECT(A1424))</f>
        <v>46</v>
      </c>
      <c r="I1424" cm="1">
        <f t="array" aca="1" ref="I1424" ca="1">COLUMN(INDIRECT(A1424))</f>
        <v>20</v>
      </c>
      <c r="M1424" t="str" cm="1">
        <f t="array" aca="1" ref="M1424" ca="1">IF(AND(J1424="O",ISBLANK(INDIRECT(A1424))),"Valeur obligatoire non renseignée","")</f>
        <v/>
      </c>
    </row>
    <row r="1425" spans="1:13" x14ac:dyDescent="0.25">
      <c r="A1425" t="s">
        <v>4380</v>
      </c>
      <c r="B1425" cm="1">
        <f t="array" aca="1" ref="B1425" ca="1">INDIRECT(A1425)</f>
        <v>0</v>
      </c>
      <c r="C1425">
        <f t="shared" ca="1" si="88"/>
        <v>6</v>
      </c>
      <c r="D1425" t="str" cm="1">
        <f t="array" aca="1" ref="D1425" ca="1">CELL("nomfichier",INDIRECT(A1425))</f>
        <v>G:\SCPE\sdc\bq\6 - Mentions valorisantes\Certification environnementale\TEXTES_REGLEMENTATION_CE\Plans_contrôle et grilles\Grille audit niveau 3\Grille d'audit v1.11\[grille-audit-hvev4-v1.11-vf.xlsx]Biodiversité</v>
      </c>
      <c r="E1425">
        <f t="shared" ca="1" si="89"/>
        <v>200</v>
      </c>
      <c r="F1425">
        <f t="shared" ca="1" si="90"/>
        <v>212</v>
      </c>
      <c r="G1425" t="str">
        <f t="shared" ca="1" si="91"/>
        <v>Biodiversité</v>
      </c>
      <c r="H1425" cm="1">
        <f t="array" aca="1" ref="H1425" ca="1">ROW(INDIRECT(A1425))</f>
        <v>47</v>
      </c>
      <c r="I1425" cm="1">
        <f t="array" aca="1" ref="I1425" ca="1">COLUMN(INDIRECT(A1425))</f>
        <v>20</v>
      </c>
      <c r="M1425" t="str" cm="1">
        <f t="array" aca="1" ref="M1425" ca="1">IF(AND(J1425="O",ISBLANK(INDIRECT(A1425))),"Valeur obligatoire non renseignée","")</f>
        <v/>
      </c>
    </row>
    <row r="1426" spans="1:13" x14ac:dyDescent="0.25">
      <c r="A1426" t="s">
        <v>4378</v>
      </c>
      <c r="B1426" cm="1">
        <f t="array" aca="1" ref="B1426" ca="1">INDIRECT(A1426)</f>
        <v>0</v>
      </c>
      <c r="C1426">
        <f t="shared" ca="1" si="88"/>
        <v>6</v>
      </c>
      <c r="D1426" t="str" cm="1">
        <f t="array" aca="1" ref="D1426" ca="1">CELL("nomfichier",INDIRECT(A1426))</f>
        <v>G:\SCPE\sdc\bq\6 - Mentions valorisantes\Certification environnementale\TEXTES_REGLEMENTATION_CE\Plans_contrôle et grilles\Grille audit niveau 3\Grille d'audit v1.11\[grille-audit-hvev4-v1.11-vf.xlsx]Biodiversité</v>
      </c>
      <c r="E1426">
        <f t="shared" ca="1" si="89"/>
        <v>200</v>
      </c>
      <c r="F1426">
        <f t="shared" ca="1" si="90"/>
        <v>212</v>
      </c>
      <c r="G1426" t="str">
        <f t="shared" ca="1" si="91"/>
        <v>Biodiversité</v>
      </c>
      <c r="H1426" cm="1">
        <f t="array" aca="1" ref="H1426" ca="1">ROW(INDIRECT(A1426))</f>
        <v>48</v>
      </c>
      <c r="I1426" cm="1">
        <f t="array" aca="1" ref="I1426" ca="1">COLUMN(INDIRECT(A1426))</f>
        <v>20</v>
      </c>
      <c r="M1426" t="str" cm="1">
        <f t="array" aca="1" ref="M1426" ca="1">IF(AND(J1426="O",ISBLANK(INDIRECT(A1426))),"Valeur obligatoire non renseignée","")</f>
        <v/>
      </c>
    </row>
    <row r="1427" spans="1:13" x14ac:dyDescent="0.25">
      <c r="A1427" t="s">
        <v>4376</v>
      </c>
      <c r="B1427" t="str" cm="1">
        <f t="array" aca="1" ref="B1427" ca="1">INDIRECT(A1427)</f>
        <v>NON CONCERNÉE</v>
      </c>
      <c r="C1427">
        <f t="shared" ca="1" si="88"/>
        <v>6</v>
      </c>
      <c r="D1427" t="str" cm="1">
        <f t="array" aca="1" ref="D1427" ca="1">CELL("nomfichier",INDIRECT(A1427))</f>
        <v>G:\SCPE\sdc\bq\6 - Mentions valorisantes\Certification environnementale\TEXTES_REGLEMENTATION_CE\Plans_contrôle et grilles\Grille audit niveau 3\Grille d'audit v1.11\[grille-audit-hvev4-v1.11-vf.xlsx]Biodiversité</v>
      </c>
      <c r="E1427">
        <f t="shared" ca="1" si="89"/>
        <v>200</v>
      </c>
      <c r="F1427">
        <f t="shared" ca="1" si="90"/>
        <v>212</v>
      </c>
      <c r="G1427" t="str">
        <f t="shared" ca="1" si="91"/>
        <v>Biodiversité</v>
      </c>
      <c r="H1427" cm="1">
        <f t="array" aca="1" ref="H1427" ca="1">ROW(INDIRECT(A1427))</f>
        <v>48</v>
      </c>
      <c r="I1427" cm="1">
        <f t="array" aca="1" ref="I1427" ca="1">COLUMN(INDIRECT(A1427))</f>
        <v>23</v>
      </c>
      <c r="M1427" t="str" cm="1">
        <f t="array" aca="1" ref="M1427" ca="1">IF(AND(J1427="O",ISBLANK(INDIRECT(A1427))),"Valeur obligatoire non renseignée","")</f>
        <v/>
      </c>
    </row>
    <row r="1428" spans="1:13" x14ac:dyDescent="0.25">
      <c r="A1428" t="s">
        <v>4393</v>
      </c>
      <c r="B1428" cm="1">
        <f t="array" aca="1" ref="B1428" ca="1">INDIRECT(A1428)</f>
        <v>0</v>
      </c>
      <c r="C1428">
        <f t="shared" ca="1" si="88"/>
        <v>6</v>
      </c>
      <c r="D1428" t="str" cm="1">
        <f t="array" aca="1" ref="D1428" ca="1">CELL("nomfichier",INDIRECT(A1428))</f>
        <v>G:\SCPE\sdc\bq\6 - Mentions valorisantes\Certification environnementale\TEXTES_REGLEMENTATION_CE\Plans_contrôle et grilles\Grille audit niveau 3\Grille d'audit v1.11\[grille-audit-hvev4-v1.11-vf.xlsx]Biodiversité</v>
      </c>
      <c r="E1428">
        <f t="shared" ca="1" si="89"/>
        <v>200</v>
      </c>
      <c r="F1428">
        <f t="shared" ca="1" si="90"/>
        <v>212</v>
      </c>
      <c r="G1428" t="str">
        <f t="shared" ca="1" si="91"/>
        <v>Biodiversité</v>
      </c>
      <c r="H1428" cm="1">
        <f t="array" aca="1" ref="H1428" ca="1">ROW(INDIRECT(A1428))</f>
        <v>51</v>
      </c>
      <c r="I1428" cm="1">
        <f t="array" aca="1" ref="I1428" ca="1">COLUMN(INDIRECT(A1428))</f>
        <v>20</v>
      </c>
      <c r="M1428" t="str" cm="1">
        <f t="array" aca="1" ref="M1428" ca="1">IF(AND(J1428="O",ISBLANK(INDIRECT(A1428))),"Valeur obligatoire non renseignée","")</f>
        <v/>
      </c>
    </row>
    <row r="1429" spans="1:13" x14ac:dyDescent="0.25">
      <c r="A1429" t="s">
        <v>4395</v>
      </c>
      <c r="B1429" cm="1">
        <f t="array" aca="1" ref="B1429" ca="1">INDIRECT(A1429)</f>
        <v>0</v>
      </c>
      <c r="C1429">
        <f t="shared" ca="1" si="88"/>
        <v>6</v>
      </c>
      <c r="D1429" t="str" cm="1">
        <f t="array" aca="1" ref="D1429" ca="1">CELL("nomfichier",INDIRECT(A1429))</f>
        <v>G:\SCPE\sdc\bq\6 - Mentions valorisantes\Certification environnementale\TEXTES_REGLEMENTATION_CE\Plans_contrôle et grilles\Grille audit niveau 3\Grille d'audit v1.11\[grille-audit-hvev4-v1.11-vf.xlsx]Biodiversité</v>
      </c>
      <c r="E1429">
        <f t="shared" ca="1" si="89"/>
        <v>200</v>
      </c>
      <c r="F1429">
        <f t="shared" ca="1" si="90"/>
        <v>212</v>
      </c>
      <c r="G1429" t="str">
        <f t="shared" ca="1" si="91"/>
        <v>Biodiversité</v>
      </c>
      <c r="H1429" cm="1">
        <f t="array" aca="1" ref="H1429" ca="1">ROW(INDIRECT(A1429))</f>
        <v>52</v>
      </c>
      <c r="I1429" cm="1">
        <f t="array" aca="1" ref="I1429" ca="1">COLUMN(INDIRECT(A1429))</f>
        <v>20</v>
      </c>
      <c r="M1429" t="str" cm="1">
        <f t="array" aca="1" ref="M1429" ca="1">IF(AND(J1429="O",ISBLANK(INDIRECT(A1429))),"Valeur obligatoire non renseignée","")</f>
        <v/>
      </c>
    </row>
    <row r="1430" spans="1:13" x14ac:dyDescent="0.25">
      <c r="A1430" t="s">
        <v>4394</v>
      </c>
      <c r="B1430" cm="1">
        <f t="array" aca="1" ref="B1430" ca="1">INDIRECT(A1430)</f>
        <v>0</v>
      </c>
      <c r="C1430">
        <f t="shared" ca="1" si="88"/>
        <v>6</v>
      </c>
      <c r="D1430" t="str" cm="1">
        <f t="array" aca="1" ref="D1430" ca="1">CELL("nomfichier",INDIRECT(A1430))</f>
        <v>G:\SCPE\sdc\bq\6 - Mentions valorisantes\Certification environnementale\TEXTES_REGLEMENTATION_CE\Plans_contrôle et grilles\Grille audit niveau 3\Grille d'audit v1.11\[grille-audit-hvev4-v1.11-vf.xlsx]Biodiversité</v>
      </c>
      <c r="E1430">
        <f t="shared" ca="1" si="89"/>
        <v>200</v>
      </c>
      <c r="F1430">
        <f t="shared" ca="1" si="90"/>
        <v>212</v>
      </c>
      <c r="G1430" t="str">
        <f t="shared" ca="1" si="91"/>
        <v>Biodiversité</v>
      </c>
      <c r="H1430" cm="1">
        <f t="array" aca="1" ref="H1430" ca="1">ROW(INDIRECT(A1430))</f>
        <v>53</v>
      </c>
      <c r="I1430" cm="1">
        <f t="array" aca="1" ref="I1430" ca="1">COLUMN(INDIRECT(A1430))</f>
        <v>20</v>
      </c>
      <c r="M1430" t="str" cm="1">
        <f t="array" aca="1" ref="M1430" ca="1">IF(AND(J1430="O",ISBLANK(INDIRECT(A1430))),"Valeur obligatoire non renseignée","")</f>
        <v/>
      </c>
    </row>
    <row r="1431" spans="1:13" x14ac:dyDescent="0.25">
      <c r="A1431" t="s">
        <v>4440</v>
      </c>
      <c r="B1431" cm="1">
        <f t="array" aca="1" ref="B1431" ca="1">INDIRECT(A1431)</f>
        <v>0</v>
      </c>
      <c r="C1431">
        <f t="shared" ca="1" si="88"/>
        <v>6</v>
      </c>
      <c r="D1431" t="str" cm="1">
        <f t="array" aca="1" ref="D1431" ca="1">CELL("nomfichier",INDIRECT(A1431))</f>
        <v>G:\SCPE\sdc\bq\6 - Mentions valorisantes\Certification environnementale\TEXTES_REGLEMENTATION_CE\Plans_contrôle et grilles\Grille audit niveau 3\Grille d'audit v1.11\[grille-audit-hvev4-v1.11-vf.xlsx]Biodiversité</v>
      </c>
      <c r="E1431">
        <f t="shared" ca="1" si="89"/>
        <v>200</v>
      </c>
      <c r="F1431">
        <f t="shared" ca="1" si="90"/>
        <v>212</v>
      </c>
      <c r="G1431" t="str">
        <f t="shared" ca="1" si="91"/>
        <v>Biodiversité</v>
      </c>
      <c r="H1431" cm="1">
        <f t="array" aca="1" ref="H1431" ca="1">ROW(INDIRECT(A1431))</f>
        <v>53</v>
      </c>
      <c r="I1431" cm="1">
        <f t="array" aca="1" ref="I1431" ca="1">COLUMN(INDIRECT(A1431))</f>
        <v>23</v>
      </c>
      <c r="M1431" t="str" cm="1">
        <f t="array" aca="1" ref="M1431" ca="1">IF(AND(J1431="O",ISBLANK(INDIRECT(A1431))),"Valeur obligatoire non renseignée","")</f>
        <v/>
      </c>
    </row>
    <row r="1432" spans="1:13" x14ac:dyDescent="0.25">
      <c r="A1432" t="s">
        <v>4370</v>
      </c>
      <c r="B1432" cm="1">
        <f t="array" aca="1" ref="B1432" ca="1">INDIRECT(A1432)</f>
        <v>0</v>
      </c>
      <c r="C1432">
        <f t="shared" ca="1" si="88"/>
        <v>6</v>
      </c>
      <c r="D1432" t="str" cm="1">
        <f t="array" aca="1" ref="D1432" ca="1">CELL("nomfichier",INDIRECT(A1432))</f>
        <v>G:\SCPE\sdc\bq\6 - Mentions valorisantes\Certification environnementale\TEXTES_REGLEMENTATION_CE\Plans_contrôle et grilles\Grille audit niveau 3\Grille d'audit v1.11\[grille-audit-hvev4-v1.11-vf.xlsx]Biodiversité</v>
      </c>
      <c r="E1432">
        <f t="shared" ca="1" si="89"/>
        <v>200</v>
      </c>
      <c r="F1432">
        <f t="shared" ca="1" si="90"/>
        <v>212</v>
      </c>
      <c r="G1432" t="str">
        <f t="shared" ca="1" si="91"/>
        <v>Biodiversité</v>
      </c>
      <c r="H1432" cm="1">
        <f t="array" aca="1" ref="H1432" ca="1">ROW(INDIRECT(A1432))</f>
        <v>56</v>
      </c>
      <c r="I1432" cm="1">
        <f t="array" aca="1" ref="I1432" ca="1">COLUMN(INDIRECT(A1432))</f>
        <v>20</v>
      </c>
      <c r="M1432" t="str" cm="1">
        <f t="array" aca="1" ref="M1432" ca="1">IF(AND(J1432="O",ISBLANK(INDIRECT(A1432))),"Valeur obligatoire non renseignée","")</f>
        <v/>
      </c>
    </row>
    <row r="1433" spans="1:13" x14ac:dyDescent="0.25">
      <c r="A1433" t="s">
        <v>4426</v>
      </c>
      <c r="B1433" cm="1">
        <f t="array" aca="1" ref="B1433" ca="1">INDIRECT(A1433)</f>
        <v>0</v>
      </c>
      <c r="C1433">
        <f t="shared" ca="1" si="88"/>
        <v>6</v>
      </c>
      <c r="D1433" t="str" cm="1">
        <f t="array" aca="1" ref="D1433" ca="1">CELL("nomfichier",INDIRECT(A1433))</f>
        <v>G:\SCPE\sdc\bq\6 - Mentions valorisantes\Certification environnementale\TEXTES_REGLEMENTATION_CE\Plans_contrôle et grilles\Grille audit niveau 3\Grille d'audit v1.11\[grille-audit-hvev4-v1.11-vf.xlsx]Biodiversité</v>
      </c>
      <c r="E1433">
        <f t="shared" ca="1" si="89"/>
        <v>200</v>
      </c>
      <c r="F1433">
        <f t="shared" ca="1" si="90"/>
        <v>212</v>
      </c>
      <c r="G1433" t="str">
        <f t="shared" ca="1" si="91"/>
        <v>Biodiversité</v>
      </c>
      <c r="H1433" cm="1">
        <f t="array" aca="1" ref="H1433" ca="1">ROW(INDIRECT(A1433))</f>
        <v>56</v>
      </c>
      <c r="I1433" cm="1">
        <f t="array" aca="1" ref="I1433" ca="1">COLUMN(INDIRECT(A1433))</f>
        <v>23</v>
      </c>
      <c r="M1433" t="str" cm="1">
        <f t="array" aca="1" ref="M1433" ca="1">IF(AND(J1433="O",ISBLANK(INDIRECT(A1433))),"Valeur obligatoire non renseignée","")</f>
        <v/>
      </c>
    </row>
    <row r="1434" spans="1:13" x14ac:dyDescent="0.25">
      <c r="A1434" t="s">
        <v>4419</v>
      </c>
      <c r="B1434" cm="1">
        <f t="array" aca="1" ref="B1434" ca="1">INDIRECT(A1434)</f>
        <v>0</v>
      </c>
      <c r="C1434">
        <f t="shared" ca="1" si="88"/>
        <v>6</v>
      </c>
      <c r="D1434" t="str" cm="1">
        <f t="array" aca="1" ref="D1434" ca="1">CELL("nomfichier",INDIRECT(A1434))</f>
        <v>G:\SCPE\sdc\bq\6 - Mentions valorisantes\Certification environnementale\TEXTES_REGLEMENTATION_CE\Plans_contrôle et grilles\Grille audit niveau 3\Grille d'audit v1.11\[grille-audit-hvev4-v1.11-vf.xlsx]Biodiversité</v>
      </c>
      <c r="E1434">
        <f t="shared" ca="1" si="89"/>
        <v>200</v>
      </c>
      <c r="F1434">
        <f t="shared" ca="1" si="90"/>
        <v>212</v>
      </c>
      <c r="G1434" t="str">
        <f t="shared" ca="1" si="91"/>
        <v>Biodiversité</v>
      </c>
      <c r="H1434" cm="1">
        <f t="array" aca="1" ref="H1434" ca="1">ROW(INDIRECT(A1434))</f>
        <v>58</v>
      </c>
      <c r="I1434" cm="1">
        <f t="array" aca="1" ref="I1434" ca="1">COLUMN(INDIRECT(A1434))</f>
        <v>23</v>
      </c>
      <c r="M1434" t="str" cm="1">
        <f t="array" aca="1" ref="M1434" ca="1">IF(AND(J1434="O",ISBLANK(INDIRECT(A1434))),"Valeur obligatoire non renseignée","")</f>
        <v/>
      </c>
    </row>
    <row r="1435" spans="1:13" x14ac:dyDescent="0.25">
      <c r="A1435" t="s">
        <v>4334</v>
      </c>
      <c r="B1435" cm="1">
        <f t="array" aca="1" ref="B1435" ca="1">INDIRECT(A1435)</f>
        <v>9</v>
      </c>
      <c r="C1435">
        <f t="shared" ca="1" si="88"/>
        <v>6</v>
      </c>
      <c r="D1435" t="str" cm="1">
        <f t="array" aca="1" ref="D1435" ca="1">CELL("nomfichier",INDIRECT(A1435))</f>
        <v>G:\SCPE\sdc\bq\6 - Mentions valorisantes\Certification environnementale\TEXTES_REGLEMENTATION_CE\Plans_contrôle et grilles\Grille audit niveau 3\Grille d'audit v1.11\[grille-audit-hvev4-v1.11-vf.xlsx]Biodiversité</v>
      </c>
      <c r="E1435">
        <f t="shared" ca="1" si="89"/>
        <v>200</v>
      </c>
      <c r="F1435">
        <f t="shared" ca="1" si="90"/>
        <v>212</v>
      </c>
      <c r="G1435" t="str">
        <f t="shared" ca="1" si="91"/>
        <v>Biodiversité</v>
      </c>
      <c r="H1435" cm="1">
        <f t="array" aca="1" ref="H1435" ca="1">ROW(INDIRECT(A1435))</f>
        <v>58</v>
      </c>
      <c r="I1435" cm="1">
        <f t="array" aca="1" ref="I1435" ca="1">COLUMN(INDIRECT(A1435))</f>
        <v>25</v>
      </c>
      <c r="M1435" t="str" cm="1">
        <f t="array" aca="1" ref="M1435" ca="1">IF(AND(J1435="O",ISBLANK(INDIRECT(A1435))),"Valeur obligatoire non renseignée","")</f>
        <v/>
      </c>
    </row>
    <row r="1436" spans="1:13" x14ac:dyDescent="0.25">
      <c r="A1436" t="s">
        <v>4305</v>
      </c>
      <c r="B1436" cm="1">
        <f t="array" aca="1" ref="B1436" ca="1">INDIRECT(A1436)</f>
        <v>0</v>
      </c>
      <c r="C1436">
        <f t="shared" ca="1" si="88"/>
        <v>6</v>
      </c>
      <c r="D1436" t="str" cm="1">
        <f t="array" aca="1" ref="D1436" ca="1">CELL("nomfichier",INDIRECT(A1436))</f>
        <v>G:\SCPE\sdc\bq\6 - Mentions valorisantes\Certification environnementale\TEXTES_REGLEMENTATION_CE\Plans_contrôle et grilles\Grille audit niveau 3\Grille d'audit v1.11\[grille-audit-hvev4-v1.11-vf.xlsx]Biodiversité</v>
      </c>
      <c r="E1436">
        <f t="shared" ca="1" si="89"/>
        <v>200</v>
      </c>
      <c r="F1436">
        <f t="shared" ca="1" si="90"/>
        <v>212</v>
      </c>
      <c r="G1436" t="str">
        <f t="shared" ca="1" si="91"/>
        <v>Biodiversité</v>
      </c>
      <c r="H1436" cm="1">
        <f t="array" aca="1" ref="H1436" ca="1">ROW(INDIRECT(A1436))</f>
        <v>60</v>
      </c>
      <c r="I1436" cm="1">
        <f t="array" aca="1" ref="I1436" ca="1">COLUMN(INDIRECT(A1436))</f>
        <v>20</v>
      </c>
      <c r="M1436" t="str" cm="1">
        <f t="array" aca="1" ref="M1436" ca="1">IF(AND(J1436="O",ISBLANK(INDIRECT(A1436))),"Valeur obligatoire non renseignée","")</f>
        <v/>
      </c>
    </row>
    <row r="1437" spans="1:13" x14ac:dyDescent="0.25">
      <c r="A1437" t="s">
        <v>4460</v>
      </c>
      <c r="B1437" cm="1">
        <f t="array" aca="1" ref="B1437" ca="1">INDIRECT(A1437)</f>
        <v>0</v>
      </c>
      <c r="C1437">
        <f t="shared" ca="1" si="88"/>
        <v>6</v>
      </c>
      <c r="D1437" t="str" cm="1">
        <f t="array" aca="1" ref="D1437" ca="1">CELL("nomfichier",INDIRECT(A1437))</f>
        <v>G:\SCPE\sdc\bq\6 - Mentions valorisantes\Certification environnementale\TEXTES_REGLEMENTATION_CE\Plans_contrôle et grilles\Grille audit niveau 3\Grille d'audit v1.11\[grille-audit-hvev4-v1.11-vf.xlsx]Biodiversité</v>
      </c>
      <c r="E1437">
        <f t="shared" ca="1" si="89"/>
        <v>200</v>
      </c>
      <c r="F1437">
        <f t="shared" ca="1" si="90"/>
        <v>212</v>
      </c>
      <c r="G1437" t="str">
        <f t="shared" ca="1" si="91"/>
        <v>Biodiversité</v>
      </c>
      <c r="H1437" cm="1">
        <f t="array" aca="1" ref="H1437" ca="1">ROW(INDIRECT(A1437))</f>
        <v>82</v>
      </c>
      <c r="I1437" cm="1">
        <f t="array" aca="1" ref="I1437" ca="1">COLUMN(INDIRECT(A1437))</f>
        <v>16</v>
      </c>
      <c r="M1437" t="str" cm="1">
        <f t="array" aca="1" ref="M1437" ca="1">IF(AND(J1437="O",ISBLANK(INDIRECT(A1437))),"Valeur obligatoire non renseignée","")</f>
        <v/>
      </c>
    </row>
    <row r="1438" spans="1:13" x14ac:dyDescent="0.25">
      <c r="A1438" t="s">
        <v>4466</v>
      </c>
      <c r="B1438" cm="1">
        <f t="array" aca="1" ref="B1438" ca="1">INDIRECT(A1438)</f>
        <v>0</v>
      </c>
      <c r="C1438">
        <f t="shared" ca="1" si="88"/>
        <v>6</v>
      </c>
      <c r="D1438" t="str" cm="1">
        <f t="array" aca="1" ref="D1438" ca="1">CELL("nomfichier",INDIRECT(A1438))</f>
        <v>G:\SCPE\sdc\bq\6 - Mentions valorisantes\Certification environnementale\TEXTES_REGLEMENTATION_CE\Plans_contrôle et grilles\Grille audit niveau 3\Grille d'audit v1.11\[grille-audit-hvev4-v1.11-vf.xlsx]Biodiversité</v>
      </c>
      <c r="E1438">
        <f t="shared" ca="1" si="89"/>
        <v>200</v>
      </c>
      <c r="F1438">
        <f t="shared" ca="1" si="90"/>
        <v>212</v>
      </c>
      <c r="G1438" t="str">
        <f t="shared" ca="1" si="91"/>
        <v>Biodiversité</v>
      </c>
      <c r="H1438" cm="1">
        <f t="array" aca="1" ref="H1438" ca="1">ROW(INDIRECT(A1438))</f>
        <v>83</v>
      </c>
      <c r="I1438" cm="1">
        <f t="array" aca="1" ref="I1438" ca="1">COLUMN(INDIRECT(A1438))</f>
        <v>16</v>
      </c>
      <c r="M1438" t="str" cm="1">
        <f t="array" aca="1" ref="M1438" ca="1">IF(AND(J1438="O",ISBLANK(INDIRECT(A1438))),"Valeur obligatoire non renseignée","")</f>
        <v/>
      </c>
    </row>
    <row r="1439" spans="1:13" x14ac:dyDescent="0.25">
      <c r="A1439" t="s">
        <v>4409</v>
      </c>
      <c r="B1439" cm="1">
        <f t="array" aca="1" ref="B1439" ca="1">INDIRECT(A1439)</f>
        <v>0</v>
      </c>
      <c r="C1439">
        <f t="shared" ca="1" si="88"/>
        <v>6</v>
      </c>
      <c r="D1439" t="str" cm="1">
        <f t="array" aca="1" ref="D1439" ca="1">CELL("nomfichier",INDIRECT(A1439))</f>
        <v>G:\SCPE\sdc\bq\6 - Mentions valorisantes\Certification environnementale\TEXTES_REGLEMENTATION_CE\Plans_contrôle et grilles\Grille audit niveau 3\Grille d'audit v1.11\[grille-audit-hvev4-v1.11-vf.xlsx]Biodiversité</v>
      </c>
      <c r="E1439">
        <f t="shared" ca="1" si="89"/>
        <v>200</v>
      </c>
      <c r="F1439">
        <f t="shared" ca="1" si="90"/>
        <v>212</v>
      </c>
      <c r="G1439" t="str">
        <f t="shared" ca="1" si="91"/>
        <v>Biodiversité</v>
      </c>
      <c r="H1439" cm="1">
        <f t="array" aca="1" ref="H1439" ca="1">ROW(INDIRECT(A1439))</f>
        <v>85</v>
      </c>
      <c r="I1439" cm="1">
        <f t="array" aca="1" ref="I1439" ca="1">COLUMN(INDIRECT(A1439))</f>
        <v>16</v>
      </c>
      <c r="M1439" t="str" cm="1">
        <f t="array" aca="1" ref="M1439" ca="1">IF(AND(J1439="O",ISBLANK(INDIRECT(A1439))),"Valeur obligatoire non renseignée","")</f>
        <v/>
      </c>
    </row>
    <row r="1440" spans="1:13" x14ac:dyDescent="0.25">
      <c r="A1440" t="s">
        <v>4454</v>
      </c>
      <c r="B1440" cm="1">
        <f t="array" aca="1" ref="B1440" ca="1">INDIRECT(A1440)</f>
        <v>0</v>
      </c>
      <c r="C1440">
        <f t="shared" ca="1" si="88"/>
        <v>6</v>
      </c>
      <c r="D1440" t="str" cm="1">
        <f t="array" aca="1" ref="D1440" ca="1">CELL("nomfichier",INDIRECT(A1440))</f>
        <v>G:\SCPE\sdc\bq\6 - Mentions valorisantes\Certification environnementale\TEXTES_REGLEMENTATION_CE\Plans_contrôle et grilles\Grille audit niveau 3\Grille d'audit v1.11\[grille-audit-hvev4-v1.11-vf.xlsx]Biodiversité</v>
      </c>
      <c r="E1440">
        <f t="shared" ca="1" si="89"/>
        <v>200</v>
      </c>
      <c r="F1440">
        <f t="shared" ca="1" si="90"/>
        <v>212</v>
      </c>
      <c r="G1440" t="str">
        <f t="shared" ca="1" si="91"/>
        <v>Biodiversité</v>
      </c>
      <c r="H1440" cm="1">
        <f t="array" aca="1" ref="H1440" ca="1">ROW(INDIRECT(A1440))</f>
        <v>85</v>
      </c>
      <c r="I1440" cm="1">
        <f t="array" aca="1" ref="I1440" ca="1">COLUMN(INDIRECT(A1440))</f>
        <v>19</v>
      </c>
      <c r="M1440" t="str" cm="1">
        <f t="array" aca="1" ref="M1440" ca="1">IF(AND(J1440="O",ISBLANK(INDIRECT(A1440))),"Valeur obligatoire non renseignée","")</f>
        <v/>
      </c>
    </row>
    <row r="1441" spans="1:13" x14ac:dyDescent="0.25">
      <c r="A1441" t="s">
        <v>4347</v>
      </c>
      <c r="B1441" cm="1">
        <f t="array" aca="1" ref="B1441" ca="1">INDIRECT(A1441)</f>
        <v>5</v>
      </c>
      <c r="C1441">
        <f t="shared" ca="1" si="88"/>
        <v>6</v>
      </c>
      <c r="D1441" t="str" cm="1">
        <f t="array" aca="1" ref="D1441" ca="1">CELL("nomfichier",INDIRECT(A1441))</f>
        <v>G:\SCPE\sdc\bq\6 - Mentions valorisantes\Certification environnementale\TEXTES_REGLEMENTATION_CE\Plans_contrôle et grilles\Grille audit niveau 3\Grille d'audit v1.11\[grille-audit-hvev4-v1.11-vf.xlsx]Biodiversité</v>
      </c>
      <c r="E1441">
        <f t="shared" ca="1" si="89"/>
        <v>200</v>
      </c>
      <c r="F1441">
        <f t="shared" ca="1" si="90"/>
        <v>212</v>
      </c>
      <c r="G1441" t="str">
        <f t="shared" ca="1" si="91"/>
        <v>Biodiversité</v>
      </c>
      <c r="H1441" cm="1">
        <f t="array" aca="1" ref="H1441" ca="1">ROW(INDIRECT(A1441))</f>
        <v>85</v>
      </c>
      <c r="I1441" cm="1">
        <f t="array" aca="1" ref="I1441" ca="1">COLUMN(INDIRECT(A1441))</f>
        <v>23</v>
      </c>
      <c r="M1441" t="str" cm="1">
        <f t="array" aca="1" ref="M1441" ca="1">IF(AND(J1441="O",ISBLANK(INDIRECT(A1441))),"Valeur obligatoire non renseignée","")</f>
        <v/>
      </c>
    </row>
    <row r="1442" spans="1:13" x14ac:dyDescent="0.25">
      <c r="A1442" t="s">
        <v>4373</v>
      </c>
      <c r="B1442" cm="1">
        <f t="array" aca="1" ref="B1442" ca="1">INDIRECT(A1442)</f>
        <v>0</v>
      </c>
      <c r="C1442">
        <f t="shared" ca="1" si="88"/>
        <v>6</v>
      </c>
      <c r="D1442" t="str" cm="1">
        <f t="array" aca="1" ref="D1442" ca="1">CELL("nomfichier",INDIRECT(A1442))</f>
        <v>G:\SCPE\sdc\bq\6 - Mentions valorisantes\Certification environnementale\TEXTES_REGLEMENTATION_CE\Plans_contrôle et grilles\Grille audit niveau 3\Grille d'audit v1.11\[grille-audit-hvev4-v1.11-vf.xlsx]Biodiversité</v>
      </c>
      <c r="E1442">
        <f t="shared" ca="1" si="89"/>
        <v>200</v>
      </c>
      <c r="F1442">
        <f t="shared" ca="1" si="90"/>
        <v>212</v>
      </c>
      <c r="G1442" t="str">
        <f t="shared" ca="1" si="91"/>
        <v>Biodiversité</v>
      </c>
      <c r="H1442" cm="1">
        <f t="array" aca="1" ref="H1442" ca="1">ROW(INDIRECT(A1442))</f>
        <v>104</v>
      </c>
      <c r="I1442" cm="1">
        <f t="array" aca="1" ref="I1442" ca="1">COLUMN(INDIRECT(A1442))</f>
        <v>14</v>
      </c>
      <c r="M1442" t="str" cm="1">
        <f t="array" aca="1" ref="M1442" ca="1">IF(AND(J1442="O",ISBLANK(INDIRECT(A1442))),"Valeur obligatoire non renseignée","")</f>
        <v/>
      </c>
    </row>
    <row r="1443" spans="1:13" x14ac:dyDescent="0.25">
      <c r="A1443" t="s">
        <v>4471</v>
      </c>
      <c r="B1443" cm="1">
        <f t="array" aca="1" ref="B1443" ca="1">INDIRECT(A1443)</f>
        <v>0</v>
      </c>
      <c r="C1443">
        <f t="shared" ca="1" si="88"/>
        <v>6</v>
      </c>
      <c r="D1443" t="str" cm="1">
        <f t="array" aca="1" ref="D1443" ca="1">CELL("nomfichier",INDIRECT(A1443))</f>
        <v>G:\SCPE\sdc\bq\6 - Mentions valorisantes\Certification environnementale\TEXTES_REGLEMENTATION_CE\Plans_contrôle et grilles\Grille audit niveau 3\Grille d'audit v1.11\[grille-audit-hvev4-v1.11-vf.xlsx]Biodiversité</v>
      </c>
      <c r="E1443">
        <f t="shared" ca="1" si="89"/>
        <v>200</v>
      </c>
      <c r="F1443">
        <f t="shared" ca="1" si="90"/>
        <v>212</v>
      </c>
      <c r="G1443" t="str">
        <f t="shared" ca="1" si="91"/>
        <v>Biodiversité</v>
      </c>
      <c r="H1443" cm="1">
        <f t="array" aca="1" ref="H1443" ca="1">ROW(INDIRECT(A1443))</f>
        <v>105</v>
      </c>
      <c r="I1443" cm="1">
        <f t="array" aca="1" ref="I1443" ca="1">COLUMN(INDIRECT(A1443))</f>
        <v>14</v>
      </c>
      <c r="M1443" t="str" cm="1">
        <f t="array" aca="1" ref="M1443" ca="1">IF(AND(J1443="O",ISBLANK(INDIRECT(A1443))),"Valeur obligatoire non renseignée","")</f>
        <v/>
      </c>
    </row>
    <row r="1444" spans="1:13" x14ac:dyDescent="0.25">
      <c r="A1444" t="s">
        <v>4384</v>
      </c>
      <c r="B1444" cm="1">
        <f t="array" aca="1" ref="B1444" ca="1">INDIRECT(A1444)</f>
        <v>0</v>
      </c>
      <c r="C1444">
        <f t="shared" ca="1" si="88"/>
        <v>6</v>
      </c>
      <c r="D1444" t="str" cm="1">
        <f t="array" aca="1" ref="D1444" ca="1">CELL("nomfichier",INDIRECT(A1444))</f>
        <v>G:\SCPE\sdc\bq\6 - Mentions valorisantes\Certification environnementale\TEXTES_REGLEMENTATION_CE\Plans_contrôle et grilles\Grille audit niveau 3\Grille d'audit v1.11\[grille-audit-hvev4-v1.11-vf.xlsx]Biodiversité</v>
      </c>
      <c r="E1444">
        <f t="shared" ca="1" si="89"/>
        <v>200</v>
      </c>
      <c r="F1444">
        <f t="shared" ca="1" si="90"/>
        <v>212</v>
      </c>
      <c r="G1444" t="str">
        <f t="shared" ca="1" si="91"/>
        <v>Biodiversité</v>
      </c>
      <c r="H1444" cm="1">
        <f t="array" aca="1" ref="H1444" ca="1">ROW(INDIRECT(A1444))</f>
        <v>109</v>
      </c>
      <c r="I1444" cm="1">
        <f t="array" aca="1" ref="I1444" ca="1">COLUMN(INDIRECT(A1444))</f>
        <v>14</v>
      </c>
      <c r="M1444" t="str" cm="1">
        <f t="array" aca="1" ref="M1444" ca="1">IF(AND(J1444="O",ISBLANK(INDIRECT(A1444))),"Valeur obligatoire non renseignée","")</f>
        <v/>
      </c>
    </row>
    <row r="1445" spans="1:13" x14ac:dyDescent="0.25">
      <c r="A1445" t="s">
        <v>4457</v>
      </c>
      <c r="B1445" cm="1">
        <f t="array" aca="1" ref="B1445" ca="1">INDIRECT(A1445)</f>
        <v>0</v>
      </c>
      <c r="C1445">
        <f t="shared" ca="1" si="88"/>
        <v>6</v>
      </c>
      <c r="D1445" t="str" cm="1">
        <f t="array" aca="1" ref="D1445" ca="1">CELL("nomfichier",INDIRECT(A1445))</f>
        <v>G:\SCPE\sdc\bq\6 - Mentions valorisantes\Certification environnementale\TEXTES_REGLEMENTATION_CE\Plans_contrôle et grilles\Grille audit niveau 3\Grille d'audit v1.11\[grille-audit-hvev4-v1.11-vf.xlsx]Biodiversité</v>
      </c>
      <c r="E1445">
        <f t="shared" ca="1" si="89"/>
        <v>200</v>
      </c>
      <c r="F1445">
        <f t="shared" ca="1" si="90"/>
        <v>212</v>
      </c>
      <c r="G1445" t="str">
        <f t="shared" ca="1" si="91"/>
        <v>Biodiversité</v>
      </c>
      <c r="H1445" cm="1">
        <f t="array" aca="1" ref="H1445" ca="1">ROW(INDIRECT(A1445))</f>
        <v>111</v>
      </c>
      <c r="I1445" cm="1">
        <f t="array" aca="1" ref="I1445" ca="1">COLUMN(INDIRECT(A1445))</f>
        <v>14</v>
      </c>
      <c r="M1445" t="str" cm="1">
        <f t="array" aca="1" ref="M1445" ca="1">IF(AND(J1445="O",ISBLANK(INDIRECT(A1445))),"Valeur obligatoire non renseignée","")</f>
        <v/>
      </c>
    </row>
    <row r="1446" spans="1:13" x14ac:dyDescent="0.25">
      <c r="A1446" t="s">
        <v>4410</v>
      </c>
      <c r="B1446" cm="1">
        <f t="array" aca="1" ref="B1446" ca="1">INDIRECT(A1446)</f>
        <v>0</v>
      </c>
      <c r="C1446">
        <f t="shared" ca="1" si="88"/>
        <v>6</v>
      </c>
      <c r="D1446" t="str" cm="1">
        <f t="array" aca="1" ref="D1446" ca="1">CELL("nomfichier",INDIRECT(A1446))</f>
        <v>G:\SCPE\sdc\bq\6 - Mentions valorisantes\Certification environnementale\TEXTES_REGLEMENTATION_CE\Plans_contrôle et grilles\Grille audit niveau 3\Grille d'audit v1.11\[grille-audit-hvev4-v1.11-vf.xlsx]Biodiversité</v>
      </c>
      <c r="E1446">
        <f t="shared" ca="1" si="89"/>
        <v>200</v>
      </c>
      <c r="F1446">
        <f t="shared" ca="1" si="90"/>
        <v>212</v>
      </c>
      <c r="G1446" t="str">
        <f t="shared" ca="1" si="91"/>
        <v>Biodiversité</v>
      </c>
      <c r="H1446" cm="1">
        <f t="array" aca="1" ref="H1446" ca="1">ROW(INDIRECT(A1446))</f>
        <v>112</v>
      </c>
      <c r="I1446" cm="1">
        <f t="array" aca="1" ref="I1446" ca="1">COLUMN(INDIRECT(A1446))</f>
        <v>14</v>
      </c>
      <c r="M1446" t="str" cm="1">
        <f t="array" aca="1" ref="M1446" ca="1">IF(AND(J1446="O",ISBLANK(INDIRECT(A1446))),"Valeur obligatoire non renseignée","")</f>
        <v/>
      </c>
    </row>
    <row r="1447" spans="1:13" x14ac:dyDescent="0.25">
      <c r="A1447" t="s">
        <v>4439</v>
      </c>
      <c r="B1447" cm="1">
        <f t="array" aca="1" ref="B1447" ca="1">INDIRECT(A1447)</f>
        <v>0</v>
      </c>
      <c r="C1447">
        <f t="shared" ca="1" si="88"/>
        <v>6</v>
      </c>
      <c r="D1447" t="str" cm="1">
        <f t="array" aca="1" ref="D1447" ca="1">CELL("nomfichier",INDIRECT(A1447))</f>
        <v>G:\SCPE\sdc\bq\6 - Mentions valorisantes\Certification environnementale\TEXTES_REGLEMENTATION_CE\Plans_contrôle et grilles\Grille audit niveau 3\Grille d'audit v1.11\[grille-audit-hvev4-v1.11-vf.xlsx]Biodiversité</v>
      </c>
      <c r="E1447">
        <f t="shared" ca="1" si="89"/>
        <v>200</v>
      </c>
      <c r="F1447">
        <f t="shared" ca="1" si="90"/>
        <v>212</v>
      </c>
      <c r="G1447" t="str">
        <f t="shared" ca="1" si="91"/>
        <v>Biodiversité</v>
      </c>
      <c r="H1447" cm="1">
        <f t="array" aca="1" ref="H1447" ca="1">ROW(INDIRECT(A1447))</f>
        <v>112</v>
      </c>
      <c r="I1447" cm="1">
        <f t="array" aca="1" ref="I1447" ca="1">COLUMN(INDIRECT(A1447))</f>
        <v>17</v>
      </c>
      <c r="M1447" t="str" cm="1">
        <f t="array" aca="1" ref="M1447" ca="1">IF(AND(J1447="O",ISBLANK(INDIRECT(A1447))),"Valeur obligatoire non renseignée","")</f>
        <v/>
      </c>
    </row>
    <row r="1448" spans="1:13" x14ac:dyDescent="0.25">
      <c r="A1448" t="s">
        <v>4341</v>
      </c>
      <c r="B1448" cm="1">
        <f t="array" aca="1" ref="B1448" ca="1">INDIRECT(A1448)</f>
        <v>5</v>
      </c>
      <c r="C1448">
        <f t="shared" ca="1" si="88"/>
        <v>6</v>
      </c>
      <c r="D1448" t="str" cm="1">
        <f t="array" aca="1" ref="D1448" ca="1">CELL("nomfichier",INDIRECT(A1448))</f>
        <v>G:\SCPE\sdc\bq\6 - Mentions valorisantes\Certification environnementale\TEXTES_REGLEMENTATION_CE\Plans_contrôle et grilles\Grille audit niveau 3\Grille d'audit v1.11\[grille-audit-hvev4-v1.11-vf.xlsx]Biodiversité</v>
      </c>
      <c r="E1448">
        <f t="shared" ca="1" si="89"/>
        <v>200</v>
      </c>
      <c r="F1448">
        <f t="shared" ca="1" si="90"/>
        <v>212</v>
      </c>
      <c r="G1448" t="str">
        <f t="shared" ca="1" si="91"/>
        <v>Biodiversité</v>
      </c>
      <c r="H1448" cm="1">
        <f t="array" aca="1" ref="H1448" ca="1">ROW(INDIRECT(A1448))</f>
        <v>112</v>
      </c>
      <c r="I1448" cm="1">
        <f t="array" aca="1" ref="I1448" ca="1">COLUMN(INDIRECT(A1448))</f>
        <v>23</v>
      </c>
      <c r="M1448" t="str" cm="1">
        <f t="array" aca="1" ref="M1448" ca="1">IF(AND(J1448="O",ISBLANK(INDIRECT(A1448))),"Valeur obligatoire non renseignée","")</f>
        <v/>
      </c>
    </row>
    <row r="1449" spans="1:13" x14ac:dyDescent="0.25">
      <c r="A1449" t="s">
        <v>4356</v>
      </c>
      <c r="B1449" cm="1">
        <f t="array" aca="1" ref="B1449" ca="1">INDIRECT(A1449)</f>
        <v>0</v>
      </c>
      <c r="C1449">
        <f t="shared" ca="1" si="88"/>
        <v>6</v>
      </c>
      <c r="D1449" t="str" cm="1">
        <f t="array" aca="1" ref="D1449" ca="1">CELL("nomfichier",INDIRECT(A1449))</f>
        <v>G:\SCPE\sdc\bq\6 - Mentions valorisantes\Certification environnementale\TEXTES_REGLEMENTATION_CE\Plans_contrôle et grilles\Grille audit niveau 3\Grille d'audit v1.11\[grille-audit-hvev4-v1.11-vf.xlsx]Biodiversité</v>
      </c>
      <c r="E1449">
        <f t="shared" ca="1" si="89"/>
        <v>200</v>
      </c>
      <c r="F1449">
        <f t="shared" ca="1" si="90"/>
        <v>212</v>
      </c>
      <c r="G1449" t="str">
        <f t="shared" ca="1" si="91"/>
        <v>Biodiversité</v>
      </c>
      <c r="H1449" cm="1">
        <f t="array" aca="1" ref="H1449" ca="1">ROW(INDIRECT(A1449))</f>
        <v>129</v>
      </c>
      <c r="I1449" cm="1">
        <f t="array" aca="1" ref="I1449" ca="1">COLUMN(INDIRECT(A1449))</f>
        <v>9</v>
      </c>
      <c r="M1449" t="str" cm="1">
        <f t="array" aca="1" ref="M1449" ca="1">IF(AND(J1449="O",ISBLANK(INDIRECT(A1449))),"Valeur obligatoire non renseignée","")</f>
        <v/>
      </c>
    </row>
    <row r="1450" spans="1:13" x14ac:dyDescent="0.25">
      <c r="A1450" t="s">
        <v>4354</v>
      </c>
      <c r="B1450" cm="1">
        <f t="array" aca="1" ref="B1450" ca="1">INDIRECT(A1450)</f>
        <v>0</v>
      </c>
      <c r="C1450">
        <f t="shared" ca="1" si="88"/>
        <v>6</v>
      </c>
      <c r="D1450" t="str" cm="1">
        <f t="array" aca="1" ref="D1450" ca="1">CELL("nomfichier",INDIRECT(A1450))</f>
        <v>G:\SCPE\sdc\bq\6 - Mentions valorisantes\Certification environnementale\TEXTES_REGLEMENTATION_CE\Plans_contrôle et grilles\Grille audit niveau 3\Grille d'audit v1.11\[grille-audit-hvev4-v1.11-vf.xlsx]Biodiversité</v>
      </c>
      <c r="E1450">
        <f t="shared" ca="1" si="89"/>
        <v>200</v>
      </c>
      <c r="F1450">
        <f t="shared" ca="1" si="90"/>
        <v>212</v>
      </c>
      <c r="G1450" t="str">
        <f t="shared" ca="1" si="91"/>
        <v>Biodiversité</v>
      </c>
      <c r="H1450" cm="1">
        <f t="array" aca="1" ref="H1450" ca="1">ROW(INDIRECT(A1450))</f>
        <v>130</v>
      </c>
      <c r="I1450" cm="1">
        <f t="array" aca="1" ref="I1450" ca="1">COLUMN(INDIRECT(A1450))</f>
        <v>9</v>
      </c>
      <c r="M1450" t="str" cm="1">
        <f t="array" aca="1" ref="M1450" ca="1">IF(AND(J1450="O",ISBLANK(INDIRECT(A1450))),"Valeur obligatoire non renseignée","")</f>
        <v/>
      </c>
    </row>
    <row r="1451" spans="1:13" x14ac:dyDescent="0.25">
      <c r="A1451" t="s">
        <v>4459</v>
      </c>
      <c r="B1451" cm="1">
        <f t="array" aca="1" ref="B1451" ca="1">INDIRECT(A1451)</f>
        <v>0</v>
      </c>
      <c r="C1451">
        <f t="shared" ca="1" si="88"/>
        <v>6</v>
      </c>
      <c r="D1451" t="str" cm="1">
        <f t="array" aca="1" ref="D1451" ca="1">CELL("nomfichier",INDIRECT(A1451))</f>
        <v>G:\SCPE\sdc\bq\6 - Mentions valorisantes\Certification environnementale\TEXTES_REGLEMENTATION_CE\Plans_contrôle et grilles\Grille audit niveau 3\Grille d'audit v1.11\[grille-audit-hvev4-v1.11-vf.xlsx]Biodiversité</v>
      </c>
      <c r="E1451">
        <f t="shared" ca="1" si="89"/>
        <v>200</v>
      </c>
      <c r="F1451">
        <f t="shared" ca="1" si="90"/>
        <v>212</v>
      </c>
      <c r="G1451" t="str">
        <f t="shared" ca="1" si="91"/>
        <v>Biodiversité</v>
      </c>
      <c r="H1451" cm="1">
        <f t="array" aca="1" ref="H1451" ca="1">ROW(INDIRECT(A1451))</f>
        <v>130</v>
      </c>
      <c r="I1451" cm="1">
        <f t="array" aca="1" ref="I1451" ca="1">COLUMN(INDIRECT(A1451))</f>
        <v>12</v>
      </c>
      <c r="M1451" t="str" cm="1">
        <f t="array" aca="1" ref="M1451" ca="1">IF(AND(J1451="O",ISBLANK(INDIRECT(A1451))),"Valeur obligatoire non renseignée","")</f>
        <v/>
      </c>
    </row>
    <row r="1452" spans="1:13" x14ac:dyDescent="0.25">
      <c r="A1452" t="s">
        <v>4363</v>
      </c>
      <c r="B1452" cm="1">
        <f t="array" aca="1" ref="B1452" ca="1">INDIRECT(A1452)</f>
        <v>0</v>
      </c>
      <c r="C1452">
        <f t="shared" ca="1" si="88"/>
        <v>6</v>
      </c>
      <c r="D1452" t="str" cm="1">
        <f t="array" aca="1" ref="D1452" ca="1">CELL("nomfichier",INDIRECT(A1452))</f>
        <v>G:\SCPE\sdc\bq\6 - Mentions valorisantes\Certification environnementale\TEXTES_REGLEMENTATION_CE\Plans_contrôle et grilles\Grille audit niveau 3\Grille d'audit v1.11\[grille-audit-hvev4-v1.11-vf.xlsx]Biodiversité</v>
      </c>
      <c r="E1452">
        <f t="shared" ca="1" si="89"/>
        <v>200</v>
      </c>
      <c r="F1452">
        <f t="shared" ca="1" si="90"/>
        <v>212</v>
      </c>
      <c r="G1452" t="str">
        <f t="shared" ca="1" si="91"/>
        <v>Biodiversité</v>
      </c>
      <c r="H1452" cm="1">
        <f t="array" aca="1" ref="H1452" ca="1">ROW(INDIRECT(A1452))</f>
        <v>133</v>
      </c>
      <c r="I1452" cm="1">
        <f t="array" aca="1" ref="I1452" ca="1">COLUMN(INDIRECT(A1452))</f>
        <v>9</v>
      </c>
      <c r="M1452" t="str" cm="1">
        <f t="array" aca="1" ref="M1452" ca="1">IF(AND(J1452="O",ISBLANK(INDIRECT(A1452))),"Valeur obligatoire non renseignée","")</f>
        <v/>
      </c>
    </row>
    <row r="1453" spans="1:13" x14ac:dyDescent="0.25">
      <c r="A1453" t="s">
        <v>4290</v>
      </c>
      <c r="B1453" cm="1">
        <f t="array" aca="1" ref="B1453" ca="1">INDIRECT(A1453)</f>
        <v>0</v>
      </c>
      <c r="C1453">
        <f t="shared" ca="1" si="88"/>
        <v>6</v>
      </c>
      <c r="D1453" t="str" cm="1">
        <f t="array" aca="1" ref="D1453" ca="1">CELL("nomfichier",INDIRECT(A1453))</f>
        <v>G:\SCPE\sdc\bq\6 - Mentions valorisantes\Certification environnementale\TEXTES_REGLEMENTATION_CE\Plans_contrôle et grilles\Grille audit niveau 3\Grille d'audit v1.11\[grille-audit-hvev4-v1.11-vf.xlsx]Biodiversité</v>
      </c>
      <c r="E1453">
        <f t="shared" ca="1" si="89"/>
        <v>200</v>
      </c>
      <c r="F1453">
        <f t="shared" ca="1" si="90"/>
        <v>212</v>
      </c>
      <c r="G1453" t="str">
        <f t="shared" ca="1" si="91"/>
        <v>Biodiversité</v>
      </c>
      <c r="H1453" cm="1">
        <f t="array" aca="1" ref="H1453" ca="1">ROW(INDIRECT(A1453))</f>
        <v>133</v>
      </c>
      <c r="I1453" cm="1">
        <f t="array" aca="1" ref="I1453" ca="1">COLUMN(INDIRECT(A1453))</f>
        <v>12</v>
      </c>
      <c r="M1453" t="str" cm="1">
        <f t="array" aca="1" ref="M1453" ca="1">IF(AND(J1453="O",ISBLANK(INDIRECT(A1453))),"Valeur obligatoire non renseignée","")</f>
        <v/>
      </c>
    </row>
    <row r="1454" spans="1:13" x14ac:dyDescent="0.25">
      <c r="A1454" t="s">
        <v>4294</v>
      </c>
      <c r="B1454" cm="1">
        <f t="array" aca="1" ref="B1454" ca="1">INDIRECT(A1454)</f>
        <v>0</v>
      </c>
      <c r="C1454">
        <f t="shared" ca="1" si="88"/>
        <v>6</v>
      </c>
      <c r="D1454" t="str" cm="1">
        <f t="array" aca="1" ref="D1454" ca="1">CELL("nomfichier",INDIRECT(A1454))</f>
        <v>G:\SCPE\sdc\bq\6 - Mentions valorisantes\Certification environnementale\TEXTES_REGLEMENTATION_CE\Plans_contrôle et grilles\Grille audit niveau 3\Grille d'audit v1.11\[grille-audit-hvev4-v1.11-vf.xlsx]Biodiversité</v>
      </c>
      <c r="E1454">
        <f t="shared" ca="1" si="89"/>
        <v>200</v>
      </c>
      <c r="F1454">
        <f t="shared" ca="1" si="90"/>
        <v>212</v>
      </c>
      <c r="G1454" t="str">
        <f t="shared" ca="1" si="91"/>
        <v>Biodiversité</v>
      </c>
      <c r="H1454" cm="1">
        <f t="array" aca="1" ref="H1454" ca="1">ROW(INDIRECT(A1454))</f>
        <v>134</v>
      </c>
      <c r="I1454" cm="1">
        <f t="array" aca="1" ref="I1454" ca="1">COLUMN(INDIRECT(A1454))</f>
        <v>12</v>
      </c>
      <c r="M1454" t="str" cm="1">
        <f t="array" aca="1" ref="M1454" ca="1">IF(AND(J1454="O",ISBLANK(INDIRECT(A1454))),"Valeur obligatoire non renseignée","")</f>
        <v/>
      </c>
    </row>
    <row r="1455" spans="1:13" x14ac:dyDescent="0.25">
      <c r="A1455" t="s">
        <v>4293</v>
      </c>
      <c r="B1455" cm="1">
        <f t="array" aca="1" ref="B1455" ca="1">INDIRECT(A1455)</f>
        <v>0</v>
      </c>
      <c r="C1455">
        <f t="shared" ca="1" si="88"/>
        <v>6</v>
      </c>
      <c r="D1455" t="str" cm="1">
        <f t="array" aca="1" ref="D1455" ca="1">CELL("nomfichier",INDIRECT(A1455))</f>
        <v>G:\SCPE\sdc\bq\6 - Mentions valorisantes\Certification environnementale\TEXTES_REGLEMENTATION_CE\Plans_contrôle et grilles\Grille audit niveau 3\Grille d'audit v1.11\[grille-audit-hvev4-v1.11-vf.xlsx]Biodiversité</v>
      </c>
      <c r="E1455">
        <f t="shared" ca="1" si="89"/>
        <v>200</v>
      </c>
      <c r="F1455">
        <f t="shared" ca="1" si="90"/>
        <v>212</v>
      </c>
      <c r="G1455" t="str">
        <f t="shared" ca="1" si="91"/>
        <v>Biodiversité</v>
      </c>
      <c r="H1455" cm="1">
        <f t="array" aca="1" ref="H1455" ca="1">ROW(INDIRECT(A1455))</f>
        <v>135</v>
      </c>
      <c r="I1455" cm="1">
        <f t="array" aca="1" ref="I1455" ca="1">COLUMN(INDIRECT(A1455))</f>
        <v>12</v>
      </c>
      <c r="M1455" t="str" cm="1">
        <f t="array" aca="1" ref="M1455" ca="1">IF(AND(J1455="O",ISBLANK(INDIRECT(A1455))),"Valeur obligatoire non renseignée","")</f>
        <v/>
      </c>
    </row>
    <row r="1456" spans="1:13" x14ac:dyDescent="0.25">
      <c r="A1456" t="s">
        <v>4292</v>
      </c>
      <c r="B1456" cm="1">
        <f t="array" aca="1" ref="B1456" ca="1">INDIRECT(A1456)</f>
        <v>0</v>
      </c>
      <c r="C1456">
        <f t="shared" ca="1" si="88"/>
        <v>6</v>
      </c>
      <c r="D1456" t="str" cm="1">
        <f t="array" aca="1" ref="D1456" ca="1">CELL("nomfichier",INDIRECT(A1456))</f>
        <v>G:\SCPE\sdc\bq\6 - Mentions valorisantes\Certification environnementale\TEXTES_REGLEMENTATION_CE\Plans_contrôle et grilles\Grille audit niveau 3\Grille d'audit v1.11\[grille-audit-hvev4-v1.11-vf.xlsx]Biodiversité</v>
      </c>
      <c r="E1456">
        <f t="shared" ca="1" si="89"/>
        <v>200</v>
      </c>
      <c r="F1456">
        <f t="shared" ca="1" si="90"/>
        <v>212</v>
      </c>
      <c r="G1456" t="str">
        <f t="shared" ca="1" si="91"/>
        <v>Biodiversité</v>
      </c>
      <c r="H1456" cm="1">
        <f t="array" aca="1" ref="H1456" ca="1">ROW(INDIRECT(A1456))</f>
        <v>136</v>
      </c>
      <c r="I1456" cm="1">
        <f t="array" aca="1" ref="I1456" ca="1">COLUMN(INDIRECT(A1456))</f>
        <v>12</v>
      </c>
      <c r="M1456" t="str" cm="1">
        <f t="array" aca="1" ref="M1456" ca="1">IF(AND(J1456="O",ISBLANK(INDIRECT(A1456))),"Valeur obligatoire non renseignée","")</f>
        <v/>
      </c>
    </row>
    <row r="1457" spans="1:13" x14ac:dyDescent="0.25">
      <c r="A1457" t="s">
        <v>4291</v>
      </c>
      <c r="B1457" cm="1">
        <f t="array" aca="1" ref="B1457" ca="1">INDIRECT(A1457)</f>
        <v>0</v>
      </c>
      <c r="C1457">
        <f t="shared" ca="1" si="88"/>
        <v>6</v>
      </c>
      <c r="D1457" t="str" cm="1">
        <f t="array" aca="1" ref="D1457" ca="1">CELL("nomfichier",INDIRECT(A1457))</f>
        <v>G:\SCPE\sdc\bq\6 - Mentions valorisantes\Certification environnementale\TEXTES_REGLEMENTATION_CE\Plans_contrôle et grilles\Grille audit niveau 3\Grille d'audit v1.11\[grille-audit-hvev4-v1.11-vf.xlsx]Biodiversité</v>
      </c>
      <c r="E1457">
        <f t="shared" ca="1" si="89"/>
        <v>200</v>
      </c>
      <c r="F1457">
        <f t="shared" ca="1" si="90"/>
        <v>212</v>
      </c>
      <c r="G1457" t="str">
        <f t="shared" ca="1" si="91"/>
        <v>Biodiversité</v>
      </c>
      <c r="H1457" cm="1">
        <f t="array" aca="1" ref="H1457" ca="1">ROW(INDIRECT(A1457))</f>
        <v>141</v>
      </c>
      <c r="I1457" cm="1">
        <f t="array" aca="1" ref="I1457" ca="1">COLUMN(INDIRECT(A1457))</f>
        <v>12</v>
      </c>
      <c r="M1457" t="str" cm="1">
        <f t="array" aca="1" ref="M1457" ca="1">IF(AND(J1457="O",ISBLANK(INDIRECT(A1457))),"Valeur obligatoire non renseignée","")</f>
        <v/>
      </c>
    </row>
    <row r="1458" spans="1:13" x14ac:dyDescent="0.25">
      <c r="A1458" t="s">
        <v>4372</v>
      </c>
      <c r="B1458" cm="1">
        <f t="array" aca="1" ref="B1458" ca="1">INDIRECT(A1458)</f>
        <v>0</v>
      </c>
      <c r="C1458">
        <f t="shared" ca="1" si="88"/>
        <v>6</v>
      </c>
      <c r="D1458" t="str" cm="1">
        <f t="array" aca="1" ref="D1458" ca="1">CELL("nomfichier",INDIRECT(A1458))</f>
        <v>G:\SCPE\sdc\bq\6 - Mentions valorisantes\Certification environnementale\TEXTES_REGLEMENTATION_CE\Plans_contrôle et grilles\Grille audit niveau 3\Grille d'audit v1.11\[grille-audit-hvev4-v1.11-vf.xlsx]Biodiversité</v>
      </c>
      <c r="E1458">
        <f t="shared" ca="1" si="89"/>
        <v>200</v>
      </c>
      <c r="F1458">
        <f t="shared" ca="1" si="90"/>
        <v>212</v>
      </c>
      <c r="G1458" t="str">
        <f t="shared" ca="1" si="91"/>
        <v>Biodiversité</v>
      </c>
      <c r="H1458" cm="1">
        <f t="array" aca="1" ref="H1458" ca="1">ROW(INDIRECT(A1458))</f>
        <v>144</v>
      </c>
      <c r="I1458" cm="1">
        <f t="array" aca="1" ref="I1458" ca="1">COLUMN(INDIRECT(A1458))</f>
        <v>9</v>
      </c>
      <c r="M1458" t="str" cm="1">
        <f t="array" aca="1" ref="M1458" ca="1">IF(AND(J1458="O",ISBLANK(INDIRECT(A1458))),"Valeur obligatoire non renseignée","")</f>
        <v/>
      </c>
    </row>
    <row r="1459" spans="1:13" x14ac:dyDescent="0.25">
      <c r="A1459" t="s">
        <v>4366</v>
      </c>
      <c r="B1459" cm="1">
        <f t="array" aca="1" ref="B1459" ca="1">INDIRECT(A1459)</f>
        <v>0</v>
      </c>
      <c r="C1459">
        <f t="shared" ca="1" si="88"/>
        <v>6</v>
      </c>
      <c r="D1459" t="str" cm="1">
        <f t="array" aca="1" ref="D1459" ca="1">CELL("nomfichier",INDIRECT(A1459))</f>
        <v>G:\SCPE\sdc\bq\6 - Mentions valorisantes\Certification environnementale\TEXTES_REGLEMENTATION_CE\Plans_contrôle et grilles\Grille audit niveau 3\Grille d'audit v1.11\[grille-audit-hvev4-v1.11-vf.xlsx]Biodiversité</v>
      </c>
      <c r="E1459">
        <f t="shared" ca="1" si="89"/>
        <v>200</v>
      </c>
      <c r="F1459">
        <f t="shared" ca="1" si="90"/>
        <v>212</v>
      </c>
      <c r="G1459" t="str">
        <f t="shared" ca="1" si="91"/>
        <v>Biodiversité</v>
      </c>
      <c r="H1459" cm="1">
        <f t="array" aca="1" ref="H1459" ca="1">ROW(INDIRECT(A1459))</f>
        <v>145</v>
      </c>
      <c r="I1459" cm="1">
        <f t="array" aca="1" ref="I1459" ca="1">COLUMN(INDIRECT(A1459))</f>
        <v>9</v>
      </c>
      <c r="M1459" t="str" cm="1">
        <f t="array" aca="1" ref="M1459" ca="1">IF(AND(J1459="O",ISBLANK(INDIRECT(A1459))),"Valeur obligatoire non renseignée","")</f>
        <v/>
      </c>
    </row>
    <row r="1460" spans="1:13" x14ac:dyDescent="0.25">
      <c r="A1460" t="s">
        <v>4365</v>
      </c>
      <c r="B1460" cm="1">
        <f t="array" aca="1" ref="B1460" ca="1">INDIRECT(A1460)</f>
        <v>0</v>
      </c>
      <c r="C1460">
        <f t="shared" ca="1" si="88"/>
        <v>6</v>
      </c>
      <c r="D1460" t="str" cm="1">
        <f t="array" aca="1" ref="D1460" ca="1">CELL("nomfichier",INDIRECT(A1460))</f>
        <v>G:\SCPE\sdc\bq\6 - Mentions valorisantes\Certification environnementale\TEXTES_REGLEMENTATION_CE\Plans_contrôle et grilles\Grille audit niveau 3\Grille d'audit v1.11\[grille-audit-hvev4-v1.11-vf.xlsx]Biodiversité</v>
      </c>
      <c r="E1460">
        <f t="shared" ca="1" si="89"/>
        <v>200</v>
      </c>
      <c r="F1460">
        <f t="shared" ca="1" si="90"/>
        <v>212</v>
      </c>
      <c r="G1460" t="str">
        <f t="shared" ca="1" si="91"/>
        <v>Biodiversité</v>
      </c>
      <c r="H1460" cm="1">
        <f t="array" aca="1" ref="H1460" ca="1">ROW(INDIRECT(A1460))</f>
        <v>146</v>
      </c>
      <c r="I1460" cm="1">
        <f t="array" aca="1" ref="I1460" ca="1">COLUMN(INDIRECT(A1460))</f>
        <v>9</v>
      </c>
      <c r="M1460" t="str" cm="1">
        <f t="array" aca="1" ref="M1460" ca="1">IF(AND(J1460="O",ISBLANK(INDIRECT(A1460))),"Valeur obligatoire non renseignée","")</f>
        <v/>
      </c>
    </row>
    <row r="1461" spans="1:13" x14ac:dyDescent="0.25">
      <c r="A1461" t="s">
        <v>4353</v>
      </c>
      <c r="B1461" cm="1">
        <f t="array" aca="1" ref="B1461" ca="1">INDIRECT(A1461)</f>
        <v>0</v>
      </c>
      <c r="C1461">
        <f t="shared" ca="1" si="88"/>
        <v>6</v>
      </c>
      <c r="D1461" t="str" cm="1">
        <f t="array" aca="1" ref="D1461" ca="1">CELL("nomfichier",INDIRECT(A1461))</f>
        <v>G:\SCPE\sdc\bq\6 - Mentions valorisantes\Certification environnementale\TEXTES_REGLEMENTATION_CE\Plans_contrôle et grilles\Grille audit niveau 3\Grille d'audit v1.11\[grille-audit-hvev4-v1.11-vf.xlsx]Biodiversité</v>
      </c>
      <c r="E1461">
        <f t="shared" ca="1" si="89"/>
        <v>200</v>
      </c>
      <c r="F1461">
        <f t="shared" ca="1" si="90"/>
        <v>212</v>
      </c>
      <c r="G1461" t="str">
        <f t="shared" ca="1" si="91"/>
        <v>Biodiversité</v>
      </c>
      <c r="H1461" cm="1">
        <f t="array" aca="1" ref="H1461" ca="1">ROW(INDIRECT(A1461))</f>
        <v>147</v>
      </c>
      <c r="I1461" cm="1">
        <f t="array" aca="1" ref="I1461" ca="1">COLUMN(INDIRECT(A1461))</f>
        <v>9</v>
      </c>
      <c r="M1461" t="str" cm="1">
        <f t="array" aca="1" ref="M1461" ca="1">IF(AND(J1461="O",ISBLANK(INDIRECT(A1461))),"Valeur obligatoire non renseignée","")</f>
        <v/>
      </c>
    </row>
    <row r="1462" spans="1:13" x14ac:dyDescent="0.25">
      <c r="A1462" t="s">
        <v>4357</v>
      </c>
      <c r="B1462" cm="1">
        <f t="array" aca="1" ref="B1462" ca="1">INDIRECT(A1462)</f>
        <v>0</v>
      </c>
      <c r="C1462">
        <f t="shared" ca="1" si="88"/>
        <v>6</v>
      </c>
      <c r="D1462" t="str" cm="1">
        <f t="array" aca="1" ref="D1462" ca="1">CELL("nomfichier",INDIRECT(A1462))</f>
        <v>G:\SCPE\sdc\bq\6 - Mentions valorisantes\Certification environnementale\TEXTES_REGLEMENTATION_CE\Plans_contrôle et grilles\Grille audit niveau 3\Grille d'audit v1.11\[grille-audit-hvev4-v1.11-vf.xlsx]Biodiversité</v>
      </c>
      <c r="E1462">
        <f t="shared" ca="1" si="89"/>
        <v>200</v>
      </c>
      <c r="F1462">
        <f t="shared" ca="1" si="90"/>
        <v>212</v>
      </c>
      <c r="G1462" t="str">
        <f t="shared" ca="1" si="91"/>
        <v>Biodiversité</v>
      </c>
      <c r="H1462" cm="1">
        <f t="array" aca="1" ref="H1462" ca="1">ROW(INDIRECT(A1462))</f>
        <v>148</v>
      </c>
      <c r="I1462" cm="1">
        <f t="array" aca="1" ref="I1462" ca="1">COLUMN(INDIRECT(A1462))</f>
        <v>9</v>
      </c>
      <c r="M1462" t="str" cm="1">
        <f t="array" aca="1" ref="M1462" ca="1">IF(AND(J1462="O",ISBLANK(INDIRECT(A1462))),"Valeur obligatoire non renseignée","")</f>
        <v/>
      </c>
    </row>
    <row r="1463" spans="1:13" x14ac:dyDescent="0.25">
      <c r="A1463" t="s">
        <v>4458</v>
      </c>
      <c r="B1463" cm="1">
        <f t="array" aca="1" ref="B1463" ca="1">INDIRECT(A1463)</f>
        <v>0</v>
      </c>
      <c r="C1463">
        <f t="shared" ca="1" si="88"/>
        <v>6</v>
      </c>
      <c r="D1463" t="str" cm="1">
        <f t="array" aca="1" ref="D1463" ca="1">CELL("nomfichier",INDIRECT(A1463))</f>
        <v>G:\SCPE\sdc\bq\6 - Mentions valorisantes\Certification environnementale\TEXTES_REGLEMENTATION_CE\Plans_contrôle et grilles\Grille audit niveau 3\Grille d'audit v1.11\[grille-audit-hvev4-v1.11-vf.xlsx]Biodiversité</v>
      </c>
      <c r="E1463">
        <f t="shared" ca="1" si="89"/>
        <v>200</v>
      </c>
      <c r="F1463">
        <f t="shared" ca="1" si="90"/>
        <v>212</v>
      </c>
      <c r="G1463" t="str">
        <f t="shared" ca="1" si="91"/>
        <v>Biodiversité</v>
      </c>
      <c r="H1463" cm="1">
        <f t="array" aca="1" ref="H1463" ca="1">ROW(INDIRECT(A1463))</f>
        <v>148</v>
      </c>
      <c r="I1463" cm="1">
        <f t="array" aca="1" ref="I1463" ca="1">COLUMN(INDIRECT(A1463))</f>
        <v>12</v>
      </c>
      <c r="M1463" t="str" cm="1">
        <f t="array" aca="1" ref="M1463" ca="1">IF(AND(J1463="O",ISBLANK(INDIRECT(A1463))),"Valeur obligatoire non renseignée","")</f>
        <v/>
      </c>
    </row>
    <row r="1464" spans="1:13" x14ac:dyDescent="0.25">
      <c r="A1464" t="s">
        <v>4474</v>
      </c>
      <c r="B1464" cm="1">
        <f t="array" aca="1" ref="B1464" ca="1">INDIRECT(A1464)</f>
        <v>0</v>
      </c>
      <c r="C1464">
        <f t="shared" ca="1" si="88"/>
        <v>6</v>
      </c>
      <c r="D1464" t="str" cm="1">
        <f t="array" aca="1" ref="D1464" ca="1">CELL("nomfichier",INDIRECT(A1464))</f>
        <v>G:\SCPE\sdc\bq\6 - Mentions valorisantes\Certification environnementale\TEXTES_REGLEMENTATION_CE\Plans_contrôle et grilles\Grille audit niveau 3\Grille d'audit v1.11\[grille-audit-hvev4-v1.11-vf.xlsx]Biodiversité</v>
      </c>
      <c r="E1464">
        <f t="shared" ca="1" si="89"/>
        <v>200</v>
      </c>
      <c r="F1464">
        <f t="shared" ca="1" si="90"/>
        <v>212</v>
      </c>
      <c r="G1464" t="str">
        <f t="shared" ca="1" si="91"/>
        <v>Biodiversité</v>
      </c>
      <c r="H1464" cm="1">
        <f t="array" aca="1" ref="H1464" ca="1">ROW(INDIRECT(A1464))</f>
        <v>152</v>
      </c>
      <c r="I1464" cm="1">
        <f t="array" aca="1" ref="I1464" ca="1">COLUMN(INDIRECT(A1464))</f>
        <v>12</v>
      </c>
      <c r="M1464" t="str" cm="1">
        <f t="array" aca="1" ref="M1464" ca="1">IF(AND(J1464="O",ISBLANK(INDIRECT(A1464))),"Valeur obligatoire non renseignée","")</f>
        <v/>
      </c>
    </row>
    <row r="1465" spans="1:13" x14ac:dyDescent="0.25">
      <c r="A1465" t="s">
        <v>4433</v>
      </c>
      <c r="B1465" cm="1">
        <f t="array" aca="1" ref="B1465" ca="1">INDIRECT(A1465)</f>
        <v>0</v>
      </c>
      <c r="C1465">
        <f t="shared" ca="1" si="88"/>
        <v>6</v>
      </c>
      <c r="D1465" t="str" cm="1">
        <f t="array" aca="1" ref="D1465" ca="1">CELL("nomfichier",INDIRECT(A1465))</f>
        <v>G:\SCPE\sdc\bq\6 - Mentions valorisantes\Certification environnementale\TEXTES_REGLEMENTATION_CE\Plans_contrôle et grilles\Grille audit niveau 3\Grille d'audit v1.11\[grille-audit-hvev4-v1.11-vf.xlsx]Biodiversité</v>
      </c>
      <c r="E1465">
        <f t="shared" ca="1" si="89"/>
        <v>200</v>
      </c>
      <c r="F1465">
        <f t="shared" ca="1" si="90"/>
        <v>212</v>
      </c>
      <c r="G1465" t="str">
        <f t="shared" ca="1" si="91"/>
        <v>Biodiversité</v>
      </c>
      <c r="H1465" cm="1">
        <f t="array" aca="1" ref="H1465" ca="1">ROW(INDIRECT(A1465))</f>
        <v>154</v>
      </c>
      <c r="I1465" cm="1">
        <f t="array" aca="1" ref="I1465" ca="1">COLUMN(INDIRECT(A1465))</f>
        <v>15</v>
      </c>
      <c r="M1465" t="str" cm="1">
        <f t="array" aca="1" ref="M1465" ca="1">IF(AND(J1465="O",ISBLANK(INDIRECT(A1465))),"Valeur obligatoire non renseignée","")</f>
        <v/>
      </c>
    </row>
    <row r="1466" spans="1:13" x14ac:dyDescent="0.25">
      <c r="A1466" t="s">
        <v>4339</v>
      </c>
      <c r="B1466" cm="1">
        <f t="array" aca="1" ref="B1466" ca="1">INDIRECT(A1466)</f>
        <v>6</v>
      </c>
      <c r="C1466">
        <f t="shared" ca="1" si="88"/>
        <v>6</v>
      </c>
      <c r="D1466" t="str" cm="1">
        <f t="array" aca="1" ref="D1466" ca="1">CELL("nomfichier",INDIRECT(A1466))</f>
        <v>G:\SCPE\sdc\bq\6 - Mentions valorisantes\Certification environnementale\TEXTES_REGLEMENTATION_CE\Plans_contrôle et grilles\Grille audit niveau 3\Grille d'audit v1.11\[grille-audit-hvev4-v1.11-vf.xlsx]Biodiversité</v>
      </c>
      <c r="E1466">
        <f t="shared" ca="1" si="89"/>
        <v>200</v>
      </c>
      <c r="F1466">
        <f t="shared" ca="1" si="90"/>
        <v>212</v>
      </c>
      <c r="G1466" t="str">
        <f t="shared" ca="1" si="91"/>
        <v>Biodiversité</v>
      </c>
      <c r="H1466" cm="1">
        <f t="array" aca="1" ref="H1466" ca="1">ROW(INDIRECT(A1466))</f>
        <v>154</v>
      </c>
      <c r="I1466" cm="1">
        <f t="array" aca="1" ref="I1466" ca="1">COLUMN(INDIRECT(A1466))</f>
        <v>23</v>
      </c>
      <c r="M1466" t="str" cm="1">
        <f t="array" aca="1" ref="M1466" ca="1">IF(AND(J1466="O",ISBLANK(INDIRECT(A1466))),"Valeur obligatoire non renseignée","")</f>
        <v/>
      </c>
    </row>
    <row r="1467" spans="1:13" x14ac:dyDescent="0.25">
      <c r="A1467" t="s">
        <v>4359</v>
      </c>
      <c r="B1467" cm="1">
        <f t="array" aca="1" ref="B1467" ca="1">INDIRECT(A1467)</f>
        <v>0</v>
      </c>
      <c r="C1467">
        <f t="shared" ca="1" si="88"/>
        <v>6</v>
      </c>
      <c r="D1467" t="str" cm="1">
        <f t="array" aca="1" ref="D1467" ca="1">CELL("nomfichier",INDIRECT(A1467))</f>
        <v>G:\SCPE\sdc\bq\6 - Mentions valorisantes\Certification environnementale\TEXTES_REGLEMENTATION_CE\Plans_contrôle et grilles\Grille audit niveau 3\Grille d'audit v1.11\[grille-audit-hvev4-v1.11-vf.xlsx]Biodiversité</v>
      </c>
      <c r="E1467">
        <f t="shared" ca="1" si="89"/>
        <v>200</v>
      </c>
      <c r="F1467">
        <f t="shared" ca="1" si="90"/>
        <v>212</v>
      </c>
      <c r="G1467" t="str">
        <f t="shared" ca="1" si="91"/>
        <v>Biodiversité</v>
      </c>
      <c r="H1467" cm="1">
        <f t="array" aca="1" ref="H1467" ca="1">ROW(INDIRECT(A1467))</f>
        <v>171</v>
      </c>
      <c r="I1467" cm="1">
        <f t="array" aca="1" ref="I1467" ca="1">COLUMN(INDIRECT(A1467))</f>
        <v>9</v>
      </c>
      <c r="M1467" t="str" cm="1">
        <f t="array" aca="1" ref="M1467" ca="1">IF(AND(J1467="O",ISBLANK(INDIRECT(A1467))),"Valeur obligatoire non renseignée","")</f>
        <v/>
      </c>
    </row>
    <row r="1468" spans="1:13" x14ac:dyDescent="0.25">
      <c r="A1468" t="s">
        <v>4362</v>
      </c>
      <c r="B1468" cm="1">
        <f t="array" aca="1" ref="B1468" ca="1">INDIRECT(A1468)</f>
        <v>0</v>
      </c>
      <c r="C1468">
        <f t="shared" ca="1" si="88"/>
        <v>6</v>
      </c>
      <c r="D1468" t="str" cm="1">
        <f t="array" aca="1" ref="D1468" ca="1">CELL("nomfichier",INDIRECT(A1468))</f>
        <v>G:\SCPE\sdc\bq\6 - Mentions valorisantes\Certification environnementale\TEXTES_REGLEMENTATION_CE\Plans_contrôle et grilles\Grille audit niveau 3\Grille d'audit v1.11\[grille-audit-hvev4-v1.11-vf.xlsx]Biodiversité</v>
      </c>
      <c r="E1468">
        <f t="shared" ca="1" si="89"/>
        <v>200</v>
      </c>
      <c r="F1468">
        <f t="shared" ca="1" si="90"/>
        <v>212</v>
      </c>
      <c r="G1468" t="str">
        <f t="shared" ca="1" si="91"/>
        <v>Biodiversité</v>
      </c>
      <c r="H1468" cm="1">
        <f t="array" aca="1" ref="H1468" ca="1">ROW(INDIRECT(A1468))</f>
        <v>172</v>
      </c>
      <c r="I1468" cm="1">
        <f t="array" aca="1" ref="I1468" ca="1">COLUMN(INDIRECT(A1468))</f>
        <v>9</v>
      </c>
      <c r="M1468" t="str" cm="1">
        <f t="array" aca="1" ref="M1468" ca="1">IF(AND(J1468="O",ISBLANK(INDIRECT(A1468))),"Valeur obligatoire non renseignée","")</f>
        <v/>
      </c>
    </row>
    <row r="1469" spans="1:13" x14ac:dyDescent="0.25">
      <c r="A1469" t="s">
        <v>4361</v>
      </c>
      <c r="B1469" cm="1">
        <f t="array" aca="1" ref="B1469" ca="1">INDIRECT(A1469)</f>
        <v>0</v>
      </c>
      <c r="C1469">
        <f t="shared" ca="1" si="88"/>
        <v>6</v>
      </c>
      <c r="D1469" t="str" cm="1">
        <f t="array" aca="1" ref="D1469" ca="1">CELL("nomfichier",INDIRECT(A1469))</f>
        <v>G:\SCPE\sdc\bq\6 - Mentions valorisantes\Certification environnementale\TEXTES_REGLEMENTATION_CE\Plans_contrôle et grilles\Grille audit niveau 3\Grille d'audit v1.11\[grille-audit-hvev4-v1.11-vf.xlsx]Biodiversité</v>
      </c>
      <c r="E1469">
        <f t="shared" ca="1" si="89"/>
        <v>200</v>
      </c>
      <c r="F1469">
        <f t="shared" ca="1" si="90"/>
        <v>212</v>
      </c>
      <c r="G1469" t="str">
        <f t="shared" ca="1" si="91"/>
        <v>Biodiversité</v>
      </c>
      <c r="H1469" cm="1">
        <f t="array" aca="1" ref="H1469" ca="1">ROW(INDIRECT(A1469))</f>
        <v>173</v>
      </c>
      <c r="I1469" cm="1">
        <f t="array" aca="1" ref="I1469" ca="1">COLUMN(INDIRECT(A1469))</f>
        <v>9</v>
      </c>
      <c r="M1469" t="str" cm="1">
        <f t="array" aca="1" ref="M1469" ca="1">IF(AND(J1469="O",ISBLANK(INDIRECT(A1469))),"Valeur obligatoire non renseignée","")</f>
        <v/>
      </c>
    </row>
    <row r="1470" spans="1:13" x14ac:dyDescent="0.25">
      <c r="A1470" t="s">
        <v>4360</v>
      </c>
      <c r="B1470" cm="1">
        <f t="array" aca="1" ref="B1470" ca="1">INDIRECT(A1470)</f>
        <v>0</v>
      </c>
      <c r="C1470">
        <f t="shared" ca="1" si="88"/>
        <v>6</v>
      </c>
      <c r="D1470" t="str" cm="1">
        <f t="array" aca="1" ref="D1470" ca="1">CELL("nomfichier",INDIRECT(A1470))</f>
        <v>G:\SCPE\sdc\bq\6 - Mentions valorisantes\Certification environnementale\TEXTES_REGLEMENTATION_CE\Plans_contrôle et grilles\Grille audit niveau 3\Grille d'audit v1.11\[grille-audit-hvev4-v1.11-vf.xlsx]Biodiversité</v>
      </c>
      <c r="E1470">
        <f t="shared" ca="1" si="89"/>
        <v>200</v>
      </c>
      <c r="F1470">
        <f t="shared" ca="1" si="90"/>
        <v>212</v>
      </c>
      <c r="G1470" t="str">
        <f t="shared" ca="1" si="91"/>
        <v>Biodiversité</v>
      </c>
      <c r="H1470" cm="1">
        <f t="array" aca="1" ref="H1470" ca="1">ROW(INDIRECT(A1470))</f>
        <v>174</v>
      </c>
      <c r="I1470" cm="1">
        <f t="array" aca="1" ref="I1470" ca="1">COLUMN(INDIRECT(A1470))</f>
        <v>9</v>
      </c>
      <c r="M1470" t="str" cm="1">
        <f t="array" aca="1" ref="M1470" ca="1">IF(AND(J1470="O",ISBLANK(INDIRECT(A1470))),"Valeur obligatoire non renseignée","")</f>
        <v/>
      </c>
    </row>
    <row r="1471" spans="1:13" x14ac:dyDescent="0.25">
      <c r="A1471" t="s">
        <v>4364</v>
      </c>
      <c r="B1471" cm="1">
        <f t="array" aca="1" ref="B1471" ca="1">INDIRECT(A1471)</f>
        <v>0</v>
      </c>
      <c r="C1471">
        <f t="shared" ca="1" si="88"/>
        <v>6</v>
      </c>
      <c r="D1471" t="str" cm="1">
        <f t="array" aca="1" ref="D1471" ca="1">CELL("nomfichier",INDIRECT(A1471))</f>
        <v>G:\SCPE\sdc\bq\6 - Mentions valorisantes\Certification environnementale\TEXTES_REGLEMENTATION_CE\Plans_contrôle et grilles\Grille audit niveau 3\Grille d'audit v1.11\[grille-audit-hvev4-v1.11-vf.xlsx]Biodiversité</v>
      </c>
      <c r="E1471">
        <f t="shared" ca="1" si="89"/>
        <v>200</v>
      </c>
      <c r="F1471">
        <f t="shared" ca="1" si="90"/>
        <v>212</v>
      </c>
      <c r="G1471" t="str">
        <f t="shared" ca="1" si="91"/>
        <v>Biodiversité</v>
      </c>
      <c r="H1471" cm="1">
        <f t="array" aca="1" ref="H1471" ca="1">ROW(INDIRECT(A1471))</f>
        <v>175</v>
      </c>
      <c r="I1471" cm="1">
        <f t="array" aca="1" ref="I1471" ca="1">COLUMN(INDIRECT(A1471))</f>
        <v>9</v>
      </c>
      <c r="M1471" t="str" cm="1">
        <f t="array" aca="1" ref="M1471" ca="1">IF(AND(J1471="O",ISBLANK(INDIRECT(A1471))),"Valeur obligatoire non renseignée","")</f>
        <v/>
      </c>
    </row>
    <row r="1472" spans="1:13" x14ac:dyDescent="0.25">
      <c r="A1472" t="s">
        <v>4358</v>
      </c>
      <c r="B1472" cm="1">
        <f t="array" aca="1" ref="B1472" ca="1">INDIRECT(A1472)</f>
        <v>0</v>
      </c>
      <c r="C1472">
        <f t="shared" ca="1" si="88"/>
        <v>6</v>
      </c>
      <c r="D1472" t="str" cm="1">
        <f t="array" aca="1" ref="D1472" ca="1">CELL("nomfichier",INDIRECT(A1472))</f>
        <v>G:\SCPE\sdc\bq\6 - Mentions valorisantes\Certification environnementale\TEXTES_REGLEMENTATION_CE\Plans_contrôle et grilles\Grille audit niveau 3\Grille d'audit v1.11\[grille-audit-hvev4-v1.11-vf.xlsx]Biodiversité</v>
      </c>
      <c r="E1472">
        <f t="shared" ca="1" si="89"/>
        <v>200</v>
      </c>
      <c r="F1472">
        <f t="shared" ca="1" si="90"/>
        <v>212</v>
      </c>
      <c r="G1472" t="str">
        <f t="shared" ca="1" si="91"/>
        <v>Biodiversité</v>
      </c>
      <c r="H1472" cm="1">
        <f t="array" aca="1" ref="H1472" ca="1">ROW(INDIRECT(A1472))</f>
        <v>176</v>
      </c>
      <c r="I1472" cm="1">
        <f t="array" aca="1" ref="I1472" ca="1">COLUMN(INDIRECT(A1472))</f>
        <v>9</v>
      </c>
      <c r="M1472" t="str" cm="1">
        <f t="array" aca="1" ref="M1472" ca="1">IF(AND(J1472="O",ISBLANK(INDIRECT(A1472))),"Valeur obligatoire non renseignée","")</f>
        <v/>
      </c>
    </row>
    <row r="1473" spans="1:13" x14ac:dyDescent="0.25">
      <c r="A1473" t="s">
        <v>4476</v>
      </c>
      <c r="B1473" cm="1">
        <f t="array" aca="1" ref="B1473" ca="1">INDIRECT(A1473)</f>
        <v>0</v>
      </c>
      <c r="C1473">
        <f t="shared" ca="1" si="88"/>
        <v>6</v>
      </c>
      <c r="D1473" t="str" cm="1">
        <f t="array" aca="1" ref="D1473" ca="1">CELL("nomfichier",INDIRECT(A1473))</f>
        <v>G:\SCPE\sdc\bq\6 - Mentions valorisantes\Certification environnementale\TEXTES_REGLEMENTATION_CE\Plans_contrôle et grilles\Grille audit niveau 3\Grille d'audit v1.11\[grille-audit-hvev4-v1.11-vf.xlsx]Biodiversité</v>
      </c>
      <c r="E1473">
        <f t="shared" ca="1" si="89"/>
        <v>200</v>
      </c>
      <c r="F1473">
        <f t="shared" ca="1" si="90"/>
        <v>212</v>
      </c>
      <c r="G1473" t="str">
        <f t="shared" ca="1" si="91"/>
        <v>Biodiversité</v>
      </c>
      <c r="H1473" cm="1">
        <f t="array" aca="1" ref="H1473" ca="1">ROW(INDIRECT(A1473))</f>
        <v>180</v>
      </c>
      <c r="I1473" cm="1">
        <f t="array" aca="1" ref="I1473" ca="1">COLUMN(INDIRECT(A1473))</f>
        <v>9</v>
      </c>
      <c r="M1473" t="str" cm="1">
        <f t="array" aca="1" ref="M1473" ca="1">IF(AND(J1473="O",ISBLANK(INDIRECT(A1473))),"Valeur obligatoire non renseignée","")</f>
        <v/>
      </c>
    </row>
    <row r="1474" spans="1:13" x14ac:dyDescent="0.25">
      <c r="A1474" t="s">
        <v>4432</v>
      </c>
      <c r="B1474" cm="1">
        <f t="array" aca="1" ref="B1474" ca="1">INDIRECT(A1474)</f>
        <v>0</v>
      </c>
      <c r="C1474">
        <f t="shared" ref="C1474:C1537" ca="1" si="92">_xlfn.SHEET(INDIRECT(A1474))</f>
        <v>6</v>
      </c>
      <c r="D1474" t="str" cm="1">
        <f t="array" aca="1" ref="D1474" ca="1">CELL("nomfichier",INDIRECT(A1474))</f>
        <v>G:\SCPE\sdc\bq\6 - Mentions valorisantes\Certification environnementale\TEXTES_REGLEMENTATION_CE\Plans_contrôle et grilles\Grille audit niveau 3\Grille d'audit v1.11\[grille-audit-hvev4-v1.11-vf.xlsx]Biodiversité</v>
      </c>
      <c r="E1474">
        <f t="shared" ref="E1474:E1537" ca="1" si="93">FIND("]",D1474)</f>
        <v>200</v>
      </c>
      <c r="F1474">
        <f t="shared" ref="F1474:F1537" ca="1" si="94">LEN(D1474)</f>
        <v>212</v>
      </c>
      <c r="G1474" t="str">
        <f t="shared" ref="G1474:G1537" ca="1" si="95">RIGHT(D1474,F1474-E1474)</f>
        <v>Biodiversité</v>
      </c>
      <c r="H1474" cm="1">
        <f t="array" aca="1" ref="H1474" ca="1">ROW(INDIRECT(A1474))</f>
        <v>180</v>
      </c>
      <c r="I1474" cm="1">
        <f t="array" aca="1" ref="I1474" ca="1">COLUMN(INDIRECT(A1474))</f>
        <v>12</v>
      </c>
      <c r="M1474" t="str" cm="1">
        <f t="array" aca="1" ref="M1474" ca="1">IF(AND(J1474="O",ISBLANK(INDIRECT(A1474))),"Valeur obligatoire non renseignée","")</f>
        <v/>
      </c>
    </row>
    <row r="1475" spans="1:13" x14ac:dyDescent="0.25">
      <c r="A1475" t="s">
        <v>4338</v>
      </c>
      <c r="B1475" cm="1">
        <f t="array" aca="1" ref="B1475" ca="1">INDIRECT(A1475)</f>
        <v>3</v>
      </c>
      <c r="C1475">
        <f t="shared" ca="1" si="92"/>
        <v>6</v>
      </c>
      <c r="D1475" t="str" cm="1">
        <f t="array" aca="1" ref="D1475" ca="1">CELL("nomfichier",INDIRECT(A1475))</f>
        <v>G:\SCPE\sdc\bq\6 - Mentions valorisantes\Certification environnementale\TEXTES_REGLEMENTATION_CE\Plans_contrôle et grilles\Grille audit niveau 3\Grille d'audit v1.11\[grille-audit-hvev4-v1.11-vf.xlsx]Biodiversité</v>
      </c>
      <c r="E1475">
        <f t="shared" ca="1" si="93"/>
        <v>200</v>
      </c>
      <c r="F1475">
        <f t="shared" ca="1" si="94"/>
        <v>212</v>
      </c>
      <c r="G1475" t="str">
        <f t="shared" ca="1" si="95"/>
        <v>Biodiversité</v>
      </c>
      <c r="H1475" cm="1">
        <f t="array" aca="1" ref="H1475" ca="1">ROW(INDIRECT(A1475))</f>
        <v>180</v>
      </c>
      <c r="I1475" cm="1">
        <f t="array" aca="1" ref="I1475" ca="1">COLUMN(INDIRECT(A1475))</f>
        <v>23</v>
      </c>
      <c r="M1475" t="str" cm="1">
        <f t="array" aca="1" ref="M1475" ca="1">IF(AND(J1475="O",ISBLANK(INDIRECT(A1475))),"Valeur obligatoire non renseignée","")</f>
        <v/>
      </c>
    </row>
    <row r="1476" spans="1:13" x14ac:dyDescent="0.25">
      <c r="A1476" t="s">
        <v>4369</v>
      </c>
      <c r="B1476" cm="1">
        <f t="array" aca="1" ref="B1476" ca="1">INDIRECT(A1476)</f>
        <v>0</v>
      </c>
      <c r="C1476">
        <f t="shared" ca="1" si="92"/>
        <v>6</v>
      </c>
      <c r="D1476" t="str" cm="1">
        <f t="array" aca="1" ref="D1476" ca="1">CELL("nomfichier",INDIRECT(A1476))</f>
        <v>G:\SCPE\sdc\bq\6 - Mentions valorisantes\Certification environnementale\TEXTES_REGLEMENTATION_CE\Plans_contrôle et grilles\Grille audit niveau 3\Grille d'audit v1.11\[grille-audit-hvev4-v1.11-vf.xlsx]Biodiversité</v>
      </c>
      <c r="E1476">
        <f t="shared" ca="1" si="93"/>
        <v>200</v>
      </c>
      <c r="F1476">
        <f t="shared" ca="1" si="94"/>
        <v>212</v>
      </c>
      <c r="G1476" t="str">
        <f t="shared" ca="1" si="95"/>
        <v>Biodiversité</v>
      </c>
      <c r="H1476" cm="1">
        <f t="array" aca="1" ref="H1476" ca="1">ROW(INDIRECT(A1476))</f>
        <v>196</v>
      </c>
      <c r="I1476" cm="1">
        <f t="array" aca="1" ref="I1476" ca="1">COLUMN(INDIRECT(A1476))</f>
        <v>9</v>
      </c>
      <c r="M1476" t="str" cm="1">
        <f t="array" aca="1" ref="M1476" ca="1">IF(AND(J1476="O",ISBLANK(INDIRECT(A1476))),"Valeur obligatoire non renseignée","")</f>
        <v/>
      </c>
    </row>
    <row r="1477" spans="1:13" x14ac:dyDescent="0.25">
      <c r="A1477" t="s">
        <v>4477</v>
      </c>
      <c r="B1477" cm="1">
        <f t="array" aca="1" ref="B1477" ca="1">INDIRECT(A1477)</f>
        <v>0</v>
      </c>
      <c r="C1477">
        <f t="shared" ca="1" si="92"/>
        <v>6</v>
      </c>
      <c r="D1477" t="str" cm="1">
        <f t="array" aca="1" ref="D1477" ca="1">CELL("nomfichier",INDIRECT(A1477))</f>
        <v>G:\SCPE\sdc\bq\6 - Mentions valorisantes\Certification environnementale\TEXTES_REGLEMENTATION_CE\Plans_contrôle et grilles\Grille audit niveau 3\Grille d'audit v1.11\[grille-audit-hvev4-v1.11-vf.xlsx]Biodiversité</v>
      </c>
      <c r="E1477">
        <f t="shared" ca="1" si="93"/>
        <v>200</v>
      </c>
      <c r="F1477">
        <f t="shared" ca="1" si="94"/>
        <v>212</v>
      </c>
      <c r="G1477" t="str">
        <f t="shared" ca="1" si="95"/>
        <v>Biodiversité</v>
      </c>
      <c r="H1477" cm="1">
        <f t="array" aca="1" ref="H1477" ca="1">ROW(INDIRECT(A1477))</f>
        <v>199</v>
      </c>
      <c r="I1477" cm="1">
        <f t="array" aca="1" ref="I1477" ca="1">COLUMN(INDIRECT(A1477))</f>
        <v>9</v>
      </c>
      <c r="M1477" t="str" cm="1">
        <f t="array" aca="1" ref="M1477" ca="1">IF(AND(J1477="O",ISBLANK(INDIRECT(A1477))),"Valeur obligatoire non renseignée","")</f>
        <v/>
      </c>
    </row>
    <row r="1478" spans="1:13" x14ac:dyDescent="0.25">
      <c r="A1478" t="s">
        <v>4441</v>
      </c>
      <c r="B1478" cm="1">
        <f t="array" aca="1" ref="B1478" ca="1">INDIRECT(A1478)</f>
        <v>0</v>
      </c>
      <c r="C1478">
        <f t="shared" ca="1" si="92"/>
        <v>6</v>
      </c>
      <c r="D1478" t="str" cm="1">
        <f t="array" aca="1" ref="D1478" ca="1">CELL("nomfichier",INDIRECT(A1478))</f>
        <v>G:\SCPE\sdc\bq\6 - Mentions valorisantes\Certification environnementale\TEXTES_REGLEMENTATION_CE\Plans_contrôle et grilles\Grille audit niveau 3\Grille d'audit v1.11\[grille-audit-hvev4-v1.11-vf.xlsx]Biodiversité</v>
      </c>
      <c r="E1478">
        <f t="shared" ca="1" si="93"/>
        <v>200</v>
      </c>
      <c r="F1478">
        <f t="shared" ca="1" si="94"/>
        <v>212</v>
      </c>
      <c r="G1478" t="str">
        <f t="shared" ca="1" si="95"/>
        <v>Biodiversité</v>
      </c>
      <c r="H1478" cm="1">
        <f t="array" aca="1" ref="H1478" ca="1">ROW(INDIRECT(A1478))</f>
        <v>199</v>
      </c>
      <c r="I1478" cm="1">
        <f t="array" aca="1" ref="I1478" ca="1">COLUMN(INDIRECT(A1478))</f>
        <v>12</v>
      </c>
      <c r="M1478" t="str" cm="1">
        <f t="array" aca="1" ref="M1478" ca="1">IF(AND(J1478="O",ISBLANK(INDIRECT(A1478))),"Valeur obligatoire non renseignée","")</f>
        <v/>
      </c>
    </row>
    <row r="1479" spans="1:13" x14ac:dyDescent="0.25">
      <c r="A1479" t="s">
        <v>4342</v>
      </c>
      <c r="B1479" cm="1">
        <f t="array" aca="1" ref="B1479" ca="1">INDIRECT(A1479)</f>
        <v>1</v>
      </c>
      <c r="C1479">
        <f t="shared" ca="1" si="92"/>
        <v>6</v>
      </c>
      <c r="D1479" t="str" cm="1">
        <f t="array" aca="1" ref="D1479" ca="1">CELL("nomfichier",INDIRECT(A1479))</f>
        <v>G:\SCPE\sdc\bq\6 - Mentions valorisantes\Certification environnementale\TEXTES_REGLEMENTATION_CE\Plans_contrôle et grilles\Grille audit niveau 3\Grille d'audit v1.11\[grille-audit-hvev4-v1.11-vf.xlsx]Biodiversité</v>
      </c>
      <c r="E1479">
        <f t="shared" ca="1" si="93"/>
        <v>200</v>
      </c>
      <c r="F1479">
        <f t="shared" ca="1" si="94"/>
        <v>212</v>
      </c>
      <c r="G1479" t="str">
        <f t="shared" ca="1" si="95"/>
        <v>Biodiversité</v>
      </c>
      <c r="H1479" cm="1">
        <f t="array" aca="1" ref="H1479" ca="1">ROW(INDIRECT(A1479))</f>
        <v>199</v>
      </c>
      <c r="I1479" cm="1">
        <f t="array" aca="1" ref="I1479" ca="1">COLUMN(INDIRECT(A1479))</f>
        <v>23</v>
      </c>
      <c r="M1479" t="str" cm="1">
        <f t="array" aca="1" ref="M1479" ca="1">IF(AND(J1479="O",ISBLANK(INDIRECT(A1479))),"Valeur obligatoire non renseignée","")</f>
        <v/>
      </c>
    </row>
    <row r="1480" spans="1:13" x14ac:dyDescent="0.25">
      <c r="A1480" t="s">
        <v>4371</v>
      </c>
      <c r="B1480" cm="1">
        <f t="array" aca="1" ref="B1480" ca="1">INDIRECT(A1480)</f>
        <v>0</v>
      </c>
      <c r="C1480">
        <f t="shared" ca="1" si="92"/>
        <v>6</v>
      </c>
      <c r="D1480" t="str" cm="1">
        <f t="array" aca="1" ref="D1480" ca="1">CELL("nomfichier",INDIRECT(A1480))</f>
        <v>G:\SCPE\sdc\bq\6 - Mentions valorisantes\Certification environnementale\TEXTES_REGLEMENTATION_CE\Plans_contrôle et grilles\Grille audit niveau 3\Grille d'audit v1.11\[grille-audit-hvev4-v1.11-vf.xlsx]Biodiversité</v>
      </c>
      <c r="E1480">
        <f t="shared" ca="1" si="93"/>
        <v>200</v>
      </c>
      <c r="F1480">
        <f t="shared" ca="1" si="94"/>
        <v>212</v>
      </c>
      <c r="G1480" t="str">
        <f t="shared" ca="1" si="95"/>
        <v>Biodiversité</v>
      </c>
      <c r="H1480" cm="1">
        <f t="array" aca="1" ref="H1480" ca="1">ROW(INDIRECT(A1480))</f>
        <v>215</v>
      </c>
      <c r="I1480" cm="1">
        <f t="array" aca="1" ref="I1480" ca="1">COLUMN(INDIRECT(A1480))</f>
        <v>9</v>
      </c>
      <c r="M1480" t="str" cm="1">
        <f t="array" aca="1" ref="M1480" ca="1">IF(AND(J1480="O",ISBLANK(INDIRECT(A1480))),"Valeur obligatoire non renseignée","")</f>
        <v/>
      </c>
    </row>
    <row r="1481" spans="1:13" x14ac:dyDescent="0.25">
      <c r="A1481" t="s">
        <v>4368</v>
      </c>
      <c r="B1481" cm="1">
        <f t="array" aca="1" ref="B1481" ca="1">INDIRECT(A1481)</f>
        <v>0</v>
      </c>
      <c r="C1481">
        <f t="shared" ca="1" si="92"/>
        <v>6</v>
      </c>
      <c r="D1481" t="str" cm="1">
        <f t="array" aca="1" ref="D1481" ca="1">CELL("nomfichier",INDIRECT(A1481))</f>
        <v>G:\SCPE\sdc\bq\6 - Mentions valorisantes\Certification environnementale\TEXTES_REGLEMENTATION_CE\Plans_contrôle et grilles\Grille audit niveau 3\Grille d'audit v1.11\[grille-audit-hvev4-v1.11-vf.xlsx]Biodiversité</v>
      </c>
      <c r="E1481">
        <f t="shared" ca="1" si="93"/>
        <v>200</v>
      </c>
      <c r="F1481">
        <f t="shared" ca="1" si="94"/>
        <v>212</v>
      </c>
      <c r="G1481" t="str">
        <f t="shared" ca="1" si="95"/>
        <v>Biodiversité</v>
      </c>
      <c r="H1481" cm="1">
        <f t="array" aca="1" ref="H1481" ca="1">ROW(INDIRECT(A1481))</f>
        <v>216</v>
      </c>
      <c r="I1481" cm="1">
        <f t="array" aca="1" ref="I1481" ca="1">COLUMN(INDIRECT(A1481))</f>
        <v>9</v>
      </c>
      <c r="M1481" t="str" cm="1">
        <f t="array" aca="1" ref="M1481" ca="1">IF(AND(J1481="O",ISBLANK(INDIRECT(A1481))),"Valeur obligatoire non renseignée","")</f>
        <v/>
      </c>
    </row>
    <row r="1482" spans="1:13" x14ac:dyDescent="0.25">
      <c r="A1482" t="s">
        <v>4374</v>
      </c>
      <c r="B1482" cm="1">
        <f t="array" aca="1" ref="B1482" ca="1">INDIRECT(A1482)</f>
        <v>0</v>
      </c>
      <c r="C1482">
        <f t="shared" ca="1" si="92"/>
        <v>6</v>
      </c>
      <c r="D1482" t="str" cm="1">
        <f t="array" aca="1" ref="D1482" ca="1">CELL("nomfichier",INDIRECT(A1482))</f>
        <v>G:\SCPE\sdc\bq\6 - Mentions valorisantes\Certification environnementale\TEXTES_REGLEMENTATION_CE\Plans_contrôle et grilles\Grille audit niveau 3\Grille d'audit v1.11\[grille-audit-hvev4-v1.11-vf.xlsx]Biodiversité</v>
      </c>
      <c r="E1482">
        <f t="shared" ca="1" si="93"/>
        <v>200</v>
      </c>
      <c r="F1482">
        <f t="shared" ca="1" si="94"/>
        <v>212</v>
      </c>
      <c r="G1482" t="str">
        <f t="shared" ca="1" si="95"/>
        <v>Biodiversité</v>
      </c>
      <c r="H1482" cm="1">
        <f t="array" aca="1" ref="H1482" ca="1">ROW(INDIRECT(A1482))</f>
        <v>220</v>
      </c>
      <c r="I1482" cm="1">
        <f t="array" aca="1" ref="I1482" ca="1">COLUMN(INDIRECT(A1482))</f>
        <v>3</v>
      </c>
      <c r="M1482" t="str" cm="1">
        <f t="array" aca="1" ref="M1482" ca="1">IF(AND(J1482="O",ISBLANK(INDIRECT(A1482))),"Valeur obligatoire non renseignée","")</f>
        <v/>
      </c>
    </row>
    <row r="1483" spans="1:13" x14ac:dyDescent="0.25">
      <c r="A1483" t="s">
        <v>4456</v>
      </c>
      <c r="B1483" cm="1">
        <f t="array" aca="1" ref="B1483" ca="1">INDIRECT(A1483)</f>
        <v>0</v>
      </c>
      <c r="C1483">
        <f t="shared" ca="1" si="92"/>
        <v>6</v>
      </c>
      <c r="D1483" t="str" cm="1">
        <f t="array" aca="1" ref="D1483" ca="1">CELL("nomfichier",INDIRECT(A1483))</f>
        <v>G:\SCPE\sdc\bq\6 - Mentions valorisantes\Certification environnementale\TEXTES_REGLEMENTATION_CE\Plans_contrôle et grilles\Grille audit niveau 3\Grille d'audit v1.11\[grille-audit-hvev4-v1.11-vf.xlsx]Biodiversité</v>
      </c>
      <c r="E1483">
        <f t="shared" ca="1" si="93"/>
        <v>200</v>
      </c>
      <c r="F1483">
        <f t="shared" ca="1" si="94"/>
        <v>212</v>
      </c>
      <c r="G1483" t="str">
        <f t="shared" ca="1" si="95"/>
        <v>Biodiversité</v>
      </c>
      <c r="H1483" cm="1">
        <f t="array" aca="1" ref="H1483" ca="1">ROW(INDIRECT(A1483))</f>
        <v>229</v>
      </c>
      <c r="I1483" cm="1">
        <f t="array" aca="1" ref="I1483" ca="1">COLUMN(INDIRECT(A1483))</f>
        <v>12</v>
      </c>
      <c r="M1483" t="str" cm="1">
        <f t="array" aca="1" ref="M1483" ca="1">IF(AND(J1483="O",ISBLANK(INDIRECT(A1483))),"Valeur obligatoire non renseignée","")</f>
        <v/>
      </c>
    </row>
    <row r="1484" spans="1:13" x14ac:dyDescent="0.25">
      <c r="A1484" t="s">
        <v>4444</v>
      </c>
      <c r="B1484" cm="1">
        <f t="array" aca="1" ref="B1484" ca="1">INDIRECT(A1484)</f>
        <v>0</v>
      </c>
      <c r="C1484">
        <f t="shared" ca="1" si="92"/>
        <v>6</v>
      </c>
      <c r="D1484" t="str" cm="1">
        <f t="array" aca="1" ref="D1484" ca="1">CELL("nomfichier",INDIRECT(A1484))</f>
        <v>G:\SCPE\sdc\bq\6 - Mentions valorisantes\Certification environnementale\TEXTES_REGLEMENTATION_CE\Plans_contrôle et grilles\Grille audit niveau 3\Grille d'audit v1.11\[grille-audit-hvev4-v1.11-vf.xlsx]Biodiversité</v>
      </c>
      <c r="E1484">
        <f t="shared" ca="1" si="93"/>
        <v>200</v>
      </c>
      <c r="F1484">
        <f t="shared" ca="1" si="94"/>
        <v>212</v>
      </c>
      <c r="G1484" t="str">
        <f t="shared" ca="1" si="95"/>
        <v>Biodiversité</v>
      </c>
      <c r="H1484" cm="1">
        <f t="array" aca="1" ref="H1484" ca="1">ROW(INDIRECT(A1484))</f>
        <v>230</v>
      </c>
      <c r="I1484" cm="1">
        <f t="array" aca="1" ref="I1484" ca="1">COLUMN(INDIRECT(A1484))</f>
        <v>12</v>
      </c>
      <c r="M1484" t="str" cm="1">
        <f t="array" aca="1" ref="M1484" ca="1">IF(AND(J1484="O",ISBLANK(INDIRECT(A1484))),"Valeur obligatoire non renseignée","")</f>
        <v/>
      </c>
    </row>
    <row r="1485" spans="1:13" x14ac:dyDescent="0.25">
      <c r="A1485" t="s">
        <v>4455</v>
      </c>
      <c r="B1485" cm="1">
        <f t="array" aca="1" ref="B1485" ca="1">INDIRECT(A1485)</f>
        <v>0</v>
      </c>
      <c r="C1485">
        <f t="shared" ca="1" si="92"/>
        <v>6</v>
      </c>
      <c r="D1485" t="str" cm="1">
        <f t="array" aca="1" ref="D1485" ca="1">CELL("nomfichier",INDIRECT(A1485))</f>
        <v>G:\SCPE\sdc\bq\6 - Mentions valorisantes\Certification environnementale\TEXTES_REGLEMENTATION_CE\Plans_contrôle et grilles\Grille audit niveau 3\Grille d'audit v1.11\[grille-audit-hvev4-v1.11-vf.xlsx]Biodiversité</v>
      </c>
      <c r="E1485">
        <f t="shared" ca="1" si="93"/>
        <v>200</v>
      </c>
      <c r="F1485">
        <f t="shared" ca="1" si="94"/>
        <v>212</v>
      </c>
      <c r="G1485" t="str">
        <f t="shared" ca="1" si="95"/>
        <v>Biodiversité</v>
      </c>
      <c r="H1485" cm="1">
        <f t="array" aca="1" ref="H1485" ca="1">ROW(INDIRECT(A1485))</f>
        <v>231</v>
      </c>
      <c r="I1485" cm="1">
        <f t="array" aca="1" ref="I1485" ca="1">COLUMN(INDIRECT(A1485))</f>
        <v>12</v>
      </c>
      <c r="M1485" t="str" cm="1">
        <f t="array" aca="1" ref="M1485" ca="1">IF(AND(J1485="O",ISBLANK(INDIRECT(A1485))),"Valeur obligatoire non renseignée","")</f>
        <v/>
      </c>
    </row>
    <row r="1486" spans="1:13" x14ac:dyDescent="0.25">
      <c r="A1486" t="s">
        <v>4336</v>
      </c>
      <c r="B1486" cm="1">
        <f t="array" aca="1" ref="B1486" ca="1">INDIRECT(A1486)</f>
        <v>6</v>
      </c>
      <c r="C1486">
        <f t="shared" ca="1" si="92"/>
        <v>6</v>
      </c>
      <c r="D1486" t="str" cm="1">
        <f t="array" aca="1" ref="D1486" ca="1">CELL("nomfichier",INDIRECT(A1486))</f>
        <v>G:\SCPE\sdc\bq\6 - Mentions valorisantes\Certification environnementale\TEXTES_REGLEMENTATION_CE\Plans_contrôle et grilles\Grille audit niveau 3\Grille d'audit v1.11\[grille-audit-hvev4-v1.11-vf.xlsx]Biodiversité</v>
      </c>
      <c r="E1486">
        <f t="shared" ca="1" si="93"/>
        <v>200</v>
      </c>
      <c r="F1486">
        <f t="shared" ca="1" si="94"/>
        <v>212</v>
      </c>
      <c r="G1486" t="str">
        <f t="shared" ca="1" si="95"/>
        <v>Biodiversité</v>
      </c>
      <c r="H1486" cm="1">
        <f t="array" aca="1" ref="H1486" ca="1">ROW(INDIRECT(A1486))</f>
        <v>231</v>
      </c>
      <c r="I1486" cm="1">
        <f t="array" aca="1" ref="I1486" ca="1">COLUMN(INDIRECT(A1486))</f>
        <v>23</v>
      </c>
      <c r="M1486" t="str" cm="1">
        <f t="array" aca="1" ref="M1486" ca="1">IF(AND(J1486="O",ISBLANK(INDIRECT(A1486))),"Valeur obligatoire non renseignée","")</f>
        <v/>
      </c>
    </row>
    <row r="1487" spans="1:13" x14ac:dyDescent="0.25">
      <c r="A1487" t="s">
        <v>4252</v>
      </c>
      <c r="B1487" cm="1">
        <f t="array" aca="1" ref="B1487" ca="1">INDIRECT(A1487)</f>
        <v>0</v>
      </c>
      <c r="C1487">
        <f t="shared" ca="1" si="92"/>
        <v>6</v>
      </c>
      <c r="D1487" t="str" cm="1">
        <f t="array" aca="1" ref="D1487" ca="1">CELL("nomfichier",INDIRECT(A1487))</f>
        <v>G:\SCPE\sdc\bq\6 - Mentions valorisantes\Certification environnementale\TEXTES_REGLEMENTATION_CE\Plans_contrôle et grilles\Grille audit niveau 3\Grille d'audit v1.11\[grille-audit-hvev4-v1.11-vf.xlsx]Biodiversité</v>
      </c>
      <c r="E1487">
        <f t="shared" ca="1" si="93"/>
        <v>200</v>
      </c>
      <c r="F1487">
        <f t="shared" ca="1" si="94"/>
        <v>212</v>
      </c>
      <c r="G1487" t="str">
        <f t="shared" ca="1" si="95"/>
        <v>Biodiversité</v>
      </c>
      <c r="H1487" cm="1">
        <f t="array" aca="1" ref="H1487" ca="1">ROW(INDIRECT(A1487))</f>
        <v>242</v>
      </c>
      <c r="I1487" cm="1">
        <f t="array" aca="1" ref="I1487" ca="1">COLUMN(INDIRECT(A1487))</f>
        <v>15</v>
      </c>
      <c r="M1487" t="str" cm="1">
        <f t="array" aca="1" ref="M1487" ca="1">IF(AND(J1487="O",ISBLANK(INDIRECT(A1487))),"Valeur obligatoire non renseignée","")</f>
        <v/>
      </c>
    </row>
    <row r="1488" spans="1:13" x14ac:dyDescent="0.25">
      <c r="A1488" t="s">
        <v>4473</v>
      </c>
      <c r="B1488" cm="1">
        <f t="array" aca="1" ref="B1488" ca="1">INDIRECT(A1488)</f>
        <v>0</v>
      </c>
      <c r="C1488">
        <f t="shared" ca="1" si="92"/>
        <v>6</v>
      </c>
      <c r="D1488" t="str" cm="1">
        <f t="array" aca="1" ref="D1488" ca="1">CELL("nomfichier",INDIRECT(A1488))</f>
        <v>G:\SCPE\sdc\bq\6 - Mentions valorisantes\Certification environnementale\TEXTES_REGLEMENTATION_CE\Plans_contrôle et grilles\Grille audit niveau 3\Grille d'audit v1.11\[grille-audit-hvev4-v1.11-vf.xlsx]Biodiversité</v>
      </c>
      <c r="E1488">
        <f t="shared" ca="1" si="93"/>
        <v>200</v>
      </c>
      <c r="F1488">
        <f t="shared" ca="1" si="94"/>
        <v>212</v>
      </c>
      <c r="G1488" t="str">
        <f t="shared" ca="1" si="95"/>
        <v>Biodiversité</v>
      </c>
      <c r="H1488" cm="1">
        <f t="array" aca="1" ref="H1488" ca="1">ROW(INDIRECT(A1488))</f>
        <v>243</v>
      </c>
      <c r="I1488" cm="1">
        <f t="array" aca="1" ref="I1488" ca="1">COLUMN(INDIRECT(A1488))</f>
        <v>15</v>
      </c>
      <c r="M1488" t="str" cm="1">
        <f t="array" aca="1" ref="M1488" ca="1">IF(AND(J1488="O",ISBLANK(INDIRECT(A1488))),"Valeur obligatoire non renseignée","")</f>
        <v/>
      </c>
    </row>
    <row r="1489" spans="1:13" x14ac:dyDescent="0.25">
      <c r="A1489" t="s">
        <v>4443</v>
      </c>
      <c r="B1489" cm="1">
        <f t="array" aca="1" ref="B1489" ca="1">INDIRECT(A1489)</f>
        <v>0</v>
      </c>
      <c r="C1489">
        <f t="shared" ca="1" si="92"/>
        <v>6</v>
      </c>
      <c r="D1489" t="str" cm="1">
        <f t="array" aca="1" ref="D1489" ca="1">CELL("nomfichier",INDIRECT(A1489))</f>
        <v>G:\SCPE\sdc\bq\6 - Mentions valorisantes\Certification environnementale\TEXTES_REGLEMENTATION_CE\Plans_contrôle et grilles\Grille audit niveau 3\Grille d'audit v1.11\[grille-audit-hvev4-v1.11-vf.xlsx]Biodiversité</v>
      </c>
      <c r="E1489">
        <f t="shared" ca="1" si="93"/>
        <v>200</v>
      </c>
      <c r="F1489">
        <f t="shared" ca="1" si="94"/>
        <v>212</v>
      </c>
      <c r="G1489" t="str">
        <f t="shared" ca="1" si="95"/>
        <v>Biodiversité</v>
      </c>
      <c r="H1489" cm="1">
        <f t="array" aca="1" ref="H1489" ca="1">ROW(INDIRECT(A1489))</f>
        <v>247</v>
      </c>
      <c r="I1489" cm="1">
        <f t="array" aca="1" ref="I1489" ca="1">COLUMN(INDIRECT(A1489))</f>
        <v>15</v>
      </c>
      <c r="M1489" t="str" cm="1">
        <f t="array" aca="1" ref="M1489" ca="1">IF(AND(J1489="O",ISBLANK(INDIRECT(A1489))),"Valeur obligatoire non renseignée","")</f>
        <v/>
      </c>
    </row>
    <row r="1490" spans="1:13" x14ac:dyDescent="0.25">
      <c r="A1490" t="s">
        <v>4343</v>
      </c>
      <c r="B1490" cm="1">
        <f t="array" aca="1" ref="B1490" ca="1">INDIRECT(A1490)</f>
        <v>1</v>
      </c>
      <c r="C1490">
        <f t="shared" ca="1" si="92"/>
        <v>6</v>
      </c>
      <c r="D1490" t="str" cm="1">
        <f t="array" aca="1" ref="D1490" ca="1">CELL("nomfichier",INDIRECT(A1490))</f>
        <v>G:\SCPE\sdc\bq\6 - Mentions valorisantes\Certification environnementale\TEXTES_REGLEMENTATION_CE\Plans_contrôle et grilles\Grille audit niveau 3\Grille d'audit v1.11\[grille-audit-hvev4-v1.11-vf.xlsx]Biodiversité</v>
      </c>
      <c r="E1490">
        <f t="shared" ca="1" si="93"/>
        <v>200</v>
      </c>
      <c r="F1490">
        <f t="shared" ca="1" si="94"/>
        <v>212</v>
      </c>
      <c r="G1490" t="str">
        <f t="shared" ca="1" si="95"/>
        <v>Biodiversité</v>
      </c>
      <c r="H1490" cm="1">
        <f t="array" aca="1" ref="H1490" ca="1">ROW(INDIRECT(A1490))</f>
        <v>247</v>
      </c>
      <c r="I1490" cm="1">
        <f t="array" aca="1" ref="I1490" ca="1">COLUMN(INDIRECT(A1490))</f>
        <v>23</v>
      </c>
      <c r="M1490" t="str" cm="1">
        <f t="array" aca="1" ref="M1490" ca="1">IF(AND(J1490="O",ISBLANK(INDIRECT(A1490))),"Valeur obligatoire non renseignée","")</f>
        <v/>
      </c>
    </row>
    <row r="1491" spans="1:13" x14ac:dyDescent="0.25">
      <c r="A1491" t="s">
        <v>4794</v>
      </c>
      <c r="B1491" cm="1">
        <f t="array" aca="1" ref="B1491" ca="1">INDIRECT(A1491)</f>
        <v>0</v>
      </c>
      <c r="C1491">
        <f t="shared" ca="1" si="92"/>
        <v>6</v>
      </c>
      <c r="D1491" t="str" cm="1">
        <f t="array" aca="1" ref="D1491" ca="1">CELL("nomfichier",INDIRECT(A1491))</f>
        <v>G:\SCPE\sdc\bq\6 - Mentions valorisantes\Certification environnementale\TEXTES_REGLEMENTATION_CE\Plans_contrôle et grilles\Grille audit niveau 3\Grille d'audit v1.11\[grille-audit-hvev4-v1.11-vf.xlsx]Biodiversité</v>
      </c>
      <c r="E1491">
        <f t="shared" ca="1" si="93"/>
        <v>200</v>
      </c>
      <c r="F1491">
        <f t="shared" ca="1" si="94"/>
        <v>212</v>
      </c>
      <c r="G1491" t="str">
        <f t="shared" ca="1" si="95"/>
        <v>Biodiversité</v>
      </c>
      <c r="H1491" cm="1">
        <f t="array" aca="1" ref="H1491" ca="1">ROW(INDIRECT(A1491))</f>
        <v>263</v>
      </c>
      <c r="I1491" cm="1">
        <f t="array" aca="1" ref="I1491" ca="1">COLUMN(INDIRECT(A1491))</f>
        <v>19</v>
      </c>
      <c r="M1491" t="str" cm="1">
        <f t="array" aca="1" ref="M1491" ca="1">IF(AND(J1491="O",ISBLANK(INDIRECT(A1491))),"Valeur obligatoire non renseignée","")</f>
        <v/>
      </c>
    </row>
    <row r="1492" spans="1:13" x14ac:dyDescent="0.25">
      <c r="A1492" t="s">
        <v>4793</v>
      </c>
      <c r="B1492" cm="1">
        <f t="array" aca="1" ref="B1492" ca="1">INDIRECT(A1492)</f>
        <v>36</v>
      </c>
      <c r="C1492">
        <f t="shared" ca="1" si="92"/>
        <v>6</v>
      </c>
      <c r="D1492" t="str" cm="1">
        <f t="array" aca="1" ref="D1492" ca="1">CELL("nomfichier",INDIRECT(A1492))</f>
        <v>G:\SCPE\sdc\bq\6 - Mentions valorisantes\Certification environnementale\TEXTES_REGLEMENTATION_CE\Plans_contrôle et grilles\Grille audit niveau 3\Grille d'audit v1.11\[grille-audit-hvev4-v1.11-vf.xlsx]Biodiversité</v>
      </c>
      <c r="E1492">
        <f t="shared" ca="1" si="93"/>
        <v>200</v>
      </c>
      <c r="F1492">
        <f t="shared" ca="1" si="94"/>
        <v>212</v>
      </c>
      <c r="G1492" t="str">
        <f t="shared" ca="1" si="95"/>
        <v>Biodiversité</v>
      </c>
      <c r="H1492" cm="1">
        <f t="array" aca="1" ref="H1492" ca="1">ROW(INDIRECT(A1492))</f>
        <v>263</v>
      </c>
      <c r="I1492" cm="1">
        <f t="array" aca="1" ref="I1492" ca="1">COLUMN(INDIRECT(A1492))</f>
        <v>23</v>
      </c>
      <c r="M1492" t="str" cm="1">
        <f t="array" aca="1" ref="M1492" ca="1">IF(AND(J1492="O",ISBLANK(INDIRECT(A1492))),"Valeur obligatoire non renseignée","")</f>
        <v/>
      </c>
    </row>
    <row r="1493" spans="1:13" x14ac:dyDescent="0.25">
      <c r="A1493" t="s">
        <v>4480</v>
      </c>
      <c r="B1493" cm="1">
        <f t="array" aca="1" ref="B1493" ca="1">INDIRECT(A1493)</f>
        <v>0</v>
      </c>
      <c r="C1493">
        <f t="shared" ca="1" si="92"/>
        <v>7</v>
      </c>
      <c r="D1493" t="str" cm="1">
        <f t="array" aca="1" ref="D1493" ca="1">CELL("nomfichier",INDIRECT(A1493))</f>
        <v>G:\SCPE\sdc\bq\6 - Mentions valorisantes\Certification environnementale\TEXTES_REGLEMENTATION_CE\Plans_contrôle et grilles\Grille audit niveau 3\Grille d'audit v1.11\[grille-audit-hvev4-v1.11-vf.xlsx]Phyto</v>
      </c>
      <c r="E1493">
        <f t="shared" ca="1" si="93"/>
        <v>200</v>
      </c>
      <c r="F1493">
        <f t="shared" ca="1" si="94"/>
        <v>205</v>
      </c>
      <c r="G1493" t="str">
        <f t="shared" ca="1" si="95"/>
        <v>Phyto</v>
      </c>
      <c r="H1493" cm="1">
        <f t="array" aca="1" ref="H1493" ca="1">ROW(INDIRECT(A1493))</f>
        <v>11</v>
      </c>
      <c r="I1493" cm="1">
        <f t="array" aca="1" ref="I1493" ca="1">COLUMN(INDIRECT(A1493))</f>
        <v>12</v>
      </c>
      <c r="M1493" t="str" cm="1">
        <f t="array" aca="1" ref="M1493" ca="1">IF(AND(J1493="O",ISBLANK(INDIRECT(A1493))),"Valeur obligatoire non renseignée","")</f>
        <v/>
      </c>
    </row>
    <row r="1494" spans="1:13" x14ac:dyDescent="0.25">
      <c r="A1494" t="s">
        <v>4288</v>
      </c>
      <c r="B1494" cm="1">
        <f t="array" aca="1" ref="B1494" ca="1">INDIRECT(A1494)</f>
        <v>0</v>
      </c>
      <c r="C1494">
        <f t="shared" ca="1" si="92"/>
        <v>7</v>
      </c>
      <c r="D1494" t="str" cm="1">
        <f t="array" aca="1" ref="D1494" ca="1">CELL("nomfichier",INDIRECT(A1494))</f>
        <v>G:\SCPE\sdc\bq\6 - Mentions valorisantes\Certification environnementale\TEXTES_REGLEMENTATION_CE\Plans_contrôle et grilles\Grille audit niveau 3\Grille d'audit v1.11\[grille-audit-hvev4-v1.11-vf.xlsx]Phyto</v>
      </c>
      <c r="E1494">
        <f t="shared" ca="1" si="93"/>
        <v>200</v>
      </c>
      <c r="F1494">
        <f t="shared" ca="1" si="94"/>
        <v>205</v>
      </c>
      <c r="G1494" t="str">
        <f t="shared" ca="1" si="95"/>
        <v>Phyto</v>
      </c>
      <c r="H1494" cm="1">
        <f t="array" aca="1" ref="H1494" ca="1">ROW(INDIRECT(A1494))</f>
        <v>14</v>
      </c>
      <c r="I1494" cm="1">
        <f t="array" aca="1" ref="I1494" ca="1">COLUMN(INDIRECT(A1494))</f>
        <v>4</v>
      </c>
      <c r="M1494" t="str" cm="1">
        <f t="array" aca="1" ref="M1494" ca="1">IF(AND(J1494="O",ISBLANK(INDIRECT(A1494))),"Valeur obligatoire non renseignée","")</f>
        <v/>
      </c>
    </row>
    <row r="1495" spans="1:13" x14ac:dyDescent="0.25">
      <c r="A1495" t="s">
        <v>4481</v>
      </c>
      <c r="B1495" cm="1">
        <f t="array" aca="1" ref="B1495" ca="1">INDIRECT(A1495)</f>
        <v>0</v>
      </c>
      <c r="C1495">
        <f t="shared" ca="1" si="92"/>
        <v>7</v>
      </c>
      <c r="D1495" t="str" cm="1">
        <f t="array" aca="1" ref="D1495" ca="1">CELL("nomfichier",INDIRECT(A1495))</f>
        <v>G:\SCPE\sdc\bq\6 - Mentions valorisantes\Certification environnementale\TEXTES_REGLEMENTATION_CE\Plans_contrôle et grilles\Grille audit niveau 3\Grille d'audit v1.11\[grille-audit-hvev4-v1.11-vf.xlsx]Phyto</v>
      </c>
      <c r="E1495">
        <f t="shared" ca="1" si="93"/>
        <v>200</v>
      </c>
      <c r="F1495">
        <f t="shared" ca="1" si="94"/>
        <v>205</v>
      </c>
      <c r="G1495" t="str">
        <f t="shared" ca="1" si="95"/>
        <v>Phyto</v>
      </c>
      <c r="H1495" cm="1">
        <f t="array" aca="1" ref="H1495" ca="1">ROW(INDIRECT(A1495))</f>
        <v>22</v>
      </c>
      <c r="I1495" cm="1">
        <f t="array" aca="1" ref="I1495" ca="1">COLUMN(INDIRECT(A1495))</f>
        <v>13</v>
      </c>
      <c r="M1495" t="str" cm="1">
        <f t="array" aca="1" ref="M1495" ca="1">IF(AND(J1495="O",ISBLANK(INDIRECT(A1495))),"Valeur obligatoire non renseignée","")</f>
        <v/>
      </c>
    </row>
    <row r="1496" spans="1:13" x14ac:dyDescent="0.25">
      <c r="A1496" t="s">
        <v>4430</v>
      </c>
      <c r="B1496" cm="1">
        <f t="array" aca="1" ref="B1496" ca="1">INDIRECT(A1496)</f>
        <v>0</v>
      </c>
      <c r="C1496">
        <f t="shared" ca="1" si="92"/>
        <v>7</v>
      </c>
      <c r="D1496" t="str" cm="1">
        <f t="array" aca="1" ref="D1496" ca="1">CELL("nomfichier",INDIRECT(A1496))</f>
        <v>G:\SCPE\sdc\bq\6 - Mentions valorisantes\Certification environnementale\TEXTES_REGLEMENTATION_CE\Plans_contrôle et grilles\Grille audit niveau 3\Grille d'audit v1.11\[grille-audit-hvev4-v1.11-vf.xlsx]Phyto</v>
      </c>
      <c r="E1496">
        <f t="shared" ca="1" si="93"/>
        <v>200</v>
      </c>
      <c r="F1496">
        <f t="shared" ca="1" si="94"/>
        <v>205</v>
      </c>
      <c r="G1496" t="str">
        <f t="shared" ca="1" si="95"/>
        <v>Phyto</v>
      </c>
      <c r="H1496" cm="1">
        <f t="array" aca="1" ref="H1496" ca="1">ROW(INDIRECT(A1496))</f>
        <v>22</v>
      </c>
      <c r="I1496" cm="1">
        <f t="array" aca="1" ref="I1496" ca="1">COLUMN(INDIRECT(A1496))</f>
        <v>16</v>
      </c>
      <c r="M1496" t="str" cm="1">
        <f t="array" aca="1" ref="M1496" ca="1">IF(AND(J1496="O",ISBLANK(INDIRECT(A1496))),"Valeur obligatoire non renseignée","")</f>
        <v/>
      </c>
    </row>
    <row r="1497" spans="1:13" x14ac:dyDescent="0.25">
      <c r="A1497" t="s">
        <v>4482</v>
      </c>
      <c r="B1497" cm="1">
        <f t="array" aca="1" ref="B1497" ca="1">INDIRECT(A1497)</f>
        <v>0</v>
      </c>
      <c r="C1497">
        <f t="shared" ca="1" si="92"/>
        <v>7</v>
      </c>
      <c r="D1497" t="str" cm="1">
        <f t="array" aca="1" ref="D1497" ca="1">CELL("nomfichier",INDIRECT(A1497))</f>
        <v>G:\SCPE\sdc\bq\6 - Mentions valorisantes\Certification environnementale\TEXTES_REGLEMENTATION_CE\Plans_contrôle et grilles\Grille audit niveau 3\Grille d'audit v1.11\[grille-audit-hvev4-v1.11-vf.xlsx]Phyto</v>
      </c>
      <c r="E1497">
        <f t="shared" ca="1" si="93"/>
        <v>200</v>
      </c>
      <c r="F1497">
        <f t="shared" ca="1" si="94"/>
        <v>205</v>
      </c>
      <c r="G1497" t="str">
        <f t="shared" ca="1" si="95"/>
        <v>Phyto</v>
      </c>
      <c r="H1497" cm="1">
        <f t="array" aca="1" ref="H1497" ca="1">ROW(INDIRECT(A1497))</f>
        <v>23</v>
      </c>
      <c r="I1497" cm="1">
        <f t="array" aca="1" ref="I1497" ca="1">COLUMN(INDIRECT(A1497))</f>
        <v>13</v>
      </c>
      <c r="M1497" t="str" cm="1">
        <f t="array" aca="1" ref="M1497" ca="1">IF(AND(J1497="O",ISBLANK(INDIRECT(A1497))),"Valeur obligatoire non renseignée","")</f>
        <v/>
      </c>
    </row>
    <row r="1498" spans="1:13" x14ac:dyDescent="0.25">
      <c r="A1498" t="s">
        <v>4434</v>
      </c>
      <c r="B1498" cm="1">
        <f t="array" aca="1" ref="B1498" ca="1">INDIRECT(A1498)</f>
        <v>0</v>
      </c>
      <c r="C1498">
        <f t="shared" ca="1" si="92"/>
        <v>7</v>
      </c>
      <c r="D1498" t="str" cm="1">
        <f t="array" aca="1" ref="D1498" ca="1">CELL("nomfichier",INDIRECT(A1498))</f>
        <v>G:\SCPE\sdc\bq\6 - Mentions valorisantes\Certification environnementale\TEXTES_REGLEMENTATION_CE\Plans_contrôle et grilles\Grille audit niveau 3\Grille d'audit v1.11\[grille-audit-hvev4-v1.11-vf.xlsx]Phyto</v>
      </c>
      <c r="E1498">
        <f t="shared" ca="1" si="93"/>
        <v>200</v>
      </c>
      <c r="F1498">
        <f t="shared" ca="1" si="94"/>
        <v>205</v>
      </c>
      <c r="G1498" t="str">
        <f t="shared" ca="1" si="95"/>
        <v>Phyto</v>
      </c>
      <c r="H1498" cm="1">
        <f t="array" aca="1" ref="H1498" ca="1">ROW(INDIRECT(A1498))</f>
        <v>23</v>
      </c>
      <c r="I1498" cm="1">
        <f t="array" aca="1" ref="I1498" ca="1">COLUMN(INDIRECT(A1498))</f>
        <v>16</v>
      </c>
      <c r="M1498" t="str" cm="1">
        <f t="array" aca="1" ref="M1498" ca="1">IF(AND(J1498="O",ISBLANK(INDIRECT(A1498))),"Valeur obligatoire non renseignée","")</f>
        <v/>
      </c>
    </row>
    <row r="1499" spans="1:13" x14ac:dyDescent="0.25">
      <c r="A1499" t="s">
        <v>4475</v>
      </c>
      <c r="B1499" cm="1">
        <f t="array" aca="1" ref="B1499" ca="1">INDIRECT(A1499)</f>
        <v>0</v>
      </c>
      <c r="C1499">
        <f t="shared" ca="1" si="92"/>
        <v>7</v>
      </c>
      <c r="D1499" t="str" cm="1">
        <f t="array" aca="1" ref="D1499" ca="1">CELL("nomfichier",INDIRECT(A1499))</f>
        <v>G:\SCPE\sdc\bq\6 - Mentions valorisantes\Certification environnementale\TEXTES_REGLEMENTATION_CE\Plans_contrôle et grilles\Grille audit niveau 3\Grille d'audit v1.11\[grille-audit-hvev4-v1.11-vf.xlsx]Phyto</v>
      </c>
      <c r="E1499">
        <f t="shared" ca="1" si="93"/>
        <v>200</v>
      </c>
      <c r="F1499">
        <f t="shared" ca="1" si="94"/>
        <v>205</v>
      </c>
      <c r="G1499" t="str">
        <f t="shared" ca="1" si="95"/>
        <v>Phyto</v>
      </c>
      <c r="H1499" cm="1">
        <f t="array" aca="1" ref="H1499" ca="1">ROW(INDIRECT(A1499))</f>
        <v>25</v>
      </c>
      <c r="I1499" cm="1">
        <f t="array" aca="1" ref="I1499" ca="1">COLUMN(INDIRECT(A1499))</f>
        <v>16</v>
      </c>
      <c r="M1499" t="str" cm="1">
        <f t="array" aca="1" ref="M1499" ca="1">IF(AND(J1499="O",ISBLANK(INDIRECT(A1499))),"Valeur obligatoire non renseignée","")</f>
        <v/>
      </c>
    </row>
    <row r="1500" spans="1:13" x14ac:dyDescent="0.25">
      <c r="A1500" t="s">
        <v>4331</v>
      </c>
      <c r="B1500" cm="1">
        <f t="array" aca="1" ref="B1500" ca="1">INDIRECT(A1500)</f>
        <v>2</v>
      </c>
      <c r="C1500">
        <f t="shared" ca="1" si="92"/>
        <v>7</v>
      </c>
      <c r="D1500" t="str" cm="1">
        <f t="array" aca="1" ref="D1500" ca="1">CELL("nomfichier",INDIRECT(A1500))</f>
        <v>G:\SCPE\sdc\bq\6 - Mentions valorisantes\Certification environnementale\TEXTES_REGLEMENTATION_CE\Plans_contrôle et grilles\Grille audit niveau 3\Grille d'audit v1.11\[grille-audit-hvev4-v1.11-vf.xlsx]Phyto</v>
      </c>
      <c r="E1500">
        <f t="shared" ca="1" si="93"/>
        <v>200</v>
      </c>
      <c r="F1500">
        <f t="shared" ca="1" si="94"/>
        <v>205</v>
      </c>
      <c r="G1500" t="str">
        <f t="shared" ca="1" si="95"/>
        <v>Phyto</v>
      </c>
      <c r="H1500" cm="1">
        <f t="array" aca="1" ref="H1500" ca="1">ROW(INDIRECT(A1500))</f>
        <v>25</v>
      </c>
      <c r="I1500" cm="1">
        <f t="array" aca="1" ref="I1500" ca="1">COLUMN(INDIRECT(A1500))</f>
        <v>23</v>
      </c>
      <c r="M1500" t="str" cm="1">
        <f t="array" aca="1" ref="M1500" ca="1">IF(AND(J1500="O",ISBLANK(INDIRECT(A1500))),"Valeur obligatoire non renseignée","")</f>
        <v/>
      </c>
    </row>
    <row r="1501" spans="1:13" x14ac:dyDescent="0.25">
      <c r="A1501" t="s">
        <v>4467</v>
      </c>
      <c r="B1501" cm="1">
        <f t="array" aca="1" ref="B1501" ca="1">INDIRECT(A1501)</f>
        <v>0</v>
      </c>
      <c r="C1501">
        <f t="shared" ca="1" si="92"/>
        <v>7</v>
      </c>
      <c r="D1501" t="str" cm="1">
        <f t="array" aca="1" ref="D1501" ca="1">CELL("nomfichier",INDIRECT(A1501))</f>
        <v>G:\SCPE\sdc\bq\6 - Mentions valorisantes\Certification environnementale\TEXTES_REGLEMENTATION_CE\Plans_contrôle et grilles\Grille audit niveau 3\Grille d'audit v1.11\[grille-audit-hvev4-v1.11-vf.xlsx]Phyto</v>
      </c>
      <c r="E1501">
        <f t="shared" ca="1" si="93"/>
        <v>200</v>
      </c>
      <c r="F1501">
        <f t="shared" ca="1" si="94"/>
        <v>205</v>
      </c>
      <c r="G1501" t="str">
        <f t="shared" ca="1" si="95"/>
        <v>Phyto</v>
      </c>
      <c r="H1501" cm="1">
        <f t="array" aca="1" ref="H1501" ca="1">ROW(INDIRECT(A1501))</f>
        <v>44</v>
      </c>
      <c r="I1501" cm="1">
        <f t="array" aca="1" ref="I1501" ca="1">COLUMN(INDIRECT(A1501))</f>
        <v>13</v>
      </c>
      <c r="M1501" t="str" cm="1">
        <f t="array" aca="1" ref="M1501" ca="1">IF(AND(J1501="O",ISBLANK(INDIRECT(A1501))),"Valeur obligatoire non renseignée","")</f>
        <v/>
      </c>
    </row>
    <row r="1502" spans="1:13" x14ac:dyDescent="0.25">
      <c r="A1502" t="s">
        <v>4465</v>
      </c>
      <c r="B1502" cm="1">
        <f t="array" aca="1" ref="B1502" ca="1">INDIRECT(A1502)</f>
        <v>0</v>
      </c>
      <c r="C1502">
        <f t="shared" ca="1" si="92"/>
        <v>7</v>
      </c>
      <c r="D1502" t="str" cm="1">
        <f t="array" aca="1" ref="D1502" ca="1">CELL("nomfichier",INDIRECT(A1502))</f>
        <v>G:\SCPE\sdc\bq\6 - Mentions valorisantes\Certification environnementale\TEXTES_REGLEMENTATION_CE\Plans_contrôle et grilles\Grille audit niveau 3\Grille d'audit v1.11\[grille-audit-hvev4-v1.11-vf.xlsx]Phyto</v>
      </c>
      <c r="E1502">
        <f t="shared" ca="1" si="93"/>
        <v>200</v>
      </c>
      <c r="F1502">
        <f t="shared" ca="1" si="94"/>
        <v>205</v>
      </c>
      <c r="G1502" t="str">
        <f t="shared" ca="1" si="95"/>
        <v>Phyto</v>
      </c>
      <c r="H1502" cm="1">
        <f t="array" aca="1" ref="H1502" ca="1">ROW(INDIRECT(A1502))</f>
        <v>45</v>
      </c>
      <c r="I1502" cm="1">
        <f t="array" aca="1" ref="I1502" ca="1">COLUMN(INDIRECT(A1502))</f>
        <v>13</v>
      </c>
      <c r="M1502" t="str" cm="1">
        <f t="array" aca="1" ref="M1502" ca="1">IF(AND(J1502="O",ISBLANK(INDIRECT(A1502))),"Valeur obligatoire non renseignée","")</f>
        <v/>
      </c>
    </row>
    <row r="1503" spans="1:13" x14ac:dyDescent="0.25">
      <c r="A1503" t="s">
        <v>4262</v>
      </c>
      <c r="B1503" cm="1">
        <f t="array" aca="1" ref="B1503" ca="1">INDIRECT(A1503)</f>
        <v>0</v>
      </c>
      <c r="C1503">
        <f t="shared" ca="1" si="92"/>
        <v>7</v>
      </c>
      <c r="D1503" t="str" cm="1">
        <f t="array" aca="1" ref="D1503" ca="1">CELL("nomfichier",INDIRECT(A1503))</f>
        <v>G:\SCPE\sdc\bq\6 - Mentions valorisantes\Certification environnementale\TEXTES_REGLEMENTATION_CE\Plans_contrôle et grilles\Grille audit niveau 3\Grille d'audit v1.11\[grille-audit-hvev4-v1.11-vf.xlsx]Phyto</v>
      </c>
      <c r="E1503">
        <f t="shared" ca="1" si="93"/>
        <v>200</v>
      </c>
      <c r="F1503">
        <f t="shared" ca="1" si="94"/>
        <v>205</v>
      </c>
      <c r="G1503" t="str">
        <f t="shared" ca="1" si="95"/>
        <v>Phyto</v>
      </c>
      <c r="H1503" cm="1">
        <f t="array" aca="1" ref="H1503" ca="1">ROW(INDIRECT(A1503))</f>
        <v>46</v>
      </c>
      <c r="I1503" cm="1">
        <f t="array" aca="1" ref="I1503" ca="1">COLUMN(INDIRECT(A1503))</f>
        <v>13</v>
      </c>
      <c r="M1503" t="str" cm="1">
        <f t="array" aca="1" ref="M1503" ca="1">IF(AND(J1503="O",ISBLANK(INDIRECT(A1503))),"Valeur obligatoire non renseignée","")</f>
        <v/>
      </c>
    </row>
    <row r="1504" spans="1:13" x14ac:dyDescent="0.25">
      <c r="A1504" t="s">
        <v>4470</v>
      </c>
      <c r="B1504" cm="1">
        <f t="array" aca="1" ref="B1504" ca="1">INDIRECT(A1504)</f>
        <v>0</v>
      </c>
      <c r="C1504">
        <f t="shared" ca="1" si="92"/>
        <v>7</v>
      </c>
      <c r="D1504" t="str" cm="1">
        <f t="array" aca="1" ref="D1504" ca="1">CELL("nomfichier",INDIRECT(A1504))</f>
        <v>G:\SCPE\sdc\bq\6 - Mentions valorisantes\Certification environnementale\TEXTES_REGLEMENTATION_CE\Plans_contrôle et grilles\Grille audit niveau 3\Grille d'audit v1.11\[grille-audit-hvev4-v1.11-vf.xlsx]Phyto</v>
      </c>
      <c r="E1504">
        <f t="shared" ca="1" si="93"/>
        <v>200</v>
      </c>
      <c r="F1504">
        <f t="shared" ca="1" si="94"/>
        <v>205</v>
      </c>
      <c r="G1504" t="str">
        <f t="shared" ca="1" si="95"/>
        <v>Phyto</v>
      </c>
      <c r="H1504" cm="1">
        <f t="array" aca="1" ref="H1504" ca="1">ROW(INDIRECT(A1504))</f>
        <v>54</v>
      </c>
      <c r="I1504" cm="1">
        <f t="array" aca="1" ref="I1504" ca="1">COLUMN(INDIRECT(A1504))</f>
        <v>13</v>
      </c>
      <c r="M1504" t="str" cm="1">
        <f t="array" aca="1" ref="M1504" ca="1">IF(AND(J1504="O",ISBLANK(INDIRECT(A1504))),"Valeur obligatoire non renseignée","")</f>
        <v/>
      </c>
    </row>
    <row r="1505" spans="1:13" x14ac:dyDescent="0.25">
      <c r="A1505" t="s">
        <v>4396</v>
      </c>
      <c r="B1505" cm="1">
        <f t="array" aca="1" ref="B1505" ca="1">INDIRECT(A1505)</f>
        <v>0</v>
      </c>
      <c r="C1505">
        <f t="shared" ca="1" si="92"/>
        <v>7</v>
      </c>
      <c r="D1505" t="str" cm="1">
        <f t="array" aca="1" ref="D1505" ca="1">CELL("nomfichier",INDIRECT(A1505))</f>
        <v>G:\SCPE\sdc\bq\6 - Mentions valorisantes\Certification environnementale\TEXTES_REGLEMENTATION_CE\Plans_contrôle et grilles\Grille audit niveau 3\Grille d'audit v1.11\[grille-audit-hvev4-v1.11-vf.xlsx]Phyto</v>
      </c>
      <c r="E1505">
        <f t="shared" ca="1" si="93"/>
        <v>200</v>
      </c>
      <c r="F1505">
        <f t="shared" ca="1" si="94"/>
        <v>205</v>
      </c>
      <c r="G1505" t="str">
        <f t="shared" ca="1" si="95"/>
        <v>Phyto</v>
      </c>
      <c r="H1505" cm="1">
        <f t="array" aca="1" ref="H1505" ca="1">ROW(INDIRECT(A1505))</f>
        <v>55</v>
      </c>
      <c r="I1505" cm="1">
        <f t="array" aca="1" ref="I1505" ca="1">COLUMN(INDIRECT(A1505))</f>
        <v>13</v>
      </c>
      <c r="M1505" t="str" cm="1">
        <f t="array" aca="1" ref="M1505" ca="1">IF(AND(J1505="O",ISBLANK(INDIRECT(A1505))),"Valeur obligatoire non renseignée","")</f>
        <v/>
      </c>
    </row>
    <row r="1506" spans="1:13" x14ac:dyDescent="0.25">
      <c r="A1506" t="s">
        <v>4449</v>
      </c>
      <c r="B1506" cm="1">
        <f t="array" aca="1" ref="B1506" ca="1">INDIRECT(A1506)</f>
        <v>0</v>
      </c>
      <c r="C1506">
        <f t="shared" ca="1" si="92"/>
        <v>7</v>
      </c>
      <c r="D1506" t="str" cm="1">
        <f t="array" aca="1" ref="D1506" ca="1">CELL("nomfichier",INDIRECT(A1506))</f>
        <v>G:\SCPE\sdc\bq\6 - Mentions valorisantes\Certification environnementale\TEXTES_REGLEMENTATION_CE\Plans_contrôle et grilles\Grille audit niveau 3\Grille d'audit v1.11\[grille-audit-hvev4-v1.11-vf.xlsx]Phyto</v>
      </c>
      <c r="E1506">
        <f t="shared" ca="1" si="93"/>
        <v>200</v>
      </c>
      <c r="F1506">
        <f t="shared" ca="1" si="94"/>
        <v>205</v>
      </c>
      <c r="G1506" t="str">
        <f t="shared" ca="1" si="95"/>
        <v>Phyto</v>
      </c>
      <c r="H1506" cm="1">
        <f t="array" aca="1" ref="H1506" ca="1">ROW(INDIRECT(A1506))</f>
        <v>55</v>
      </c>
      <c r="I1506" cm="1">
        <f t="array" aca="1" ref="I1506" ca="1">COLUMN(INDIRECT(A1506))</f>
        <v>16</v>
      </c>
      <c r="M1506" t="str" cm="1">
        <f t="array" aca="1" ref="M1506" ca="1">IF(AND(J1506="O",ISBLANK(INDIRECT(A1506))),"Valeur obligatoire non renseignée","")</f>
        <v/>
      </c>
    </row>
    <row r="1507" spans="1:13" x14ac:dyDescent="0.25">
      <c r="A1507" t="s">
        <v>4345</v>
      </c>
      <c r="B1507" cm="1">
        <f t="array" aca="1" ref="B1507" ca="1">INDIRECT(A1507)</f>
        <v>10</v>
      </c>
      <c r="C1507">
        <f t="shared" ca="1" si="92"/>
        <v>7</v>
      </c>
      <c r="D1507" t="str" cm="1">
        <f t="array" aca="1" ref="D1507" ca="1">CELL("nomfichier",INDIRECT(A1507))</f>
        <v>G:\SCPE\sdc\bq\6 - Mentions valorisantes\Certification environnementale\TEXTES_REGLEMENTATION_CE\Plans_contrôle et grilles\Grille audit niveau 3\Grille d'audit v1.11\[grille-audit-hvev4-v1.11-vf.xlsx]Phyto</v>
      </c>
      <c r="E1507">
        <f t="shared" ca="1" si="93"/>
        <v>200</v>
      </c>
      <c r="F1507">
        <f t="shared" ca="1" si="94"/>
        <v>205</v>
      </c>
      <c r="G1507" t="str">
        <f t="shared" ca="1" si="95"/>
        <v>Phyto</v>
      </c>
      <c r="H1507" cm="1">
        <f t="array" aca="1" ref="H1507" ca="1">ROW(INDIRECT(A1507))</f>
        <v>55</v>
      </c>
      <c r="I1507" cm="1">
        <f t="array" aca="1" ref="I1507" ca="1">COLUMN(INDIRECT(A1507))</f>
        <v>23</v>
      </c>
      <c r="M1507" t="str" cm="1">
        <f t="array" aca="1" ref="M1507" ca="1">IF(AND(J1507="O",ISBLANK(INDIRECT(A1507))),"Valeur obligatoire non renseignée","")</f>
        <v/>
      </c>
    </row>
    <row r="1508" spans="1:13" x14ac:dyDescent="0.25">
      <c r="A1508" t="s">
        <v>4253</v>
      </c>
      <c r="B1508" t="str" cm="1">
        <f t="array" aca="1" ref="B1508" ca="1">INDIRECT(A1508)</f>
        <v/>
      </c>
      <c r="C1508">
        <f t="shared" ca="1" si="92"/>
        <v>7</v>
      </c>
      <c r="D1508" t="str" cm="1">
        <f t="array" aca="1" ref="D1508" ca="1">CELL("nomfichier",INDIRECT(A1508))</f>
        <v>G:\SCPE\sdc\bq\6 - Mentions valorisantes\Certification environnementale\TEXTES_REGLEMENTATION_CE\Plans_contrôle et grilles\Grille audit niveau 3\Grille d'audit v1.11\[grille-audit-hvev4-v1.11-vf.xlsx]Phyto</v>
      </c>
      <c r="E1508">
        <f t="shared" ca="1" si="93"/>
        <v>200</v>
      </c>
      <c r="F1508">
        <f t="shared" ca="1" si="94"/>
        <v>205</v>
      </c>
      <c r="G1508" t="str">
        <f t="shared" ca="1" si="95"/>
        <v>Phyto</v>
      </c>
      <c r="H1508" cm="1">
        <f t="array" aca="1" ref="H1508" ca="1">ROW(INDIRECT(A1508))</f>
        <v>73</v>
      </c>
      <c r="I1508" cm="1">
        <f t="array" aca="1" ref="I1508" ca="1">COLUMN(INDIRECT(A1508))</f>
        <v>9</v>
      </c>
      <c r="M1508" t="str" cm="1">
        <f t="array" aca="1" ref="M1508" ca="1">IF(AND(J1508="O",ISBLANK(INDIRECT(A1508))),"Valeur obligatoire non renseignée","")</f>
        <v/>
      </c>
    </row>
    <row r="1509" spans="1:13" x14ac:dyDescent="0.25">
      <c r="A1509" t="s">
        <v>4512</v>
      </c>
      <c r="B1509" t="str" cm="1">
        <f t="array" aca="1" ref="B1509" ca="1">INDIRECT(A1509)</f>
        <v/>
      </c>
      <c r="C1509">
        <f t="shared" ca="1" si="92"/>
        <v>7</v>
      </c>
      <c r="D1509" t="str" cm="1">
        <f t="array" aca="1" ref="D1509" ca="1">CELL("nomfichier",INDIRECT(A1509))</f>
        <v>G:\SCPE\sdc\bq\6 - Mentions valorisantes\Certification environnementale\TEXTES_REGLEMENTATION_CE\Plans_contrôle et grilles\Grille audit niveau 3\Grille d'audit v1.11\[grille-audit-hvev4-v1.11-vf.xlsx]Phyto</v>
      </c>
      <c r="E1509">
        <f t="shared" ca="1" si="93"/>
        <v>200</v>
      </c>
      <c r="F1509">
        <f t="shared" ca="1" si="94"/>
        <v>205</v>
      </c>
      <c r="G1509" t="str">
        <f t="shared" ca="1" si="95"/>
        <v>Phyto</v>
      </c>
      <c r="H1509" cm="1">
        <f t="array" aca="1" ref="H1509" ca="1">ROW(INDIRECT(A1509))</f>
        <v>80</v>
      </c>
      <c r="I1509" cm="1">
        <f t="array" aca="1" ref="I1509" ca="1">COLUMN(INDIRECT(A1509))</f>
        <v>10</v>
      </c>
      <c r="M1509" t="str" cm="1">
        <f t="array" aca="1" ref="M1509" ca="1">IF(AND(J1509="O",ISBLANK(INDIRECT(A1509))),"Valeur obligatoire non renseignée","")</f>
        <v/>
      </c>
    </row>
    <row r="1510" spans="1:13" x14ac:dyDescent="0.25">
      <c r="A1510" t="s">
        <v>4514</v>
      </c>
      <c r="B1510" t="str" cm="1">
        <f t="array" aca="1" ref="B1510" ca="1">INDIRECT(A1510)</f>
        <v/>
      </c>
      <c r="C1510">
        <f t="shared" ca="1" si="92"/>
        <v>7</v>
      </c>
      <c r="D1510" t="str" cm="1">
        <f t="array" aca="1" ref="D1510" ca="1">CELL("nomfichier",INDIRECT(A1510))</f>
        <v>G:\SCPE\sdc\bq\6 - Mentions valorisantes\Certification environnementale\TEXTES_REGLEMENTATION_CE\Plans_contrôle et grilles\Grille audit niveau 3\Grille d'audit v1.11\[grille-audit-hvev4-v1.11-vf.xlsx]Phyto</v>
      </c>
      <c r="E1510">
        <f t="shared" ca="1" si="93"/>
        <v>200</v>
      </c>
      <c r="F1510">
        <f t="shared" ca="1" si="94"/>
        <v>205</v>
      </c>
      <c r="G1510" t="str">
        <f t="shared" ca="1" si="95"/>
        <v>Phyto</v>
      </c>
      <c r="H1510" cm="1">
        <f t="array" aca="1" ref="H1510" ca="1">ROW(INDIRECT(A1510))</f>
        <v>80</v>
      </c>
      <c r="I1510" cm="1">
        <f t="array" aca="1" ref="I1510" ca="1">COLUMN(INDIRECT(A1510))</f>
        <v>12</v>
      </c>
      <c r="M1510" t="str" cm="1">
        <f t="array" aca="1" ref="M1510" ca="1">IF(AND(J1510="O",ISBLANK(INDIRECT(A1510))),"Valeur obligatoire non renseignée","")</f>
        <v/>
      </c>
    </row>
    <row r="1511" spans="1:13" x14ac:dyDescent="0.25">
      <c r="A1511" t="s">
        <v>4505</v>
      </c>
      <c r="B1511" t="str" cm="1">
        <f t="array" aca="1" ref="B1511" ca="1">INDIRECT(A1511)</f>
        <v/>
      </c>
      <c r="C1511">
        <f t="shared" ca="1" si="92"/>
        <v>7</v>
      </c>
      <c r="D1511" t="str" cm="1">
        <f t="array" aca="1" ref="D1511" ca="1">CELL("nomfichier",INDIRECT(A1511))</f>
        <v>G:\SCPE\sdc\bq\6 - Mentions valorisantes\Certification environnementale\TEXTES_REGLEMENTATION_CE\Plans_contrôle et grilles\Grille audit niveau 3\Grille d'audit v1.11\[grille-audit-hvev4-v1.11-vf.xlsx]Phyto</v>
      </c>
      <c r="E1511">
        <f t="shared" ca="1" si="93"/>
        <v>200</v>
      </c>
      <c r="F1511">
        <f t="shared" ca="1" si="94"/>
        <v>205</v>
      </c>
      <c r="G1511" t="str">
        <f t="shared" ca="1" si="95"/>
        <v>Phyto</v>
      </c>
      <c r="H1511" cm="1">
        <f t="array" aca="1" ref="H1511" ca="1">ROW(INDIRECT(A1511))</f>
        <v>80</v>
      </c>
      <c r="I1511" cm="1">
        <f t="array" aca="1" ref="I1511" ca="1">COLUMN(INDIRECT(A1511))</f>
        <v>14</v>
      </c>
      <c r="M1511" t="str" cm="1">
        <f t="array" aca="1" ref="M1511" ca="1">IF(AND(J1511="O",ISBLANK(INDIRECT(A1511))),"Valeur obligatoire non renseignée","")</f>
        <v/>
      </c>
    </row>
    <row r="1512" spans="1:13" x14ac:dyDescent="0.25">
      <c r="A1512" t="s">
        <v>4507</v>
      </c>
      <c r="B1512" t="str" cm="1">
        <f t="array" aca="1" ref="B1512" ca="1">INDIRECT(A1512)</f>
        <v/>
      </c>
      <c r="C1512">
        <f t="shared" ca="1" si="92"/>
        <v>7</v>
      </c>
      <c r="D1512" t="str" cm="1">
        <f t="array" aca="1" ref="D1512" ca="1">CELL("nomfichier",INDIRECT(A1512))</f>
        <v>G:\SCPE\sdc\bq\6 - Mentions valorisantes\Certification environnementale\TEXTES_REGLEMENTATION_CE\Plans_contrôle et grilles\Grille audit niveau 3\Grille d'audit v1.11\[grille-audit-hvev4-v1.11-vf.xlsx]Phyto</v>
      </c>
      <c r="E1512">
        <f t="shared" ca="1" si="93"/>
        <v>200</v>
      </c>
      <c r="F1512">
        <f t="shared" ca="1" si="94"/>
        <v>205</v>
      </c>
      <c r="G1512" t="str">
        <f t="shared" ca="1" si="95"/>
        <v>Phyto</v>
      </c>
      <c r="H1512" cm="1">
        <f t="array" aca="1" ref="H1512" ca="1">ROW(INDIRECT(A1512))</f>
        <v>80</v>
      </c>
      <c r="I1512" cm="1">
        <f t="array" aca="1" ref="I1512" ca="1">COLUMN(INDIRECT(A1512))</f>
        <v>16</v>
      </c>
      <c r="M1512" t="str" cm="1">
        <f t="array" aca="1" ref="M1512" ca="1">IF(AND(J1512="O",ISBLANK(INDIRECT(A1512))),"Valeur obligatoire non renseignée","")</f>
        <v/>
      </c>
    </row>
    <row r="1513" spans="1:13" x14ac:dyDescent="0.25">
      <c r="A1513" t="s">
        <v>4513</v>
      </c>
      <c r="B1513" t="str" cm="1">
        <f t="array" aca="1" ref="B1513" ca="1">INDIRECT(A1513)</f>
        <v/>
      </c>
      <c r="C1513">
        <f t="shared" ca="1" si="92"/>
        <v>7</v>
      </c>
      <c r="D1513" t="str" cm="1">
        <f t="array" aca="1" ref="D1513" ca="1">CELL("nomfichier",INDIRECT(A1513))</f>
        <v>G:\SCPE\sdc\bq\6 - Mentions valorisantes\Certification environnementale\TEXTES_REGLEMENTATION_CE\Plans_contrôle et grilles\Grille audit niveau 3\Grille d'audit v1.11\[grille-audit-hvev4-v1.11-vf.xlsx]Phyto</v>
      </c>
      <c r="E1513">
        <f t="shared" ca="1" si="93"/>
        <v>200</v>
      </c>
      <c r="F1513">
        <f t="shared" ca="1" si="94"/>
        <v>205</v>
      </c>
      <c r="G1513" t="str">
        <f t="shared" ca="1" si="95"/>
        <v>Phyto</v>
      </c>
      <c r="H1513" cm="1">
        <f t="array" aca="1" ref="H1513" ca="1">ROW(INDIRECT(A1513))</f>
        <v>81</v>
      </c>
      <c r="I1513" cm="1">
        <f t="array" aca="1" ref="I1513" ca="1">COLUMN(INDIRECT(A1513))</f>
        <v>10</v>
      </c>
      <c r="M1513" t="str" cm="1">
        <f t="array" aca="1" ref="M1513" ca="1">IF(AND(J1513="O",ISBLANK(INDIRECT(A1513))),"Valeur obligatoire non renseignée","")</f>
        <v/>
      </c>
    </row>
    <row r="1514" spans="1:13" x14ac:dyDescent="0.25">
      <c r="A1514" t="s">
        <v>4515</v>
      </c>
      <c r="B1514" t="str" cm="1">
        <f t="array" aca="1" ref="B1514" ca="1">INDIRECT(A1514)</f>
        <v/>
      </c>
      <c r="C1514">
        <f t="shared" ca="1" si="92"/>
        <v>7</v>
      </c>
      <c r="D1514" t="str" cm="1">
        <f t="array" aca="1" ref="D1514" ca="1">CELL("nomfichier",INDIRECT(A1514))</f>
        <v>G:\SCPE\sdc\bq\6 - Mentions valorisantes\Certification environnementale\TEXTES_REGLEMENTATION_CE\Plans_contrôle et grilles\Grille audit niveau 3\Grille d'audit v1.11\[grille-audit-hvev4-v1.11-vf.xlsx]Phyto</v>
      </c>
      <c r="E1514">
        <f t="shared" ca="1" si="93"/>
        <v>200</v>
      </c>
      <c r="F1514">
        <f t="shared" ca="1" si="94"/>
        <v>205</v>
      </c>
      <c r="G1514" t="str">
        <f t="shared" ca="1" si="95"/>
        <v>Phyto</v>
      </c>
      <c r="H1514" cm="1">
        <f t="array" aca="1" ref="H1514" ca="1">ROW(INDIRECT(A1514))</f>
        <v>81</v>
      </c>
      <c r="I1514" cm="1">
        <f t="array" aca="1" ref="I1514" ca="1">COLUMN(INDIRECT(A1514))</f>
        <v>12</v>
      </c>
      <c r="M1514" t="str" cm="1">
        <f t="array" aca="1" ref="M1514" ca="1">IF(AND(J1514="O",ISBLANK(INDIRECT(A1514))),"Valeur obligatoire non renseignée","")</f>
        <v/>
      </c>
    </row>
    <row r="1515" spans="1:13" x14ac:dyDescent="0.25">
      <c r="A1515" t="s">
        <v>4506</v>
      </c>
      <c r="B1515" t="str" cm="1">
        <f t="array" aca="1" ref="B1515" ca="1">INDIRECT(A1515)</f>
        <v/>
      </c>
      <c r="C1515">
        <f t="shared" ca="1" si="92"/>
        <v>7</v>
      </c>
      <c r="D1515" t="str" cm="1">
        <f t="array" aca="1" ref="D1515" ca="1">CELL("nomfichier",INDIRECT(A1515))</f>
        <v>G:\SCPE\sdc\bq\6 - Mentions valorisantes\Certification environnementale\TEXTES_REGLEMENTATION_CE\Plans_contrôle et grilles\Grille audit niveau 3\Grille d'audit v1.11\[grille-audit-hvev4-v1.11-vf.xlsx]Phyto</v>
      </c>
      <c r="E1515">
        <f t="shared" ca="1" si="93"/>
        <v>200</v>
      </c>
      <c r="F1515">
        <f t="shared" ca="1" si="94"/>
        <v>205</v>
      </c>
      <c r="G1515" t="str">
        <f t="shared" ca="1" si="95"/>
        <v>Phyto</v>
      </c>
      <c r="H1515" cm="1">
        <f t="array" aca="1" ref="H1515" ca="1">ROW(INDIRECT(A1515))</f>
        <v>81</v>
      </c>
      <c r="I1515" cm="1">
        <f t="array" aca="1" ref="I1515" ca="1">COLUMN(INDIRECT(A1515))</f>
        <v>14</v>
      </c>
      <c r="M1515" t="str" cm="1">
        <f t="array" aca="1" ref="M1515" ca="1">IF(AND(J1515="O",ISBLANK(INDIRECT(A1515))),"Valeur obligatoire non renseignée","")</f>
        <v/>
      </c>
    </row>
    <row r="1516" spans="1:13" x14ac:dyDescent="0.25">
      <c r="A1516" t="s">
        <v>4508</v>
      </c>
      <c r="B1516" t="str" cm="1">
        <f t="array" aca="1" ref="B1516" ca="1">INDIRECT(A1516)</f>
        <v/>
      </c>
      <c r="C1516">
        <f t="shared" ca="1" si="92"/>
        <v>7</v>
      </c>
      <c r="D1516" t="str" cm="1">
        <f t="array" aca="1" ref="D1516" ca="1">CELL("nomfichier",INDIRECT(A1516))</f>
        <v>G:\SCPE\sdc\bq\6 - Mentions valorisantes\Certification environnementale\TEXTES_REGLEMENTATION_CE\Plans_contrôle et grilles\Grille audit niveau 3\Grille d'audit v1.11\[grille-audit-hvev4-v1.11-vf.xlsx]Phyto</v>
      </c>
      <c r="E1516">
        <f t="shared" ca="1" si="93"/>
        <v>200</v>
      </c>
      <c r="F1516">
        <f t="shared" ca="1" si="94"/>
        <v>205</v>
      </c>
      <c r="G1516" t="str">
        <f t="shared" ca="1" si="95"/>
        <v>Phyto</v>
      </c>
      <c r="H1516" cm="1">
        <f t="array" aca="1" ref="H1516" ca="1">ROW(INDIRECT(A1516))</f>
        <v>81</v>
      </c>
      <c r="I1516" cm="1">
        <f t="array" aca="1" ref="I1516" ca="1">COLUMN(INDIRECT(A1516))</f>
        <v>16</v>
      </c>
      <c r="M1516" t="str" cm="1">
        <f t="array" aca="1" ref="M1516" ca="1">IF(AND(J1516="O",ISBLANK(INDIRECT(A1516))),"Valeur obligatoire non renseignée","")</f>
        <v/>
      </c>
    </row>
    <row r="1517" spans="1:13" x14ac:dyDescent="0.25">
      <c r="A1517" t="s">
        <v>4529</v>
      </c>
      <c r="B1517" t="str" cm="1">
        <f t="array" aca="1" ref="B1517" ca="1">INDIRECT(A1517)</f>
        <v/>
      </c>
      <c r="C1517">
        <f t="shared" ca="1" si="92"/>
        <v>7</v>
      </c>
      <c r="D1517" t="str" cm="1">
        <f t="array" aca="1" ref="D1517" ca="1">CELL("nomfichier",INDIRECT(A1517))</f>
        <v>G:\SCPE\sdc\bq\6 - Mentions valorisantes\Certification environnementale\TEXTES_REGLEMENTATION_CE\Plans_contrôle et grilles\Grille audit niveau 3\Grille d'audit v1.11\[grille-audit-hvev4-v1.11-vf.xlsx]Phyto</v>
      </c>
      <c r="E1517">
        <f t="shared" ca="1" si="93"/>
        <v>200</v>
      </c>
      <c r="F1517">
        <f t="shared" ca="1" si="94"/>
        <v>205</v>
      </c>
      <c r="G1517" t="str">
        <f t="shared" ca="1" si="95"/>
        <v>Phyto</v>
      </c>
      <c r="H1517" cm="1">
        <f t="array" aca="1" ref="H1517" ca="1">ROW(INDIRECT(A1517))</f>
        <v>84</v>
      </c>
      <c r="I1517" cm="1">
        <f t="array" aca="1" ref="I1517" ca="1">COLUMN(INDIRECT(A1517))</f>
        <v>10</v>
      </c>
      <c r="M1517" t="str" cm="1">
        <f t="array" aca="1" ref="M1517" ca="1">IF(AND(J1517="O",ISBLANK(INDIRECT(A1517))),"Valeur obligatoire non renseignée","")</f>
        <v/>
      </c>
    </row>
    <row r="1518" spans="1:13" x14ac:dyDescent="0.25">
      <c r="A1518" t="s">
        <v>4531</v>
      </c>
      <c r="B1518" t="str" cm="1">
        <f t="array" aca="1" ref="B1518" ca="1">INDIRECT(A1518)</f>
        <v/>
      </c>
      <c r="C1518">
        <f t="shared" ca="1" si="92"/>
        <v>7</v>
      </c>
      <c r="D1518" t="str" cm="1">
        <f t="array" aca="1" ref="D1518" ca="1">CELL("nomfichier",INDIRECT(A1518))</f>
        <v>G:\SCPE\sdc\bq\6 - Mentions valorisantes\Certification environnementale\TEXTES_REGLEMENTATION_CE\Plans_contrôle et grilles\Grille audit niveau 3\Grille d'audit v1.11\[grille-audit-hvev4-v1.11-vf.xlsx]Phyto</v>
      </c>
      <c r="E1518">
        <f t="shared" ca="1" si="93"/>
        <v>200</v>
      </c>
      <c r="F1518">
        <f t="shared" ca="1" si="94"/>
        <v>205</v>
      </c>
      <c r="G1518" t="str">
        <f t="shared" ca="1" si="95"/>
        <v>Phyto</v>
      </c>
      <c r="H1518" cm="1">
        <f t="array" aca="1" ref="H1518" ca="1">ROW(INDIRECT(A1518))</f>
        <v>84</v>
      </c>
      <c r="I1518" cm="1">
        <f t="array" aca="1" ref="I1518" ca="1">COLUMN(INDIRECT(A1518))</f>
        <v>12</v>
      </c>
      <c r="M1518" t="str" cm="1">
        <f t="array" aca="1" ref="M1518" ca="1">IF(AND(J1518="O",ISBLANK(INDIRECT(A1518))),"Valeur obligatoire non renseignée","")</f>
        <v/>
      </c>
    </row>
    <row r="1519" spans="1:13" x14ac:dyDescent="0.25">
      <c r="A1519" t="s">
        <v>4523</v>
      </c>
      <c r="B1519" t="str" cm="1">
        <f t="array" aca="1" ref="B1519" ca="1">INDIRECT(A1519)</f>
        <v/>
      </c>
      <c r="C1519">
        <f t="shared" ca="1" si="92"/>
        <v>7</v>
      </c>
      <c r="D1519" t="str" cm="1">
        <f t="array" aca="1" ref="D1519" ca="1">CELL("nomfichier",INDIRECT(A1519))</f>
        <v>G:\SCPE\sdc\bq\6 - Mentions valorisantes\Certification environnementale\TEXTES_REGLEMENTATION_CE\Plans_contrôle et grilles\Grille audit niveau 3\Grille d'audit v1.11\[grille-audit-hvev4-v1.11-vf.xlsx]Phyto</v>
      </c>
      <c r="E1519">
        <f t="shared" ca="1" si="93"/>
        <v>200</v>
      </c>
      <c r="F1519">
        <f t="shared" ca="1" si="94"/>
        <v>205</v>
      </c>
      <c r="G1519" t="str">
        <f t="shared" ca="1" si="95"/>
        <v>Phyto</v>
      </c>
      <c r="H1519" cm="1">
        <f t="array" aca="1" ref="H1519" ca="1">ROW(INDIRECT(A1519))</f>
        <v>84</v>
      </c>
      <c r="I1519" cm="1">
        <f t="array" aca="1" ref="I1519" ca="1">COLUMN(INDIRECT(A1519))</f>
        <v>14</v>
      </c>
      <c r="M1519" t="str" cm="1">
        <f t="array" aca="1" ref="M1519" ca="1">IF(AND(J1519="O",ISBLANK(INDIRECT(A1519))),"Valeur obligatoire non renseignée","")</f>
        <v/>
      </c>
    </row>
    <row r="1520" spans="1:13" x14ac:dyDescent="0.25">
      <c r="A1520" t="s">
        <v>4525</v>
      </c>
      <c r="B1520" t="str" cm="1">
        <f t="array" aca="1" ref="B1520" ca="1">INDIRECT(A1520)</f>
        <v/>
      </c>
      <c r="C1520">
        <f t="shared" ca="1" si="92"/>
        <v>7</v>
      </c>
      <c r="D1520" t="str" cm="1">
        <f t="array" aca="1" ref="D1520" ca="1">CELL("nomfichier",INDIRECT(A1520))</f>
        <v>G:\SCPE\sdc\bq\6 - Mentions valorisantes\Certification environnementale\TEXTES_REGLEMENTATION_CE\Plans_contrôle et grilles\Grille audit niveau 3\Grille d'audit v1.11\[grille-audit-hvev4-v1.11-vf.xlsx]Phyto</v>
      </c>
      <c r="E1520">
        <f t="shared" ca="1" si="93"/>
        <v>200</v>
      </c>
      <c r="F1520">
        <f t="shared" ca="1" si="94"/>
        <v>205</v>
      </c>
      <c r="G1520" t="str">
        <f t="shared" ca="1" si="95"/>
        <v>Phyto</v>
      </c>
      <c r="H1520" cm="1">
        <f t="array" aca="1" ref="H1520" ca="1">ROW(INDIRECT(A1520))</f>
        <v>84</v>
      </c>
      <c r="I1520" cm="1">
        <f t="array" aca="1" ref="I1520" ca="1">COLUMN(INDIRECT(A1520))</f>
        <v>16</v>
      </c>
      <c r="M1520" t="str" cm="1">
        <f t="array" aca="1" ref="M1520" ca="1">IF(AND(J1520="O",ISBLANK(INDIRECT(A1520))),"Valeur obligatoire non renseignée","")</f>
        <v/>
      </c>
    </row>
    <row r="1521" spans="1:13" x14ac:dyDescent="0.25">
      <c r="A1521" t="s">
        <v>4530</v>
      </c>
      <c r="B1521" t="str" cm="1">
        <f t="array" aca="1" ref="B1521" ca="1">INDIRECT(A1521)</f>
        <v/>
      </c>
      <c r="C1521">
        <f t="shared" ca="1" si="92"/>
        <v>7</v>
      </c>
      <c r="D1521" t="str" cm="1">
        <f t="array" aca="1" ref="D1521" ca="1">CELL("nomfichier",INDIRECT(A1521))</f>
        <v>G:\SCPE\sdc\bq\6 - Mentions valorisantes\Certification environnementale\TEXTES_REGLEMENTATION_CE\Plans_contrôle et grilles\Grille audit niveau 3\Grille d'audit v1.11\[grille-audit-hvev4-v1.11-vf.xlsx]Phyto</v>
      </c>
      <c r="E1521">
        <f t="shared" ca="1" si="93"/>
        <v>200</v>
      </c>
      <c r="F1521">
        <f t="shared" ca="1" si="94"/>
        <v>205</v>
      </c>
      <c r="G1521" t="str">
        <f t="shared" ca="1" si="95"/>
        <v>Phyto</v>
      </c>
      <c r="H1521" cm="1">
        <f t="array" aca="1" ref="H1521" ca="1">ROW(INDIRECT(A1521))</f>
        <v>85</v>
      </c>
      <c r="I1521" cm="1">
        <f t="array" aca="1" ref="I1521" ca="1">COLUMN(INDIRECT(A1521))</f>
        <v>10</v>
      </c>
      <c r="M1521" t="str" cm="1">
        <f t="array" aca="1" ref="M1521" ca="1">IF(AND(J1521="O",ISBLANK(INDIRECT(A1521))),"Valeur obligatoire non renseignée","")</f>
        <v/>
      </c>
    </row>
    <row r="1522" spans="1:13" x14ac:dyDescent="0.25">
      <c r="A1522" t="s">
        <v>4532</v>
      </c>
      <c r="B1522" t="str" cm="1">
        <f t="array" aca="1" ref="B1522" ca="1">INDIRECT(A1522)</f>
        <v/>
      </c>
      <c r="C1522">
        <f t="shared" ca="1" si="92"/>
        <v>7</v>
      </c>
      <c r="D1522" t="str" cm="1">
        <f t="array" aca="1" ref="D1522" ca="1">CELL("nomfichier",INDIRECT(A1522))</f>
        <v>G:\SCPE\sdc\bq\6 - Mentions valorisantes\Certification environnementale\TEXTES_REGLEMENTATION_CE\Plans_contrôle et grilles\Grille audit niveau 3\Grille d'audit v1.11\[grille-audit-hvev4-v1.11-vf.xlsx]Phyto</v>
      </c>
      <c r="E1522">
        <f t="shared" ca="1" si="93"/>
        <v>200</v>
      </c>
      <c r="F1522">
        <f t="shared" ca="1" si="94"/>
        <v>205</v>
      </c>
      <c r="G1522" t="str">
        <f t="shared" ca="1" si="95"/>
        <v>Phyto</v>
      </c>
      <c r="H1522" cm="1">
        <f t="array" aca="1" ref="H1522" ca="1">ROW(INDIRECT(A1522))</f>
        <v>85</v>
      </c>
      <c r="I1522" cm="1">
        <f t="array" aca="1" ref="I1522" ca="1">COLUMN(INDIRECT(A1522))</f>
        <v>12</v>
      </c>
      <c r="M1522" t="str" cm="1">
        <f t="array" aca="1" ref="M1522" ca="1">IF(AND(J1522="O",ISBLANK(INDIRECT(A1522))),"Valeur obligatoire non renseignée","")</f>
        <v/>
      </c>
    </row>
    <row r="1523" spans="1:13" x14ac:dyDescent="0.25">
      <c r="A1523" t="s">
        <v>4524</v>
      </c>
      <c r="B1523" t="str" cm="1">
        <f t="array" aca="1" ref="B1523" ca="1">INDIRECT(A1523)</f>
        <v/>
      </c>
      <c r="C1523">
        <f t="shared" ca="1" si="92"/>
        <v>7</v>
      </c>
      <c r="D1523" t="str" cm="1">
        <f t="array" aca="1" ref="D1523" ca="1">CELL("nomfichier",INDIRECT(A1523))</f>
        <v>G:\SCPE\sdc\bq\6 - Mentions valorisantes\Certification environnementale\TEXTES_REGLEMENTATION_CE\Plans_contrôle et grilles\Grille audit niveau 3\Grille d'audit v1.11\[grille-audit-hvev4-v1.11-vf.xlsx]Phyto</v>
      </c>
      <c r="E1523">
        <f t="shared" ca="1" si="93"/>
        <v>200</v>
      </c>
      <c r="F1523">
        <f t="shared" ca="1" si="94"/>
        <v>205</v>
      </c>
      <c r="G1523" t="str">
        <f t="shared" ca="1" si="95"/>
        <v>Phyto</v>
      </c>
      <c r="H1523" cm="1">
        <f t="array" aca="1" ref="H1523" ca="1">ROW(INDIRECT(A1523))</f>
        <v>85</v>
      </c>
      <c r="I1523" cm="1">
        <f t="array" aca="1" ref="I1523" ca="1">COLUMN(INDIRECT(A1523))</f>
        <v>14</v>
      </c>
      <c r="M1523" t="str" cm="1">
        <f t="array" aca="1" ref="M1523" ca="1">IF(AND(J1523="O",ISBLANK(INDIRECT(A1523))),"Valeur obligatoire non renseignée","")</f>
        <v/>
      </c>
    </row>
    <row r="1524" spans="1:13" x14ac:dyDescent="0.25">
      <c r="A1524" t="s">
        <v>4820</v>
      </c>
      <c r="B1524" t="str" cm="1">
        <f t="array" aca="1" ref="B1524" ca="1">INDIRECT(A1524)</f>
        <v/>
      </c>
      <c r="C1524">
        <f t="shared" ca="1" si="92"/>
        <v>7</v>
      </c>
      <c r="D1524" t="str" cm="1">
        <f t="array" aca="1" ref="D1524" ca="1">CELL("nomfichier",INDIRECT(A1524))</f>
        <v>G:\SCPE\sdc\bq\6 - Mentions valorisantes\Certification environnementale\TEXTES_REGLEMENTATION_CE\Plans_contrôle et grilles\Grille audit niveau 3\Grille d'audit v1.11\[grille-audit-hvev4-v1.11-vf.xlsx]Phyto</v>
      </c>
      <c r="E1524">
        <f t="shared" ca="1" si="93"/>
        <v>200</v>
      </c>
      <c r="F1524">
        <f t="shared" ca="1" si="94"/>
        <v>205</v>
      </c>
      <c r="G1524" t="str">
        <f t="shared" ca="1" si="95"/>
        <v>Phyto</v>
      </c>
      <c r="H1524" cm="1">
        <f t="array" aca="1" ref="H1524" ca="1">ROW(INDIRECT(A1524))</f>
        <v>85</v>
      </c>
      <c r="I1524" cm="1">
        <f t="array" aca="1" ref="I1524" ca="1">COLUMN(INDIRECT(A1524))</f>
        <v>16</v>
      </c>
      <c r="M1524" t="str" cm="1">
        <f t="array" aca="1" ref="M1524" ca="1">IF(AND(J1524="O",ISBLANK(INDIRECT(A1524))),"Valeur obligatoire non renseignée","")</f>
        <v/>
      </c>
    </row>
    <row r="1525" spans="1:13" x14ac:dyDescent="0.25">
      <c r="A1525" t="s">
        <v>4499</v>
      </c>
      <c r="B1525" t="str" cm="1">
        <f t="array" aca="1" ref="B1525" ca="1">INDIRECT(A1525)</f>
        <v/>
      </c>
      <c r="C1525">
        <f t="shared" ca="1" si="92"/>
        <v>7</v>
      </c>
      <c r="D1525" t="str" cm="1">
        <f t="array" aca="1" ref="D1525" ca="1">CELL("nomfichier",INDIRECT(A1525))</f>
        <v>G:\SCPE\sdc\bq\6 - Mentions valorisantes\Certification environnementale\TEXTES_REGLEMENTATION_CE\Plans_contrôle et grilles\Grille audit niveau 3\Grille d'audit v1.11\[grille-audit-hvev4-v1.11-vf.xlsx]Phyto</v>
      </c>
      <c r="E1525">
        <f t="shared" ca="1" si="93"/>
        <v>200</v>
      </c>
      <c r="F1525">
        <f t="shared" ca="1" si="94"/>
        <v>205</v>
      </c>
      <c r="G1525" t="str">
        <f t="shared" ca="1" si="95"/>
        <v>Phyto</v>
      </c>
      <c r="H1525" cm="1">
        <f t="array" aca="1" ref="H1525" ca="1">ROW(INDIRECT(A1525))</f>
        <v>88</v>
      </c>
      <c r="I1525" cm="1">
        <f t="array" aca="1" ref="I1525" ca="1">COLUMN(INDIRECT(A1525))</f>
        <v>10</v>
      </c>
      <c r="M1525" t="str" cm="1">
        <f t="array" aca="1" ref="M1525" ca="1">IF(AND(J1525="O",ISBLANK(INDIRECT(A1525))),"Valeur obligatoire non renseignée","")</f>
        <v/>
      </c>
    </row>
    <row r="1526" spans="1:13" x14ac:dyDescent="0.25">
      <c r="A1526" t="s">
        <v>4501</v>
      </c>
      <c r="B1526" t="str" cm="1">
        <f t="array" aca="1" ref="B1526" ca="1">INDIRECT(A1526)</f>
        <v/>
      </c>
      <c r="C1526">
        <f t="shared" ca="1" si="92"/>
        <v>7</v>
      </c>
      <c r="D1526" t="str" cm="1">
        <f t="array" aca="1" ref="D1526" ca="1">CELL("nomfichier",INDIRECT(A1526))</f>
        <v>G:\SCPE\sdc\bq\6 - Mentions valorisantes\Certification environnementale\TEXTES_REGLEMENTATION_CE\Plans_contrôle et grilles\Grille audit niveau 3\Grille d'audit v1.11\[grille-audit-hvev4-v1.11-vf.xlsx]Phyto</v>
      </c>
      <c r="E1526">
        <f t="shared" ca="1" si="93"/>
        <v>200</v>
      </c>
      <c r="F1526">
        <f t="shared" ca="1" si="94"/>
        <v>205</v>
      </c>
      <c r="G1526" t="str">
        <f t="shared" ca="1" si="95"/>
        <v>Phyto</v>
      </c>
      <c r="H1526" cm="1">
        <f t="array" aca="1" ref="H1526" ca="1">ROW(INDIRECT(A1526))</f>
        <v>88</v>
      </c>
      <c r="I1526" cm="1">
        <f t="array" aca="1" ref="I1526" ca="1">COLUMN(INDIRECT(A1526))</f>
        <v>12</v>
      </c>
      <c r="M1526" t="str" cm="1">
        <f t="array" aca="1" ref="M1526" ca="1">IF(AND(J1526="O",ISBLANK(INDIRECT(A1526))),"Valeur obligatoire non renseignée","")</f>
        <v/>
      </c>
    </row>
    <row r="1527" spans="1:13" x14ac:dyDescent="0.25">
      <c r="A1527" t="s">
        <v>4492</v>
      </c>
      <c r="B1527" t="str" cm="1">
        <f t="array" aca="1" ref="B1527" ca="1">INDIRECT(A1527)</f>
        <v/>
      </c>
      <c r="C1527">
        <f t="shared" ca="1" si="92"/>
        <v>7</v>
      </c>
      <c r="D1527" t="str" cm="1">
        <f t="array" aca="1" ref="D1527" ca="1">CELL("nomfichier",INDIRECT(A1527))</f>
        <v>G:\SCPE\sdc\bq\6 - Mentions valorisantes\Certification environnementale\TEXTES_REGLEMENTATION_CE\Plans_contrôle et grilles\Grille audit niveau 3\Grille d'audit v1.11\[grille-audit-hvev4-v1.11-vf.xlsx]Phyto</v>
      </c>
      <c r="E1527">
        <f t="shared" ca="1" si="93"/>
        <v>200</v>
      </c>
      <c r="F1527">
        <f t="shared" ca="1" si="94"/>
        <v>205</v>
      </c>
      <c r="G1527" t="str">
        <f t="shared" ca="1" si="95"/>
        <v>Phyto</v>
      </c>
      <c r="H1527" cm="1">
        <f t="array" aca="1" ref="H1527" ca="1">ROW(INDIRECT(A1527))</f>
        <v>88</v>
      </c>
      <c r="I1527" cm="1">
        <f t="array" aca="1" ref="I1527" ca="1">COLUMN(INDIRECT(A1527))</f>
        <v>14</v>
      </c>
      <c r="M1527" t="str" cm="1">
        <f t="array" aca="1" ref="M1527" ca="1">IF(AND(J1527="O",ISBLANK(INDIRECT(A1527))),"Valeur obligatoire non renseignée","")</f>
        <v/>
      </c>
    </row>
    <row r="1528" spans="1:13" x14ac:dyDescent="0.25">
      <c r="A1528" t="s">
        <v>4494</v>
      </c>
      <c r="B1528" t="str" cm="1">
        <f t="array" aca="1" ref="B1528" ca="1">INDIRECT(A1528)</f>
        <v/>
      </c>
      <c r="C1528">
        <f t="shared" ca="1" si="92"/>
        <v>7</v>
      </c>
      <c r="D1528" t="str" cm="1">
        <f t="array" aca="1" ref="D1528" ca="1">CELL("nomfichier",INDIRECT(A1528))</f>
        <v>G:\SCPE\sdc\bq\6 - Mentions valorisantes\Certification environnementale\TEXTES_REGLEMENTATION_CE\Plans_contrôle et grilles\Grille audit niveau 3\Grille d'audit v1.11\[grille-audit-hvev4-v1.11-vf.xlsx]Phyto</v>
      </c>
      <c r="E1528">
        <f t="shared" ca="1" si="93"/>
        <v>200</v>
      </c>
      <c r="F1528">
        <f t="shared" ca="1" si="94"/>
        <v>205</v>
      </c>
      <c r="G1528" t="str">
        <f t="shared" ca="1" si="95"/>
        <v>Phyto</v>
      </c>
      <c r="H1528" cm="1">
        <f t="array" aca="1" ref="H1528" ca="1">ROW(INDIRECT(A1528))</f>
        <v>88</v>
      </c>
      <c r="I1528" cm="1">
        <f t="array" aca="1" ref="I1528" ca="1">COLUMN(INDIRECT(A1528))</f>
        <v>16</v>
      </c>
      <c r="M1528" t="str" cm="1">
        <f t="array" aca="1" ref="M1528" ca="1">IF(AND(J1528="O",ISBLANK(INDIRECT(A1528))),"Valeur obligatoire non renseignée","")</f>
        <v/>
      </c>
    </row>
    <row r="1529" spans="1:13" x14ac:dyDescent="0.25">
      <c r="A1529" t="s">
        <v>4500</v>
      </c>
      <c r="B1529" t="str" cm="1">
        <f t="array" aca="1" ref="B1529" ca="1">INDIRECT(A1529)</f>
        <v/>
      </c>
      <c r="C1529">
        <f t="shared" ca="1" si="92"/>
        <v>7</v>
      </c>
      <c r="D1529" t="str" cm="1">
        <f t="array" aca="1" ref="D1529" ca="1">CELL("nomfichier",INDIRECT(A1529))</f>
        <v>G:\SCPE\sdc\bq\6 - Mentions valorisantes\Certification environnementale\TEXTES_REGLEMENTATION_CE\Plans_contrôle et grilles\Grille audit niveau 3\Grille d'audit v1.11\[grille-audit-hvev4-v1.11-vf.xlsx]Phyto</v>
      </c>
      <c r="E1529">
        <f t="shared" ca="1" si="93"/>
        <v>200</v>
      </c>
      <c r="F1529">
        <f t="shared" ca="1" si="94"/>
        <v>205</v>
      </c>
      <c r="G1529" t="str">
        <f t="shared" ca="1" si="95"/>
        <v>Phyto</v>
      </c>
      <c r="H1529" cm="1">
        <f t="array" aca="1" ref="H1529" ca="1">ROW(INDIRECT(A1529))</f>
        <v>89</v>
      </c>
      <c r="I1529" cm="1">
        <f t="array" aca="1" ref="I1529" ca="1">COLUMN(INDIRECT(A1529))</f>
        <v>10</v>
      </c>
      <c r="M1529" t="str" cm="1">
        <f t="array" aca="1" ref="M1529" ca="1">IF(AND(J1529="O",ISBLANK(INDIRECT(A1529))),"Valeur obligatoire non renseignée","")</f>
        <v/>
      </c>
    </row>
    <row r="1530" spans="1:13" x14ac:dyDescent="0.25">
      <c r="A1530" t="s">
        <v>4502</v>
      </c>
      <c r="B1530" t="str" cm="1">
        <f t="array" aca="1" ref="B1530" ca="1">INDIRECT(A1530)</f>
        <v/>
      </c>
      <c r="C1530">
        <f t="shared" ca="1" si="92"/>
        <v>7</v>
      </c>
      <c r="D1530" t="str" cm="1">
        <f t="array" aca="1" ref="D1530" ca="1">CELL("nomfichier",INDIRECT(A1530))</f>
        <v>G:\SCPE\sdc\bq\6 - Mentions valorisantes\Certification environnementale\TEXTES_REGLEMENTATION_CE\Plans_contrôle et grilles\Grille audit niveau 3\Grille d'audit v1.11\[grille-audit-hvev4-v1.11-vf.xlsx]Phyto</v>
      </c>
      <c r="E1530">
        <f t="shared" ca="1" si="93"/>
        <v>200</v>
      </c>
      <c r="F1530">
        <f t="shared" ca="1" si="94"/>
        <v>205</v>
      </c>
      <c r="G1530" t="str">
        <f t="shared" ca="1" si="95"/>
        <v>Phyto</v>
      </c>
      <c r="H1530" cm="1">
        <f t="array" aca="1" ref="H1530" ca="1">ROW(INDIRECT(A1530))</f>
        <v>89</v>
      </c>
      <c r="I1530" cm="1">
        <f t="array" aca="1" ref="I1530" ca="1">COLUMN(INDIRECT(A1530))</f>
        <v>12</v>
      </c>
      <c r="M1530" t="str" cm="1">
        <f t="array" aca="1" ref="M1530" ca="1">IF(AND(J1530="O",ISBLANK(INDIRECT(A1530))),"Valeur obligatoire non renseignée","")</f>
        <v/>
      </c>
    </row>
    <row r="1531" spans="1:13" x14ac:dyDescent="0.25">
      <c r="A1531" t="s">
        <v>4493</v>
      </c>
      <c r="B1531" t="str" cm="1">
        <f t="array" aca="1" ref="B1531" ca="1">INDIRECT(A1531)</f>
        <v/>
      </c>
      <c r="C1531">
        <f t="shared" ca="1" si="92"/>
        <v>7</v>
      </c>
      <c r="D1531" t="str" cm="1">
        <f t="array" aca="1" ref="D1531" ca="1">CELL("nomfichier",INDIRECT(A1531))</f>
        <v>G:\SCPE\sdc\bq\6 - Mentions valorisantes\Certification environnementale\TEXTES_REGLEMENTATION_CE\Plans_contrôle et grilles\Grille audit niveau 3\Grille d'audit v1.11\[grille-audit-hvev4-v1.11-vf.xlsx]Phyto</v>
      </c>
      <c r="E1531">
        <f t="shared" ca="1" si="93"/>
        <v>200</v>
      </c>
      <c r="F1531">
        <f t="shared" ca="1" si="94"/>
        <v>205</v>
      </c>
      <c r="G1531" t="str">
        <f t="shared" ca="1" si="95"/>
        <v>Phyto</v>
      </c>
      <c r="H1531" cm="1">
        <f t="array" aca="1" ref="H1531" ca="1">ROW(INDIRECT(A1531))</f>
        <v>89</v>
      </c>
      <c r="I1531" cm="1">
        <f t="array" aca="1" ref="I1531" ca="1">COLUMN(INDIRECT(A1531))</f>
        <v>14</v>
      </c>
      <c r="M1531" t="str" cm="1">
        <f t="array" aca="1" ref="M1531" ca="1">IF(AND(J1531="O",ISBLANK(INDIRECT(A1531))),"Valeur obligatoire non renseignée","")</f>
        <v/>
      </c>
    </row>
    <row r="1532" spans="1:13" x14ac:dyDescent="0.25">
      <c r="A1532" t="s">
        <v>4495</v>
      </c>
      <c r="B1532" t="str" cm="1">
        <f t="array" aca="1" ref="B1532" ca="1">INDIRECT(A1532)</f>
        <v/>
      </c>
      <c r="C1532">
        <f t="shared" ca="1" si="92"/>
        <v>7</v>
      </c>
      <c r="D1532" t="str" cm="1">
        <f t="array" aca="1" ref="D1532" ca="1">CELL("nomfichier",INDIRECT(A1532))</f>
        <v>G:\SCPE\sdc\bq\6 - Mentions valorisantes\Certification environnementale\TEXTES_REGLEMENTATION_CE\Plans_contrôle et grilles\Grille audit niveau 3\Grille d'audit v1.11\[grille-audit-hvev4-v1.11-vf.xlsx]Phyto</v>
      </c>
      <c r="E1532">
        <f t="shared" ca="1" si="93"/>
        <v>200</v>
      </c>
      <c r="F1532">
        <f t="shared" ca="1" si="94"/>
        <v>205</v>
      </c>
      <c r="G1532" t="str">
        <f t="shared" ca="1" si="95"/>
        <v>Phyto</v>
      </c>
      <c r="H1532" cm="1">
        <f t="array" aca="1" ref="H1532" ca="1">ROW(INDIRECT(A1532))</f>
        <v>89</v>
      </c>
      <c r="I1532" cm="1">
        <f t="array" aca="1" ref="I1532" ca="1">COLUMN(INDIRECT(A1532))</f>
        <v>16</v>
      </c>
      <c r="M1532" t="str" cm="1">
        <f t="array" aca="1" ref="M1532" ca="1">IF(AND(J1532="O",ISBLANK(INDIRECT(A1532))),"Valeur obligatoire non renseignée","")</f>
        <v/>
      </c>
    </row>
    <row r="1533" spans="1:13" x14ac:dyDescent="0.25">
      <c r="A1533" t="s">
        <v>4510</v>
      </c>
      <c r="B1533" t="str" cm="1">
        <f t="array" aca="1" ref="B1533" ca="1">INDIRECT(A1533)</f>
        <v/>
      </c>
      <c r="C1533">
        <f t="shared" ca="1" si="92"/>
        <v>7</v>
      </c>
      <c r="D1533" t="str" cm="1">
        <f t="array" aca="1" ref="D1533" ca="1">CELL("nomfichier",INDIRECT(A1533))</f>
        <v>G:\SCPE\sdc\bq\6 - Mentions valorisantes\Certification environnementale\TEXTES_REGLEMENTATION_CE\Plans_contrôle et grilles\Grille audit niveau 3\Grille d'audit v1.11\[grille-audit-hvev4-v1.11-vf.xlsx]Phyto</v>
      </c>
      <c r="E1533">
        <f t="shared" ca="1" si="93"/>
        <v>200</v>
      </c>
      <c r="F1533">
        <f t="shared" ca="1" si="94"/>
        <v>205</v>
      </c>
      <c r="G1533" t="str">
        <f t="shared" ca="1" si="95"/>
        <v>Phyto</v>
      </c>
      <c r="H1533" cm="1">
        <f t="array" aca="1" ref="H1533" ca="1">ROW(INDIRECT(A1533))</f>
        <v>102</v>
      </c>
      <c r="I1533" cm="1">
        <f t="array" aca="1" ref="I1533" ca="1">COLUMN(INDIRECT(A1533))</f>
        <v>10</v>
      </c>
      <c r="M1533" t="str" cm="1">
        <f t="array" aca="1" ref="M1533" ca="1">IF(AND(J1533="O",ISBLANK(INDIRECT(A1533))),"Valeur obligatoire non renseignée","")</f>
        <v/>
      </c>
    </row>
    <row r="1534" spans="1:13" x14ac:dyDescent="0.25">
      <c r="A1534" t="s">
        <v>4519</v>
      </c>
      <c r="B1534" t="e" cm="1">
        <f t="array" aca="1" ref="B1534" ca="1">INDIRECT(A1534)</f>
        <v>#REF!</v>
      </c>
      <c r="C1534" t="e">
        <f t="shared" ca="1" si="92"/>
        <v>#REF!</v>
      </c>
      <c r="D1534" t="e" cm="1">
        <f t="array" aca="1" ref="D1534" ca="1">CELL("nomfichier",INDIRECT(A1534))</f>
        <v>#REF!</v>
      </c>
      <c r="E1534" t="e">
        <f t="shared" ca="1" si="93"/>
        <v>#REF!</v>
      </c>
      <c r="F1534" t="e">
        <f t="shared" ca="1" si="94"/>
        <v>#REF!</v>
      </c>
      <c r="G1534" t="e">
        <f t="shared" ca="1" si="95"/>
        <v>#REF!</v>
      </c>
      <c r="H1534" t="e" cm="1">
        <f t="array" aca="1" ref="H1534" ca="1">ROW(INDIRECT(A1534))</f>
        <v>#REF!</v>
      </c>
      <c r="I1534" t="e" cm="1">
        <f t="array" aca="1" ref="I1534" ca="1">COLUMN(INDIRECT(A1534))</f>
        <v>#REF!</v>
      </c>
      <c r="M1534" t="str" cm="1">
        <f t="array" aca="1" ref="M1534" ca="1">IF(AND(J1534="O",ISBLANK(INDIRECT(A1534))),"Valeur obligatoire non renseignée","")</f>
        <v/>
      </c>
    </row>
    <row r="1535" spans="1:13" x14ac:dyDescent="0.25">
      <c r="A1535" t="s">
        <v>4527</v>
      </c>
      <c r="B1535" t="str" cm="1">
        <f t="array" aca="1" ref="B1535" ca="1">INDIRECT(A1535)</f>
        <v/>
      </c>
      <c r="C1535">
        <f t="shared" ca="1" si="92"/>
        <v>7</v>
      </c>
      <c r="D1535" t="str" cm="1">
        <f t="array" aca="1" ref="D1535" ca="1">CELL("nomfichier",INDIRECT(A1535))</f>
        <v>G:\SCPE\sdc\bq\6 - Mentions valorisantes\Certification environnementale\TEXTES_REGLEMENTATION_CE\Plans_contrôle et grilles\Grille audit niveau 3\Grille d'audit v1.11\[grille-audit-hvev4-v1.11-vf.xlsx]Phyto</v>
      </c>
      <c r="E1535">
        <f t="shared" ca="1" si="93"/>
        <v>200</v>
      </c>
      <c r="F1535">
        <f t="shared" ca="1" si="94"/>
        <v>205</v>
      </c>
      <c r="G1535" t="str">
        <f t="shared" ca="1" si="95"/>
        <v>Phyto</v>
      </c>
      <c r="H1535" cm="1">
        <f t="array" aca="1" ref="H1535" ca="1">ROW(INDIRECT(A1535))</f>
        <v>102</v>
      </c>
      <c r="I1535" cm="1">
        <f t="array" aca="1" ref="I1535" ca="1">COLUMN(INDIRECT(A1535))</f>
        <v>14</v>
      </c>
      <c r="M1535" t="str" cm="1">
        <f t="array" aca="1" ref="M1535" ca="1">IF(AND(J1535="O",ISBLANK(INDIRECT(A1535))),"Valeur obligatoire non renseignée","")</f>
        <v/>
      </c>
    </row>
    <row r="1536" spans="1:13" x14ac:dyDescent="0.25">
      <c r="A1536" t="s">
        <v>4497</v>
      </c>
      <c r="B1536" t="str" cm="1">
        <f t="array" aca="1" ref="B1536" ca="1">INDIRECT(A1536)</f>
        <v/>
      </c>
      <c r="C1536">
        <f t="shared" ca="1" si="92"/>
        <v>7</v>
      </c>
      <c r="D1536" t="str" cm="1">
        <f t="array" aca="1" ref="D1536" ca="1">CELL("nomfichier",INDIRECT(A1536))</f>
        <v>G:\SCPE\sdc\bq\6 - Mentions valorisantes\Certification environnementale\TEXTES_REGLEMENTATION_CE\Plans_contrôle et grilles\Grille audit niveau 3\Grille d'audit v1.11\[grille-audit-hvev4-v1.11-vf.xlsx]Phyto</v>
      </c>
      <c r="E1536">
        <f t="shared" ca="1" si="93"/>
        <v>200</v>
      </c>
      <c r="F1536">
        <f t="shared" ca="1" si="94"/>
        <v>205</v>
      </c>
      <c r="G1536" t="str">
        <f t="shared" ca="1" si="95"/>
        <v>Phyto</v>
      </c>
      <c r="H1536" cm="1">
        <f t="array" aca="1" ref="H1536" ca="1">ROW(INDIRECT(A1536))</f>
        <v>102</v>
      </c>
      <c r="I1536" cm="1">
        <f t="array" aca="1" ref="I1536" ca="1">COLUMN(INDIRECT(A1536))</f>
        <v>16</v>
      </c>
      <c r="M1536" t="str" cm="1">
        <f t="array" aca="1" ref="M1536" ca="1">IF(AND(J1536="O",ISBLANK(INDIRECT(A1536))),"Valeur obligatoire non renseignée","")</f>
        <v/>
      </c>
    </row>
    <row r="1537" spans="1:13" x14ac:dyDescent="0.25">
      <c r="A1537" t="s">
        <v>4511</v>
      </c>
      <c r="B1537" t="str" cm="1">
        <f t="array" aca="1" ref="B1537" ca="1">INDIRECT(A1537)</f>
        <v/>
      </c>
      <c r="C1537">
        <f t="shared" ca="1" si="92"/>
        <v>7</v>
      </c>
      <c r="D1537" t="str" cm="1">
        <f t="array" aca="1" ref="D1537" ca="1">CELL("nomfichier",INDIRECT(A1537))</f>
        <v>G:\SCPE\sdc\bq\6 - Mentions valorisantes\Certification environnementale\TEXTES_REGLEMENTATION_CE\Plans_contrôle et grilles\Grille audit niveau 3\Grille d'audit v1.11\[grille-audit-hvev4-v1.11-vf.xlsx]Phyto</v>
      </c>
      <c r="E1537">
        <f t="shared" ca="1" si="93"/>
        <v>200</v>
      </c>
      <c r="F1537">
        <f t="shared" ca="1" si="94"/>
        <v>205</v>
      </c>
      <c r="G1537" t="str">
        <f t="shared" ca="1" si="95"/>
        <v>Phyto</v>
      </c>
      <c r="H1537" cm="1">
        <f t="array" aca="1" ref="H1537" ca="1">ROW(INDIRECT(A1537))</f>
        <v>103</v>
      </c>
      <c r="I1537" cm="1">
        <f t="array" aca="1" ref="I1537" ca="1">COLUMN(INDIRECT(A1537))</f>
        <v>10</v>
      </c>
      <c r="M1537" t="str" cm="1">
        <f t="array" aca="1" ref="M1537" ca="1">IF(AND(J1537="O",ISBLANK(INDIRECT(A1537))),"Valeur obligatoire non renseignée","")</f>
        <v/>
      </c>
    </row>
    <row r="1538" spans="1:13" x14ac:dyDescent="0.25">
      <c r="A1538" t="s">
        <v>4520</v>
      </c>
      <c r="B1538" t="e" cm="1">
        <f t="array" aca="1" ref="B1538" ca="1">INDIRECT(A1538)</f>
        <v>#REF!</v>
      </c>
      <c r="C1538" t="e">
        <f t="shared" ref="C1538:C1601" ca="1" si="96">_xlfn.SHEET(INDIRECT(A1538))</f>
        <v>#REF!</v>
      </c>
      <c r="D1538" t="e" cm="1">
        <f t="array" aca="1" ref="D1538" ca="1">CELL("nomfichier",INDIRECT(A1538))</f>
        <v>#REF!</v>
      </c>
      <c r="E1538" t="e">
        <f t="shared" ref="E1538:E1601" ca="1" si="97">FIND("]",D1538)</f>
        <v>#REF!</v>
      </c>
      <c r="F1538" t="e">
        <f t="shared" ref="F1538:F1601" ca="1" si="98">LEN(D1538)</f>
        <v>#REF!</v>
      </c>
      <c r="G1538" t="e">
        <f t="shared" ref="G1538:G1601" ca="1" si="99">RIGHT(D1538,F1538-E1538)</f>
        <v>#REF!</v>
      </c>
      <c r="H1538" t="e" cm="1">
        <f t="array" aca="1" ref="H1538" ca="1">ROW(INDIRECT(A1538))</f>
        <v>#REF!</v>
      </c>
      <c r="I1538" t="e" cm="1">
        <f t="array" aca="1" ref="I1538" ca="1">COLUMN(INDIRECT(A1538))</f>
        <v>#REF!</v>
      </c>
      <c r="M1538" t="str" cm="1">
        <f t="array" aca="1" ref="M1538" ca="1">IF(AND(J1538="O",ISBLANK(INDIRECT(A1538))),"Valeur obligatoire non renseignée","")</f>
        <v/>
      </c>
    </row>
    <row r="1539" spans="1:13" x14ac:dyDescent="0.25">
      <c r="A1539" t="s">
        <v>4528</v>
      </c>
      <c r="B1539" t="str" cm="1">
        <f t="array" aca="1" ref="B1539" ca="1">INDIRECT(A1539)</f>
        <v/>
      </c>
      <c r="C1539">
        <f t="shared" ca="1" si="96"/>
        <v>7</v>
      </c>
      <c r="D1539" t="str" cm="1">
        <f t="array" aca="1" ref="D1539" ca="1">CELL("nomfichier",INDIRECT(A1539))</f>
        <v>G:\SCPE\sdc\bq\6 - Mentions valorisantes\Certification environnementale\TEXTES_REGLEMENTATION_CE\Plans_contrôle et grilles\Grille audit niveau 3\Grille d'audit v1.11\[grille-audit-hvev4-v1.11-vf.xlsx]Phyto</v>
      </c>
      <c r="E1539">
        <f t="shared" ca="1" si="97"/>
        <v>200</v>
      </c>
      <c r="F1539">
        <f t="shared" ca="1" si="98"/>
        <v>205</v>
      </c>
      <c r="G1539" t="str">
        <f t="shared" ca="1" si="99"/>
        <v>Phyto</v>
      </c>
      <c r="H1539" cm="1">
        <f t="array" aca="1" ref="H1539" ca="1">ROW(INDIRECT(A1539))</f>
        <v>103</v>
      </c>
      <c r="I1539" cm="1">
        <f t="array" aca="1" ref="I1539" ca="1">COLUMN(INDIRECT(A1539))</f>
        <v>14</v>
      </c>
      <c r="M1539" t="str" cm="1">
        <f t="array" aca="1" ref="M1539" ca="1">IF(AND(J1539="O",ISBLANK(INDIRECT(A1539))),"Valeur obligatoire non renseignée","")</f>
        <v/>
      </c>
    </row>
    <row r="1540" spans="1:13" x14ac:dyDescent="0.25">
      <c r="A1540" t="s">
        <v>4498</v>
      </c>
      <c r="B1540" t="str" cm="1">
        <f t="array" aca="1" ref="B1540" ca="1">INDIRECT(A1540)</f>
        <v/>
      </c>
      <c r="C1540">
        <f t="shared" ca="1" si="96"/>
        <v>7</v>
      </c>
      <c r="D1540" t="str" cm="1">
        <f t="array" aca="1" ref="D1540" ca="1">CELL("nomfichier",INDIRECT(A1540))</f>
        <v>G:\SCPE\sdc\bq\6 - Mentions valorisantes\Certification environnementale\TEXTES_REGLEMENTATION_CE\Plans_contrôle et grilles\Grille audit niveau 3\Grille d'audit v1.11\[grille-audit-hvev4-v1.11-vf.xlsx]Phyto</v>
      </c>
      <c r="E1540">
        <f t="shared" ca="1" si="97"/>
        <v>200</v>
      </c>
      <c r="F1540">
        <f t="shared" ca="1" si="98"/>
        <v>205</v>
      </c>
      <c r="G1540" t="str">
        <f t="shared" ca="1" si="99"/>
        <v>Phyto</v>
      </c>
      <c r="H1540" cm="1">
        <f t="array" aca="1" ref="H1540" ca="1">ROW(INDIRECT(A1540))</f>
        <v>103</v>
      </c>
      <c r="I1540" cm="1">
        <f t="array" aca="1" ref="I1540" ca="1">COLUMN(INDIRECT(A1540))</f>
        <v>16</v>
      </c>
      <c r="M1540" t="str" cm="1">
        <f t="array" aca="1" ref="M1540" ca="1">IF(AND(J1540="O",ISBLANK(INDIRECT(A1540))),"Valeur obligatoire non renseignée","")</f>
        <v/>
      </c>
    </row>
    <row r="1541" spans="1:13" x14ac:dyDescent="0.25">
      <c r="A1541" t="s">
        <v>4516</v>
      </c>
      <c r="B1541" t="str" cm="1">
        <f t="array" aca="1" ref="B1541" ca="1">INDIRECT(A1541)</f>
        <v/>
      </c>
      <c r="C1541">
        <f t="shared" ca="1" si="96"/>
        <v>7</v>
      </c>
      <c r="D1541" t="str" cm="1">
        <f t="array" aca="1" ref="D1541" ca="1">CELL("nomfichier",INDIRECT(A1541))</f>
        <v>G:\SCPE\sdc\bq\6 - Mentions valorisantes\Certification environnementale\TEXTES_REGLEMENTATION_CE\Plans_contrôle et grilles\Grille audit niveau 3\Grille d'audit v1.11\[grille-audit-hvev4-v1.11-vf.xlsx]Phyto</v>
      </c>
      <c r="E1541">
        <f t="shared" ca="1" si="97"/>
        <v>200</v>
      </c>
      <c r="F1541">
        <f t="shared" ca="1" si="98"/>
        <v>205</v>
      </c>
      <c r="G1541" t="str">
        <f t="shared" ca="1" si="99"/>
        <v>Phyto</v>
      </c>
      <c r="H1541" cm="1">
        <f t="array" aca="1" ref="H1541" ca="1">ROW(INDIRECT(A1541))</f>
        <v>106</v>
      </c>
      <c r="I1541" cm="1">
        <f t="array" aca="1" ref="I1541" ca="1">COLUMN(INDIRECT(A1541))</f>
        <v>8</v>
      </c>
      <c r="M1541" t="str" cm="1">
        <f t="array" aca="1" ref="M1541" ca="1">IF(AND(J1541="O",ISBLANK(INDIRECT(A1541))),"Valeur obligatoire non renseignée","")</f>
        <v/>
      </c>
    </row>
    <row r="1542" spans="1:13" x14ac:dyDescent="0.25">
      <c r="A1542" t="s">
        <v>4509</v>
      </c>
      <c r="B1542" t="str" cm="1">
        <f t="array" aca="1" ref="B1542" ca="1">INDIRECT(A1542)</f>
        <v>L'utilisation de la note déterminée avec les anciennes valeurs est acceptée uniquement pour les exploitations déjà certifiées au moment de la mise à jour jusqu'à la fin de la campagne 2025. 
La mise à jour de ces valeurs a été réalisée le 12 juillet 2024.</v>
      </c>
      <c r="C1542">
        <f t="shared" ca="1" si="96"/>
        <v>7</v>
      </c>
      <c r="D1542" t="str" cm="1">
        <f t="array" aca="1" ref="D1542" ca="1">CELL("nomfichier",INDIRECT(A1542))</f>
        <v>G:\SCPE\sdc\bq\6 - Mentions valorisantes\Certification environnementale\TEXTES_REGLEMENTATION_CE\Plans_contrôle et grilles\Grille audit niveau 3\Grille d'audit v1.11\[grille-audit-hvev4-v1.11-vf.xlsx]Phyto</v>
      </c>
      <c r="E1542">
        <f t="shared" ca="1" si="97"/>
        <v>200</v>
      </c>
      <c r="F1542">
        <f t="shared" ca="1" si="98"/>
        <v>205</v>
      </c>
      <c r="G1542" t="str">
        <f t="shared" ca="1" si="99"/>
        <v>Phyto</v>
      </c>
      <c r="H1542" cm="1">
        <f t="array" aca="1" ref="H1542" ca="1">ROW(INDIRECT(A1542))</f>
        <v>106</v>
      </c>
      <c r="I1542" cm="1">
        <f t="array" aca="1" ref="I1542" ca="1">COLUMN(INDIRECT(A1542))</f>
        <v>10</v>
      </c>
      <c r="M1542" t="str" cm="1">
        <f t="array" aca="1" ref="M1542" ca="1">IF(AND(J1542="O",ISBLANK(INDIRECT(A1542))),"Valeur obligatoire non renseignée","")</f>
        <v/>
      </c>
    </row>
    <row r="1543" spans="1:13" x14ac:dyDescent="0.25">
      <c r="A1543" t="s">
        <v>4533</v>
      </c>
      <c r="B1543" t="str" cm="1">
        <f t="array" aca="1" ref="B1543" ca="1">INDIRECT(A1543)</f>
        <v/>
      </c>
      <c r="C1543">
        <f t="shared" ca="1" si="96"/>
        <v>7</v>
      </c>
      <c r="D1543" t="str" cm="1">
        <f t="array" aca="1" ref="D1543" ca="1">CELL("nomfichier",INDIRECT(A1543))</f>
        <v>G:\SCPE\sdc\bq\6 - Mentions valorisantes\Certification environnementale\TEXTES_REGLEMENTATION_CE\Plans_contrôle et grilles\Grille audit niveau 3\Grille d'audit v1.11\[grille-audit-hvev4-v1.11-vf.xlsx]Phyto</v>
      </c>
      <c r="E1543">
        <f t="shared" ca="1" si="97"/>
        <v>200</v>
      </c>
      <c r="F1543">
        <f t="shared" ca="1" si="98"/>
        <v>205</v>
      </c>
      <c r="G1543" t="str">
        <f t="shared" ca="1" si="99"/>
        <v>Phyto</v>
      </c>
      <c r="H1543" cm="1">
        <f t="array" aca="1" ref="H1543" ca="1">ROW(INDIRECT(A1543))</f>
        <v>106</v>
      </c>
      <c r="I1543" cm="1">
        <f t="array" aca="1" ref="I1543" ca="1">COLUMN(INDIRECT(A1543))</f>
        <v>13</v>
      </c>
      <c r="M1543" t="str" cm="1">
        <f t="array" aca="1" ref="M1543" ca="1">IF(AND(J1543="O",ISBLANK(INDIRECT(A1543))),"Valeur obligatoire non renseignée","")</f>
        <v/>
      </c>
    </row>
    <row r="1544" spans="1:13" x14ac:dyDescent="0.25">
      <c r="A1544" t="s">
        <v>4526</v>
      </c>
      <c r="B1544" t="str" cm="1">
        <f t="array" aca="1" ref="B1544" ca="1">INDIRECT(A1544)</f>
        <v>Il n'existe pour le moment qu'une seule échelle de notation.</v>
      </c>
      <c r="C1544">
        <f t="shared" ca="1" si="96"/>
        <v>7</v>
      </c>
      <c r="D1544" t="str" cm="1">
        <f t="array" aca="1" ref="D1544" ca="1">CELL("nomfichier",INDIRECT(A1544))</f>
        <v>G:\SCPE\sdc\bq\6 - Mentions valorisantes\Certification environnementale\TEXTES_REGLEMENTATION_CE\Plans_contrôle et grilles\Grille audit niveau 3\Grille d'audit v1.11\[grille-audit-hvev4-v1.11-vf.xlsx]Phyto</v>
      </c>
      <c r="E1544">
        <f t="shared" ca="1" si="97"/>
        <v>200</v>
      </c>
      <c r="F1544">
        <f t="shared" ca="1" si="98"/>
        <v>205</v>
      </c>
      <c r="G1544" t="str">
        <f t="shared" ca="1" si="99"/>
        <v>Phyto</v>
      </c>
      <c r="H1544" cm="1">
        <f t="array" aca="1" ref="H1544" ca="1">ROW(INDIRECT(A1544))</f>
        <v>106</v>
      </c>
      <c r="I1544" cm="1">
        <f t="array" aca="1" ref="I1544" ca="1">COLUMN(INDIRECT(A1544))</f>
        <v>15</v>
      </c>
      <c r="M1544" t="str" cm="1">
        <f t="array" aca="1" ref="M1544" ca="1">IF(AND(J1544="O",ISBLANK(INDIRECT(A1544))),"Valeur obligatoire non renseignée","")</f>
        <v/>
      </c>
    </row>
    <row r="1545" spans="1:13" x14ac:dyDescent="0.25">
      <c r="A1545" t="s">
        <v>4503</v>
      </c>
      <c r="B1545" t="str" cm="1">
        <f t="array" aca="1" ref="B1545" ca="1">INDIRECT(A1545)</f>
        <v/>
      </c>
      <c r="C1545">
        <f t="shared" ca="1" si="96"/>
        <v>7</v>
      </c>
      <c r="D1545" t="str" cm="1">
        <f t="array" aca="1" ref="D1545" ca="1">CELL("nomfichier",INDIRECT(A1545))</f>
        <v>G:\SCPE\sdc\bq\6 - Mentions valorisantes\Certification environnementale\TEXTES_REGLEMENTATION_CE\Plans_contrôle et grilles\Grille audit niveau 3\Grille d'audit v1.11\[grille-audit-hvev4-v1.11-vf.xlsx]Phyto</v>
      </c>
      <c r="E1545">
        <f t="shared" ca="1" si="97"/>
        <v>200</v>
      </c>
      <c r="F1545">
        <f t="shared" ca="1" si="98"/>
        <v>205</v>
      </c>
      <c r="G1545" t="str">
        <f t="shared" ca="1" si="99"/>
        <v>Phyto</v>
      </c>
      <c r="H1545" cm="1">
        <f t="array" aca="1" ref="H1545" ca="1">ROW(INDIRECT(A1545))</f>
        <v>106</v>
      </c>
      <c r="I1545" cm="1">
        <f t="array" aca="1" ref="I1545" ca="1">COLUMN(INDIRECT(A1545))</f>
        <v>18</v>
      </c>
      <c r="M1545" t="str" cm="1">
        <f t="array" aca="1" ref="M1545" ca="1">IF(AND(J1545="O",ISBLANK(INDIRECT(A1545))),"Valeur obligatoire non renseignée","")</f>
        <v/>
      </c>
    </row>
    <row r="1546" spans="1:13" x14ac:dyDescent="0.25">
      <c r="A1546" t="s">
        <v>4496</v>
      </c>
      <c r="B1546" t="str" cm="1">
        <f t="array" aca="1" ref="B1546" ca="1">INDIRECT(A1546)</f>
        <v>Il n'existe pour le moment qu'une seule échelle de notation.</v>
      </c>
      <c r="C1546">
        <f t="shared" ca="1" si="96"/>
        <v>7</v>
      </c>
      <c r="D1546" t="str" cm="1">
        <f t="array" aca="1" ref="D1546" ca="1">CELL("nomfichier",INDIRECT(A1546))</f>
        <v>G:\SCPE\sdc\bq\6 - Mentions valorisantes\Certification environnementale\TEXTES_REGLEMENTATION_CE\Plans_contrôle et grilles\Grille audit niveau 3\Grille d'audit v1.11\[grille-audit-hvev4-v1.11-vf.xlsx]Phyto</v>
      </c>
      <c r="E1546">
        <f t="shared" ca="1" si="97"/>
        <v>200</v>
      </c>
      <c r="F1546">
        <f t="shared" ca="1" si="98"/>
        <v>205</v>
      </c>
      <c r="G1546" t="str">
        <f t="shared" ca="1" si="99"/>
        <v>Phyto</v>
      </c>
      <c r="H1546" cm="1">
        <f t="array" aca="1" ref="H1546" ca="1">ROW(INDIRECT(A1546))</f>
        <v>106</v>
      </c>
      <c r="I1546" cm="1">
        <f t="array" aca="1" ref="I1546" ca="1">COLUMN(INDIRECT(A1546))</f>
        <v>20</v>
      </c>
      <c r="M1546" t="str" cm="1">
        <f t="array" aca="1" ref="M1546" ca="1">IF(AND(J1546="O",ISBLANK(INDIRECT(A1546))),"Valeur obligatoire non renseignée","")</f>
        <v/>
      </c>
    </row>
    <row r="1547" spans="1:13" x14ac:dyDescent="0.25">
      <c r="A1547" t="s">
        <v>4517</v>
      </c>
      <c r="B1547" t="str" cm="1">
        <f t="array" aca="1" ref="B1547" ca="1">INDIRECT(A1547)</f>
        <v/>
      </c>
      <c r="C1547">
        <f t="shared" ca="1" si="96"/>
        <v>7</v>
      </c>
      <c r="D1547" t="str" cm="1">
        <f t="array" aca="1" ref="D1547" ca="1">CELL("nomfichier",INDIRECT(A1547))</f>
        <v>G:\SCPE\sdc\bq\6 - Mentions valorisantes\Certification environnementale\TEXTES_REGLEMENTATION_CE\Plans_contrôle et grilles\Grille audit niveau 3\Grille d'audit v1.11\[grille-audit-hvev4-v1.11-vf.xlsx]Phyto</v>
      </c>
      <c r="E1547">
        <f t="shared" ca="1" si="97"/>
        <v>200</v>
      </c>
      <c r="F1547">
        <f t="shared" ca="1" si="98"/>
        <v>205</v>
      </c>
      <c r="G1547" t="str">
        <f t="shared" ca="1" si="99"/>
        <v>Phyto</v>
      </c>
      <c r="H1547" cm="1">
        <f t="array" aca="1" ref="H1547" ca="1">ROW(INDIRECT(A1547))</f>
        <v>107</v>
      </c>
      <c r="I1547" cm="1">
        <f t="array" aca="1" ref="I1547" ca="1">COLUMN(INDIRECT(A1547))</f>
        <v>8</v>
      </c>
      <c r="M1547" t="str" cm="1">
        <f t="array" aca="1" ref="M1547" ca="1">IF(AND(J1547="O",ISBLANK(INDIRECT(A1547))),"Valeur obligatoire non renseignée","")</f>
        <v/>
      </c>
    </row>
    <row r="1548" spans="1:13" x14ac:dyDescent="0.25">
      <c r="A1548" t="s">
        <v>4534</v>
      </c>
      <c r="B1548" t="str" cm="1">
        <f t="array" aca="1" ref="B1548" ca="1">INDIRECT(A1548)</f>
        <v/>
      </c>
      <c r="C1548">
        <f t="shared" ca="1" si="96"/>
        <v>7</v>
      </c>
      <c r="D1548" t="str" cm="1">
        <f t="array" aca="1" ref="D1548" ca="1">CELL("nomfichier",INDIRECT(A1548))</f>
        <v>G:\SCPE\sdc\bq\6 - Mentions valorisantes\Certification environnementale\TEXTES_REGLEMENTATION_CE\Plans_contrôle et grilles\Grille audit niveau 3\Grille d'audit v1.11\[grille-audit-hvev4-v1.11-vf.xlsx]Phyto</v>
      </c>
      <c r="E1548">
        <f t="shared" ca="1" si="97"/>
        <v>200</v>
      </c>
      <c r="F1548">
        <f t="shared" ca="1" si="98"/>
        <v>205</v>
      </c>
      <c r="G1548" t="str">
        <f t="shared" ca="1" si="99"/>
        <v>Phyto</v>
      </c>
      <c r="H1548" cm="1">
        <f t="array" aca="1" ref="H1548" ca="1">ROW(INDIRECT(A1548))</f>
        <v>107</v>
      </c>
      <c r="I1548" cm="1">
        <f t="array" aca="1" ref="I1548" ca="1">COLUMN(INDIRECT(A1548))</f>
        <v>13</v>
      </c>
      <c r="M1548" t="str" cm="1">
        <f t="array" aca="1" ref="M1548" ca="1">IF(AND(J1548="O",ISBLANK(INDIRECT(A1548))),"Valeur obligatoire non renseignée","")</f>
        <v/>
      </c>
    </row>
    <row r="1549" spans="1:13" x14ac:dyDescent="0.25">
      <c r="A1549" t="s">
        <v>4504</v>
      </c>
      <c r="B1549" t="str" cm="1">
        <f t="array" aca="1" ref="B1549" ca="1">INDIRECT(A1549)</f>
        <v/>
      </c>
      <c r="C1549">
        <f t="shared" ca="1" si="96"/>
        <v>7</v>
      </c>
      <c r="D1549" t="str" cm="1">
        <f t="array" aca="1" ref="D1549" ca="1">CELL("nomfichier",INDIRECT(A1549))</f>
        <v>G:\SCPE\sdc\bq\6 - Mentions valorisantes\Certification environnementale\TEXTES_REGLEMENTATION_CE\Plans_contrôle et grilles\Grille audit niveau 3\Grille d'audit v1.11\[grille-audit-hvev4-v1.11-vf.xlsx]Phyto</v>
      </c>
      <c r="E1549">
        <f t="shared" ca="1" si="97"/>
        <v>200</v>
      </c>
      <c r="F1549">
        <f t="shared" ca="1" si="98"/>
        <v>205</v>
      </c>
      <c r="G1549" t="str">
        <f t="shared" ca="1" si="99"/>
        <v>Phyto</v>
      </c>
      <c r="H1549" cm="1">
        <f t="array" aca="1" ref="H1549" ca="1">ROW(INDIRECT(A1549))</f>
        <v>107</v>
      </c>
      <c r="I1549" cm="1">
        <f t="array" aca="1" ref="I1549" ca="1">COLUMN(INDIRECT(A1549))</f>
        <v>18</v>
      </c>
      <c r="M1549" t="str" cm="1">
        <f t="array" aca="1" ref="M1549" ca="1">IF(AND(J1549="O",ISBLANK(INDIRECT(A1549))),"Valeur obligatoire non renseignée","")</f>
        <v/>
      </c>
    </row>
    <row r="1550" spans="1:13" x14ac:dyDescent="0.25">
      <c r="A1550" t="s">
        <v>4799</v>
      </c>
      <c r="B1550" t="str" cm="1">
        <f t="array" aca="1" ref="B1550" ca="1">INDIRECT(A1550)</f>
        <v/>
      </c>
      <c r="C1550">
        <f t="shared" ca="1" si="96"/>
        <v>7</v>
      </c>
      <c r="D1550" t="str" cm="1">
        <f t="array" aca="1" ref="D1550" ca="1">CELL("nomfichier",INDIRECT(A1550))</f>
        <v>G:\SCPE\sdc\bq\6 - Mentions valorisantes\Certification environnementale\TEXTES_REGLEMENTATION_CE\Plans_contrôle et grilles\Grille audit niveau 3\Grille d'audit v1.11\[grille-audit-hvev4-v1.11-vf.xlsx]Phyto</v>
      </c>
      <c r="E1550">
        <f t="shared" ca="1" si="97"/>
        <v>200</v>
      </c>
      <c r="F1550">
        <f t="shared" ca="1" si="98"/>
        <v>205</v>
      </c>
      <c r="G1550" t="str">
        <f t="shared" ca="1" si="99"/>
        <v>Phyto</v>
      </c>
      <c r="H1550" cm="1">
        <f t="array" aca="1" ref="H1550" ca="1">ROW(INDIRECT(A1550))</f>
        <v>108</v>
      </c>
      <c r="I1550" cm="1">
        <f t="array" aca="1" ref="I1550" ca="1">COLUMN(INDIRECT(A1550))</f>
        <v>8</v>
      </c>
      <c r="M1550" t="str" cm="1">
        <f t="array" aca="1" ref="M1550" ca="1">IF(AND(J1550="O",ISBLANK(INDIRECT(A1550))),"Valeur obligatoire non renseignée","")</f>
        <v/>
      </c>
    </row>
    <row r="1551" spans="1:13" x14ac:dyDescent="0.25">
      <c r="A1551" t="s">
        <v>4797</v>
      </c>
      <c r="B1551" t="str" cm="1">
        <f t="array" aca="1" ref="B1551" ca="1">INDIRECT(A1551)</f>
        <v/>
      </c>
      <c r="C1551">
        <f t="shared" ca="1" si="96"/>
        <v>7</v>
      </c>
      <c r="D1551" t="str" cm="1">
        <f t="array" aca="1" ref="D1551" ca="1">CELL("nomfichier",INDIRECT(A1551))</f>
        <v>G:\SCPE\sdc\bq\6 - Mentions valorisantes\Certification environnementale\TEXTES_REGLEMENTATION_CE\Plans_contrôle et grilles\Grille audit niveau 3\Grille d'audit v1.11\[grille-audit-hvev4-v1.11-vf.xlsx]Phyto</v>
      </c>
      <c r="E1551">
        <f t="shared" ca="1" si="97"/>
        <v>200</v>
      </c>
      <c r="F1551">
        <f t="shared" ca="1" si="98"/>
        <v>205</v>
      </c>
      <c r="G1551" t="str">
        <f t="shared" ca="1" si="99"/>
        <v>Phyto</v>
      </c>
      <c r="H1551" cm="1">
        <f t="array" aca="1" ref="H1551" ca="1">ROW(INDIRECT(A1551))</f>
        <v>108</v>
      </c>
      <c r="I1551" cm="1">
        <f t="array" aca="1" ref="I1551" ca="1">COLUMN(INDIRECT(A1551))</f>
        <v>13</v>
      </c>
      <c r="M1551" t="str" cm="1">
        <f t="array" aca="1" ref="M1551" ca="1">IF(AND(J1551="O",ISBLANK(INDIRECT(A1551))),"Valeur obligatoire non renseignée","")</f>
        <v/>
      </c>
    </row>
    <row r="1552" spans="1:13" x14ac:dyDescent="0.25">
      <c r="A1552" t="s">
        <v>4795</v>
      </c>
      <c r="B1552" t="str" cm="1">
        <f t="array" aca="1" ref="B1552" ca="1">INDIRECT(A1552)</f>
        <v/>
      </c>
      <c r="C1552">
        <f t="shared" ca="1" si="96"/>
        <v>7</v>
      </c>
      <c r="D1552" t="str" cm="1">
        <f t="array" aca="1" ref="D1552" ca="1">CELL("nomfichier",INDIRECT(A1552))</f>
        <v>G:\SCPE\sdc\bq\6 - Mentions valorisantes\Certification environnementale\TEXTES_REGLEMENTATION_CE\Plans_contrôle et grilles\Grille audit niveau 3\Grille d'audit v1.11\[grille-audit-hvev4-v1.11-vf.xlsx]Phyto</v>
      </c>
      <c r="E1552">
        <f t="shared" ca="1" si="97"/>
        <v>200</v>
      </c>
      <c r="F1552">
        <f t="shared" ca="1" si="98"/>
        <v>205</v>
      </c>
      <c r="G1552" t="str">
        <f t="shared" ca="1" si="99"/>
        <v>Phyto</v>
      </c>
      <c r="H1552" cm="1">
        <f t="array" aca="1" ref="H1552" ca="1">ROW(INDIRECT(A1552))</f>
        <v>108</v>
      </c>
      <c r="I1552" cm="1">
        <f t="array" aca="1" ref="I1552" ca="1">COLUMN(INDIRECT(A1552))</f>
        <v>18</v>
      </c>
      <c r="M1552" t="str" cm="1">
        <f t="array" aca="1" ref="M1552" ca="1">IF(AND(J1552="O",ISBLANK(INDIRECT(A1552))),"Valeur obligatoire non renseignée","")</f>
        <v/>
      </c>
    </row>
    <row r="1553" spans="1:13" x14ac:dyDescent="0.25">
      <c r="A1553" t="s">
        <v>4800</v>
      </c>
      <c r="B1553" t="str" cm="1">
        <f t="array" aca="1" ref="B1553" ca="1">INDIRECT(A1553)</f>
        <v/>
      </c>
      <c r="C1553">
        <f t="shared" ca="1" si="96"/>
        <v>7</v>
      </c>
      <c r="D1553" t="str" cm="1">
        <f t="array" aca="1" ref="D1553" ca="1">CELL("nomfichier",INDIRECT(A1553))</f>
        <v>G:\SCPE\sdc\bq\6 - Mentions valorisantes\Certification environnementale\TEXTES_REGLEMENTATION_CE\Plans_contrôle et grilles\Grille audit niveau 3\Grille d'audit v1.11\[grille-audit-hvev4-v1.11-vf.xlsx]Phyto</v>
      </c>
      <c r="E1553">
        <f t="shared" ca="1" si="97"/>
        <v>200</v>
      </c>
      <c r="F1553">
        <f t="shared" ca="1" si="98"/>
        <v>205</v>
      </c>
      <c r="G1553" t="str">
        <f t="shared" ca="1" si="99"/>
        <v>Phyto</v>
      </c>
      <c r="H1553" cm="1">
        <f t="array" aca="1" ref="H1553" ca="1">ROW(INDIRECT(A1553))</f>
        <v>109</v>
      </c>
      <c r="I1553" cm="1">
        <f t="array" aca="1" ref="I1553" ca="1">COLUMN(INDIRECT(A1553))</f>
        <v>8</v>
      </c>
      <c r="M1553" t="str" cm="1">
        <f t="array" aca="1" ref="M1553" ca="1">IF(AND(J1553="O",ISBLANK(INDIRECT(A1553))),"Valeur obligatoire non renseignée","")</f>
        <v/>
      </c>
    </row>
    <row r="1554" spans="1:13" x14ac:dyDescent="0.25">
      <c r="A1554" t="s">
        <v>4798</v>
      </c>
      <c r="B1554" t="str" cm="1">
        <f t="array" aca="1" ref="B1554" ca="1">INDIRECT(A1554)</f>
        <v/>
      </c>
      <c r="C1554">
        <f t="shared" ca="1" si="96"/>
        <v>7</v>
      </c>
      <c r="D1554" t="str" cm="1">
        <f t="array" aca="1" ref="D1554" ca="1">CELL("nomfichier",INDIRECT(A1554))</f>
        <v>G:\SCPE\sdc\bq\6 - Mentions valorisantes\Certification environnementale\TEXTES_REGLEMENTATION_CE\Plans_contrôle et grilles\Grille audit niveau 3\Grille d'audit v1.11\[grille-audit-hvev4-v1.11-vf.xlsx]Phyto</v>
      </c>
      <c r="E1554">
        <f t="shared" ca="1" si="97"/>
        <v>200</v>
      </c>
      <c r="F1554">
        <f t="shared" ca="1" si="98"/>
        <v>205</v>
      </c>
      <c r="G1554" t="str">
        <f t="shared" ca="1" si="99"/>
        <v>Phyto</v>
      </c>
      <c r="H1554" cm="1">
        <f t="array" aca="1" ref="H1554" ca="1">ROW(INDIRECT(A1554))</f>
        <v>109</v>
      </c>
      <c r="I1554" cm="1">
        <f t="array" aca="1" ref="I1554" ca="1">COLUMN(INDIRECT(A1554))</f>
        <v>13</v>
      </c>
      <c r="M1554" t="str" cm="1">
        <f t="array" aca="1" ref="M1554" ca="1">IF(AND(J1554="O",ISBLANK(INDIRECT(A1554))),"Valeur obligatoire non renseignée","")</f>
        <v/>
      </c>
    </row>
    <row r="1555" spans="1:13" x14ac:dyDescent="0.25">
      <c r="A1555" t="s">
        <v>4796</v>
      </c>
      <c r="B1555" t="str" cm="1">
        <f t="array" aca="1" ref="B1555" ca="1">INDIRECT(A1555)</f>
        <v/>
      </c>
      <c r="C1555">
        <f t="shared" ca="1" si="96"/>
        <v>7</v>
      </c>
      <c r="D1555" t="str" cm="1">
        <f t="array" aca="1" ref="D1555" ca="1">CELL("nomfichier",INDIRECT(A1555))</f>
        <v>G:\SCPE\sdc\bq\6 - Mentions valorisantes\Certification environnementale\TEXTES_REGLEMENTATION_CE\Plans_contrôle et grilles\Grille audit niveau 3\Grille d'audit v1.11\[grille-audit-hvev4-v1.11-vf.xlsx]Phyto</v>
      </c>
      <c r="E1555">
        <f t="shared" ca="1" si="97"/>
        <v>200</v>
      </c>
      <c r="F1555">
        <f t="shared" ca="1" si="98"/>
        <v>205</v>
      </c>
      <c r="G1555" t="str">
        <f t="shared" ca="1" si="99"/>
        <v>Phyto</v>
      </c>
      <c r="H1555" cm="1">
        <f t="array" aca="1" ref="H1555" ca="1">ROW(INDIRECT(A1555))</f>
        <v>109</v>
      </c>
      <c r="I1555" cm="1">
        <f t="array" aca="1" ref="I1555" ca="1">COLUMN(INDIRECT(A1555))</f>
        <v>18</v>
      </c>
      <c r="M1555" t="str" cm="1">
        <f t="array" aca="1" ref="M1555" ca="1">IF(AND(J1555="O",ISBLANK(INDIRECT(A1555))),"Valeur obligatoire non renseignée","")</f>
        <v/>
      </c>
    </row>
    <row r="1556" spans="1:13" x14ac:dyDescent="0.25">
      <c r="A1556" t="s">
        <v>4547</v>
      </c>
      <c r="B1556" cm="1">
        <f t="array" aca="1" ref="B1556" ca="1">INDIRECT(A1556)</f>
        <v>0</v>
      </c>
      <c r="C1556">
        <f t="shared" ca="1" si="96"/>
        <v>7</v>
      </c>
      <c r="D1556" t="str" cm="1">
        <f t="array" aca="1" ref="D1556" ca="1">CELL("nomfichier",INDIRECT(A1556))</f>
        <v>G:\SCPE\sdc\bq\6 - Mentions valorisantes\Certification environnementale\TEXTES_REGLEMENTATION_CE\Plans_contrôle et grilles\Grille audit niveau 3\Grille d'audit v1.11\[grille-audit-hvev4-v1.11-vf.xlsx]Phyto</v>
      </c>
      <c r="E1556">
        <f t="shared" ca="1" si="97"/>
        <v>200</v>
      </c>
      <c r="F1556">
        <f t="shared" ca="1" si="98"/>
        <v>205</v>
      </c>
      <c r="G1556" t="str">
        <f t="shared" ca="1" si="99"/>
        <v>Phyto</v>
      </c>
      <c r="H1556" cm="1">
        <f t="array" aca="1" ref="H1556" ca="1">ROW(INDIRECT(A1556))</f>
        <v>112</v>
      </c>
      <c r="I1556" cm="1">
        <f t="array" aca="1" ref="I1556" ca="1">COLUMN(INDIRECT(A1556))</f>
        <v>8</v>
      </c>
      <c r="M1556" t="str" cm="1">
        <f t="array" aca="1" ref="M1556" ca="1">IF(AND(J1556="O",ISBLANK(INDIRECT(A1556))),"Valeur obligatoire non renseignée","")</f>
        <v/>
      </c>
    </row>
    <row r="1557" spans="1:13" x14ac:dyDescent="0.25">
      <c r="A1557" t="s">
        <v>4549</v>
      </c>
      <c r="B1557" cm="1">
        <f t="array" aca="1" ref="B1557" ca="1">INDIRECT(A1557)</f>
        <v>0</v>
      </c>
      <c r="C1557">
        <f t="shared" ca="1" si="96"/>
        <v>7</v>
      </c>
      <c r="D1557" t="str" cm="1">
        <f t="array" aca="1" ref="D1557" ca="1">CELL("nomfichier",INDIRECT(A1557))</f>
        <v>G:\SCPE\sdc\bq\6 - Mentions valorisantes\Certification environnementale\TEXTES_REGLEMENTATION_CE\Plans_contrôle et grilles\Grille audit niveau 3\Grille d'audit v1.11\[grille-audit-hvev4-v1.11-vf.xlsx]Phyto</v>
      </c>
      <c r="E1557">
        <f t="shared" ca="1" si="97"/>
        <v>200</v>
      </c>
      <c r="F1557">
        <f t="shared" ca="1" si="98"/>
        <v>205</v>
      </c>
      <c r="G1557" t="str">
        <f t="shared" ca="1" si="99"/>
        <v>Phyto</v>
      </c>
      <c r="H1557" cm="1">
        <f t="array" aca="1" ref="H1557" ca="1">ROW(INDIRECT(A1557))</f>
        <v>112</v>
      </c>
      <c r="I1557" cm="1">
        <f t="array" aca="1" ref="I1557" ca="1">COLUMN(INDIRECT(A1557))</f>
        <v>13</v>
      </c>
      <c r="M1557" t="str" cm="1">
        <f t="array" aca="1" ref="M1557" ca="1">IF(AND(J1557="O",ISBLANK(INDIRECT(A1557))),"Valeur obligatoire non renseignée","")</f>
        <v/>
      </c>
    </row>
    <row r="1558" spans="1:13" x14ac:dyDescent="0.25">
      <c r="A1558" t="s">
        <v>4552</v>
      </c>
      <c r="B1558" cm="1">
        <f t="array" aca="1" ref="B1558" ca="1">INDIRECT(A1558)</f>
        <v>0</v>
      </c>
      <c r="C1558">
        <f t="shared" ca="1" si="96"/>
        <v>7</v>
      </c>
      <c r="D1558" t="str" cm="1">
        <f t="array" aca="1" ref="D1558" ca="1">CELL("nomfichier",INDIRECT(A1558))</f>
        <v>G:\SCPE\sdc\bq\6 - Mentions valorisantes\Certification environnementale\TEXTES_REGLEMENTATION_CE\Plans_contrôle et grilles\Grille audit niveau 3\Grille d'audit v1.11\[grille-audit-hvev4-v1.11-vf.xlsx]Phyto</v>
      </c>
      <c r="E1558">
        <f t="shared" ca="1" si="97"/>
        <v>200</v>
      </c>
      <c r="F1558">
        <f t="shared" ca="1" si="98"/>
        <v>205</v>
      </c>
      <c r="G1558" t="str">
        <f t="shared" ca="1" si="99"/>
        <v>Phyto</v>
      </c>
      <c r="H1558" cm="1">
        <f t="array" aca="1" ref="H1558" ca="1">ROW(INDIRECT(A1558))</f>
        <v>112</v>
      </c>
      <c r="I1558" cm="1">
        <f t="array" aca="1" ref="I1558" ca="1">COLUMN(INDIRECT(A1558))</f>
        <v>18</v>
      </c>
      <c r="M1558" t="str" cm="1">
        <f t="array" aca="1" ref="M1558" ca="1">IF(AND(J1558="O",ISBLANK(INDIRECT(A1558))),"Valeur obligatoire non renseignée","")</f>
        <v/>
      </c>
    </row>
    <row r="1559" spans="1:13" x14ac:dyDescent="0.25">
      <c r="A1559" t="s">
        <v>4538</v>
      </c>
      <c r="B1559" t="str" cm="1">
        <f t="array" aca="1" ref="B1559" ca="1">INDIRECT(A1559)</f>
        <v/>
      </c>
      <c r="C1559">
        <f t="shared" ca="1" si="96"/>
        <v>7</v>
      </c>
      <c r="D1559" t="str" cm="1">
        <f t="array" aca="1" ref="D1559" ca="1">CELL("nomfichier",INDIRECT(A1559))</f>
        <v>G:\SCPE\sdc\bq\6 - Mentions valorisantes\Certification environnementale\TEXTES_REGLEMENTATION_CE\Plans_contrôle et grilles\Grille audit niveau 3\Grille d'audit v1.11\[grille-audit-hvev4-v1.11-vf.xlsx]Phyto</v>
      </c>
      <c r="E1559">
        <f t="shared" ca="1" si="97"/>
        <v>200</v>
      </c>
      <c r="F1559">
        <f t="shared" ca="1" si="98"/>
        <v>205</v>
      </c>
      <c r="G1559" t="str">
        <f t="shared" ca="1" si="99"/>
        <v>Phyto</v>
      </c>
      <c r="H1559" cm="1">
        <f t="array" aca="1" ref="H1559" ca="1">ROW(INDIRECT(A1559))</f>
        <v>116</v>
      </c>
      <c r="I1559" cm="1">
        <f t="array" aca="1" ref="I1559" ca="1">COLUMN(INDIRECT(A1559))</f>
        <v>11</v>
      </c>
      <c r="M1559" t="str" cm="1">
        <f t="array" aca="1" ref="M1559" ca="1">IF(AND(J1559="O",ISBLANK(INDIRECT(A1559))),"Valeur obligatoire non renseignée","")</f>
        <v/>
      </c>
    </row>
    <row r="1560" spans="1:13" x14ac:dyDescent="0.25">
      <c r="A1560" t="s">
        <v>4541</v>
      </c>
      <c r="B1560" cm="1">
        <f t="array" aca="1" ref="B1560" ca="1">INDIRECT(A1560)</f>
        <v>0</v>
      </c>
      <c r="C1560">
        <f t="shared" ca="1" si="96"/>
        <v>7</v>
      </c>
      <c r="D1560" t="str" cm="1">
        <f t="array" aca="1" ref="D1560" ca="1">CELL("nomfichier",INDIRECT(A1560))</f>
        <v>G:\SCPE\sdc\bq\6 - Mentions valorisantes\Certification environnementale\TEXTES_REGLEMENTATION_CE\Plans_contrôle et grilles\Grille audit niveau 3\Grille d'audit v1.11\[grille-audit-hvev4-v1.11-vf.xlsx]Phyto</v>
      </c>
      <c r="E1560">
        <f t="shared" ca="1" si="97"/>
        <v>200</v>
      </c>
      <c r="F1560">
        <f t="shared" ca="1" si="98"/>
        <v>205</v>
      </c>
      <c r="G1560" t="str">
        <f t="shared" ca="1" si="99"/>
        <v>Phyto</v>
      </c>
      <c r="H1560" cm="1">
        <f t="array" aca="1" ref="H1560" ca="1">ROW(INDIRECT(A1560))</f>
        <v>116</v>
      </c>
      <c r="I1560" cm="1">
        <f t="array" aca="1" ref="I1560" ca="1">COLUMN(INDIRECT(A1560))</f>
        <v>13</v>
      </c>
      <c r="M1560" t="str" cm="1">
        <f t="array" aca="1" ref="M1560" ca="1">IF(AND(J1560="O",ISBLANK(INDIRECT(A1560))),"Valeur obligatoire non renseignée","")</f>
        <v/>
      </c>
    </row>
    <row r="1561" spans="1:13" x14ac:dyDescent="0.25">
      <c r="A1561" t="s">
        <v>4544</v>
      </c>
      <c r="B1561" cm="1">
        <f t="array" aca="1" ref="B1561" ca="1">INDIRECT(A1561)</f>
        <v>10</v>
      </c>
      <c r="C1561">
        <f t="shared" ca="1" si="96"/>
        <v>7</v>
      </c>
      <c r="D1561" t="str" cm="1">
        <f t="array" aca="1" ref="D1561" ca="1">CELL("nomfichier",INDIRECT(A1561))</f>
        <v>G:\SCPE\sdc\bq\6 - Mentions valorisantes\Certification environnementale\TEXTES_REGLEMENTATION_CE\Plans_contrôle et grilles\Grille audit niveau 3\Grille d'audit v1.11\[grille-audit-hvev4-v1.11-vf.xlsx]Phyto</v>
      </c>
      <c r="E1561">
        <f t="shared" ca="1" si="97"/>
        <v>200</v>
      </c>
      <c r="F1561">
        <f t="shared" ca="1" si="98"/>
        <v>205</v>
      </c>
      <c r="G1561" t="str">
        <f t="shared" ca="1" si="99"/>
        <v>Phyto</v>
      </c>
      <c r="H1561" cm="1">
        <f t="array" aca="1" ref="H1561" ca="1">ROW(INDIRECT(A1561))</f>
        <v>116</v>
      </c>
      <c r="I1561" cm="1">
        <f t="array" aca="1" ref="I1561" ca="1">COLUMN(INDIRECT(A1561))</f>
        <v>15</v>
      </c>
      <c r="M1561" t="str" cm="1">
        <f t="array" aca="1" ref="M1561" ca="1">IF(AND(J1561="O",ISBLANK(INDIRECT(A1561))),"Valeur obligatoire non renseignée","")</f>
        <v/>
      </c>
    </row>
    <row r="1562" spans="1:13" x14ac:dyDescent="0.25">
      <c r="A1562" t="s">
        <v>4539</v>
      </c>
      <c r="B1562" t="str" cm="1">
        <f t="array" aca="1" ref="B1562" ca="1">INDIRECT(A1562)</f>
        <v/>
      </c>
      <c r="C1562">
        <f t="shared" ca="1" si="96"/>
        <v>7</v>
      </c>
      <c r="D1562" t="str" cm="1">
        <f t="array" aca="1" ref="D1562" ca="1">CELL("nomfichier",INDIRECT(A1562))</f>
        <v>G:\SCPE\sdc\bq\6 - Mentions valorisantes\Certification environnementale\TEXTES_REGLEMENTATION_CE\Plans_contrôle et grilles\Grille audit niveau 3\Grille d'audit v1.11\[grille-audit-hvev4-v1.11-vf.xlsx]Phyto</v>
      </c>
      <c r="E1562">
        <f t="shared" ca="1" si="97"/>
        <v>200</v>
      </c>
      <c r="F1562">
        <f t="shared" ca="1" si="98"/>
        <v>205</v>
      </c>
      <c r="G1562" t="str">
        <f t="shared" ca="1" si="99"/>
        <v>Phyto</v>
      </c>
      <c r="H1562" cm="1">
        <f t="array" aca="1" ref="H1562" ca="1">ROW(INDIRECT(A1562))</f>
        <v>117</v>
      </c>
      <c r="I1562" cm="1">
        <f t="array" aca="1" ref="I1562" ca="1">COLUMN(INDIRECT(A1562))</f>
        <v>11</v>
      </c>
      <c r="M1562" t="str" cm="1">
        <f t="array" aca="1" ref="M1562" ca="1">IF(AND(J1562="O",ISBLANK(INDIRECT(A1562))),"Valeur obligatoire non renseignée","")</f>
        <v/>
      </c>
    </row>
    <row r="1563" spans="1:13" x14ac:dyDescent="0.25">
      <c r="A1563" t="s">
        <v>4542</v>
      </c>
      <c r="B1563" cm="1">
        <f t="array" aca="1" ref="B1563" ca="1">INDIRECT(A1563)</f>
        <v>0</v>
      </c>
      <c r="C1563">
        <f t="shared" ca="1" si="96"/>
        <v>7</v>
      </c>
      <c r="D1563" t="str" cm="1">
        <f t="array" aca="1" ref="D1563" ca="1">CELL("nomfichier",INDIRECT(A1563))</f>
        <v>G:\SCPE\sdc\bq\6 - Mentions valorisantes\Certification environnementale\TEXTES_REGLEMENTATION_CE\Plans_contrôle et grilles\Grille audit niveau 3\Grille d'audit v1.11\[grille-audit-hvev4-v1.11-vf.xlsx]Phyto</v>
      </c>
      <c r="E1563">
        <f t="shared" ca="1" si="97"/>
        <v>200</v>
      </c>
      <c r="F1563">
        <f t="shared" ca="1" si="98"/>
        <v>205</v>
      </c>
      <c r="G1563" t="str">
        <f t="shared" ca="1" si="99"/>
        <v>Phyto</v>
      </c>
      <c r="H1563" cm="1">
        <f t="array" aca="1" ref="H1563" ca="1">ROW(INDIRECT(A1563))</f>
        <v>117</v>
      </c>
      <c r="I1563" cm="1">
        <f t="array" aca="1" ref="I1563" ca="1">COLUMN(INDIRECT(A1563))</f>
        <v>13</v>
      </c>
      <c r="M1563" t="str" cm="1">
        <f t="array" aca="1" ref="M1563" ca="1">IF(AND(J1563="O",ISBLANK(INDIRECT(A1563))),"Valeur obligatoire non renseignée","")</f>
        <v/>
      </c>
    </row>
    <row r="1564" spans="1:13" x14ac:dyDescent="0.25">
      <c r="A1564" t="s">
        <v>4545</v>
      </c>
      <c r="B1564" cm="1">
        <f t="array" aca="1" ref="B1564" ca="1">INDIRECT(A1564)</f>
        <v>10</v>
      </c>
      <c r="C1564">
        <f t="shared" ca="1" si="96"/>
        <v>7</v>
      </c>
      <c r="D1564" t="str" cm="1">
        <f t="array" aca="1" ref="D1564" ca="1">CELL("nomfichier",INDIRECT(A1564))</f>
        <v>G:\SCPE\sdc\bq\6 - Mentions valorisantes\Certification environnementale\TEXTES_REGLEMENTATION_CE\Plans_contrôle et grilles\Grille audit niveau 3\Grille d'audit v1.11\[grille-audit-hvev4-v1.11-vf.xlsx]Phyto</v>
      </c>
      <c r="E1564">
        <f t="shared" ca="1" si="97"/>
        <v>200</v>
      </c>
      <c r="F1564">
        <f t="shared" ca="1" si="98"/>
        <v>205</v>
      </c>
      <c r="G1564" t="str">
        <f t="shared" ca="1" si="99"/>
        <v>Phyto</v>
      </c>
      <c r="H1564" cm="1">
        <f t="array" aca="1" ref="H1564" ca="1">ROW(INDIRECT(A1564))</f>
        <v>117</v>
      </c>
      <c r="I1564" cm="1">
        <f t="array" aca="1" ref="I1564" ca="1">COLUMN(INDIRECT(A1564))</f>
        <v>15</v>
      </c>
      <c r="M1564" t="str" cm="1">
        <f t="array" aca="1" ref="M1564" ca="1">IF(AND(J1564="O",ISBLANK(INDIRECT(A1564))),"Valeur obligatoire non renseignée","")</f>
        <v/>
      </c>
    </row>
    <row r="1565" spans="1:13" x14ac:dyDescent="0.25">
      <c r="A1565" t="s">
        <v>4540</v>
      </c>
      <c r="B1565" t="str" cm="1">
        <f t="array" aca="1" ref="B1565" ca="1">INDIRECT(A1565)</f>
        <v/>
      </c>
      <c r="C1565">
        <f t="shared" ca="1" si="96"/>
        <v>7</v>
      </c>
      <c r="D1565" t="str" cm="1">
        <f t="array" aca="1" ref="D1565" ca="1">CELL("nomfichier",INDIRECT(A1565))</f>
        <v>G:\SCPE\sdc\bq\6 - Mentions valorisantes\Certification environnementale\TEXTES_REGLEMENTATION_CE\Plans_contrôle et grilles\Grille audit niveau 3\Grille d'audit v1.11\[grille-audit-hvev4-v1.11-vf.xlsx]Phyto</v>
      </c>
      <c r="E1565">
        <f t="shared" ca="1" si="97"/>
        <v>200</v>
      </c>
      <c r="F1565">
        <f t="shared" ca="1" si="98"/>
        <v>205</v>
      </c>
      <c r="G1565" t="str">
        <f t="shared" ca="1" si="99"/>
        <v>Phyto</v>
      </c>
      <c r="H1565" cm="1">
        <f t="array" aca="1" ref="H1565" ca="1">ROW(INDIRECT(A1565))</f>
        <v>118</v>
      </c>
      <c r="I1565" cm="1">
        <f t="array" aca="1" ref="I1565" ca="1">COLUMN(INDIRECT(A1565))</f>
        <v>11</v>
      </c>
      <c r="M1565" t="str" cm="1">
        <f t="array" aca="1" ref="M1565" ca="1">IF(AND(J1565="O",ISBLANK(INDIRECT(A1565))),"Valeur obligatoire non renseignée","")</f>
        <v/>
      </c>
    </row>
    <row r="1566" spans="1:13" x14ac:dyDescent="0.25">
      <c r="A1566" t="s">
        <v>4543</v>
      </c>
      <c r="B1566" cm="1">
        <f t="array" aca="1" ref="B1566" ca="1">INDIRECT(A1566)</f>
        <v>0</v>
      </c>
      <c r="C1566">
        <f t="shared" ca="1" si="96"/>
        <v>7</v>
      </c>
      <c r="D1566" t="str" cm="1">
        <f t="array" aca="1" ref="D1566" ca="1">CELL("nomfichier",INDIRECT(A1566))</f>
        <v>G:\SCPE\sdc\bq\6 - Mentions valorisantes\Certification environnementale\TEXTES_REGLEMENTATION_CE\Plans_contrôle et grilles\Grille audit niveau 3\Grille d'audit v1.11\[grille-audit-hvev4-v1.11-vf.xlsx]Phyto</v>
      </c>
      <c r="E1566">
        <f t="shared" ca="1" si="97"/>
        <v>200</v>
      </c>
      <c r="F1566">
        <f t="shared" ca="1" si="98"/>
        <v>205</v>
      </c>
      <c r="G1566" t="str">
        <f t="shared" ca="1" si="99"/>
        <v>Phyto</v>
      </c>
      <c r="H1566" cm="1">
        <f t="array" aca="1" ref="H1566" ca="1">ROW(INDIRECT(A1566))</f>
        <v>118</v>
      </c>
      <c r="I1566" cm="1">
        <f t="array" aca="1" ref="I1566" ca="1">COLUMN(INDIRECT(A1566))</f>
        <v>13</v>
      </c>
      <c r="M1566" t="str" cm="1">
        <f t="array" aca="1" ref="M1566" ca="1">IF(AND(J1566="O",ISBLANK(INDIRECT(A1566))),"Valeur obligatoire non renseignée","")</f>
        <v/>
      </c>
    </row>
    <row r="1567" spans="1:13" x14ac:dyDescent="0.25">
      <c r="A1567" t="s">
        <v>4546</v>
      </c>
      <c r="B1567" cm="1">
        <f t="array" aca="1" ref="B1567" ca="1">INDIRECT(A1567)</f>
        <v>6</v>
      </c>
      <c r="C1567">
        <f t="shared" ca="1" si="96"/>
        <v>7</v>
      </c>
      <c r="D1567" t="str" cm="1">
        <f t="array" aca="1" ref="D1567" ca="1">CELL("nomfichier",INDIRECT(A1567))</f>
        <v>G:\SCPE\sdc\bq\6 - Mentions valorisantes\Certification environnementale\TEXTES_REGLEMENTATION_CE\Plans_contrôle et grilles\Grille audit niveau 3\Grille d'audit v1.11\[grille-audit-hvev4-v1.11-vf.xlsx]Phyto</v>
      </c>
      <c r="E1567">
        <f t="shared" ca="1" si="97"/>
        <v>200</v>
      </c>
      <c r="F1567">
        <f t="shared" ca="1" si="98"/>
        <v>205</v>
      </c>
      <c r="G1567" t="str">
        <f t="shared" ca="1" si="99"/>
        <v>Phyto</v>
      </c>
      <c r="H1567" cm="1">
        <f t="array" aca="1" ref="H1567" ca="1">ROW(INDIRECT(A1567))</f>
        <v>118</v>
      </c>
      <c r="I1567" cm="1">
        <f t="array" aca="1" ref="I1567" ca="1">COLUMN(INDIRECT(A1567))</f>
        <v>15</v>
      </c>
      <c r="M1567" t="str" cm="1">
        <f t="array" aca="1" ref="M1567" ca="1">IF(AND(J1567="O",ISBLANK(INDIRECT(A1567))),"Valeur obligatoire non renseignée","")</f>
        <v/>
      </c>
    </row>
    <row r="1568" spans="1:13" x14ac:dyDescent="0.25">
      <c r="A1568" t="s">
        <v>4548</v>
      </c>
      <c r="B1568" cm="1">
        <f t="array" aca="1" ref="B1568" ca="1">INDIRECT(A1568)</f>
        <v>0</v>
      </c>
      <c r="C1568">
        <f t="shared" ca="1" si="96"/>
        <v>7</v>
      </c>
      <c r="D1568" t="str" cm="1">
        <f t="array" aca="1" ref="D1568" ca="1">CELL("nomfichier",INDIRECT(A1568))</f>
        <v>G:\SCPE\sdc\bq\6 - Mentions valorisantes\Certification environnementale\TEXTES_REGLEMENTATION_CE\Plans_contrôle et grilles\Grille audit niveau 3\Grille d'audit v1.11\[grille-audit-hvev4-v1.11-vf.xlsx]Phyto</v>
      </c>
      <c r="E1568">
        <f t="shared" ca="1" si="97"/>
        <v>200</v>
      </c>
      <c r="F1568">
        <f t="shared" ca="1" si="98"/>
        <v>205</v>
      </c>
      <c r="G1568" t="str">
        <f t="shared" ca="1" si="99"/>
        <v>Phyto</v>
      </c>
      <c r="H1568" cm="1">
        <f t="array" aca="1" ref="H1568" ca="1">ROW(INDIRECT(A1568))</f>
        <v>120</v>
      </c>
      <c r="I1568" cm="1">
        <f t="array" aca="1" ref="I1568" ca="1">COLUMN(INDIRECT(A1568))</f>
        <v>11</v>
      </c>
      <c r="M1568" t="str" cm="1">
        <f t="array" aca="1" ref="M1568" ca="1">IF(AND(J1568="O",ISBLANK(INDIRECT(A1568))),"Valeur obligatoire non renseignée","")</f>
        <v/>
      </c>
    </row>
    <row r="1569" spans="1:13" x14ac:dyDescent="0.25">
      <c r="A1569" t="s">
        <v>4550</v>
      </c>
      <c r="B1569" cm="1">
        <f t="array" aca="1" ref="B1569" ca="1">INDIRECT(A1569)</f>
        <v>0</v>
      </c>
      <c r="C1569">
        <f t="shared" ca="1" si="96"/>
        <v>7</v>
      </c>
      <c r="D1569" t="str" cm="1">
        <f t="array" aca="1" ref="D1569" ca="1">CELL("nomfichier",INDIRECT(A1569))</f>
        <v>G:\SCPE\sdc\bq\6 - Mentions valorisantes\Certification environnementale\TEXTES_REGLEMENTATION_CE\Plans_contrôle et grilles\Grille audit niveau 3\Grille d'audit v1.11\[grille-audit-hvev4-v1.11-vf.xlsx]Phyto</v>
      </c>
      <c r="E1569">
        <f t="shared" ca="1" si="97"/>
        <v>200</v>
      </c>
      <c r="F1569">
        <f t="shared" ca="1" si="98"/>
        <v>205</v>
      </c>
      <c r="G1569" t="str">
        <f t="shared" ca="1" si="99"/>
        <v>Phyto</v>
      </c>
      <c r="H1569" cm="1">
        <f t="array" aca="1" ref="H1569" ca="1">ROW(INDIRECT(A1569))</f>
        <v>121</v>
      </c>
      <c r="I1569" cm="1">
        <f t="array" aca="1" ref="I1569" ca="1">COLUMN(INDIRECT(A1569))</f>
        <v>13</v>
      </c>
      <c r="M1569" t="str" cm="1">
        <f t="array" aca="1" ref="M1569" ca="1">IF(AND(J1569="O",ISBLANK(INDIRECT(A1569))),"Valeur obligatoire non renseignée","")</f>
        <v/>
      </c>
    </row>
    <row r="1570" spans="1:13" x14ac:dyDescent="0.25">
      <c r="A1570" t="s">
        <v>4551</v>
      </c>
      <c r="B1570" cm="1">
        <f t="array" aca="1" ref="B1570" ca="1">INDIRECT(A1570)</f>
        <v>10</v>
      </c>
      <c r="C1570">
        <f t="shared" ca="1" si="96"/>
        <v>7</v>
      </c>
      <c r="D1570" t="str" cm="1">
        <f t="array" aca="1" ref="D1570" ca="1">CELL("nomfichier",INDIRECT(A1570))</f>
        <v>G:\SCPE\sdc\bq\6 - Mentions valorisantes\Certification environnementale\TEXTES_REGLEMENTATION_CE\Plans_contrôle et grilles\Grille audit niveau 3\Grille d'audit v1.11\[grille-audit-hvev4-v1.11-vf.xlsx]Phyto</v>
      </c>
      <c r="E1570">
        <f t="shared" ca="1" si="97"/>
        <v>200</v>
      </c>
      <c r="F1570">
        <f t="shared" ca="1" si="98"/>
        <v>205</v>
      </c>
      <c r="G1570" t="str">
        <f t="shared" ca="1" si="99"/>
        <v>Phyto</v>
      </c>
      <c r="H1570" cm="1">
        <f t="array" aca="1" ref="H1570" ca="1">ROW(INDIRECT(A1570))</f>
        <v>121</v>
      </c>
      <c r="I1570" cm="1">
        <f t="array" aca="1" ref="I1570" ca="1">COLUMN(INDIRECT(A1570))</f>
        <v>15</v>
      </c>
      <c r="M1570" t="str" cm="1">
        <f t="array" aca="1" ref="M1570" ca="1">IF(AND(J1570="O",ISBLANK(INDIRECT(A1570))),"Valeur obligatoire non renseignée","")</f>
        <v/>
      </c>
    </row>
    <row r="1571" spans="1:13" x14ac:dyDescent="0.25">
      <c r="A1571" t="s">
        <v>4406</v>
      </c>
      <c r="B1571" cm="1">
        <f t="array" aca="1" ref="B1571" ca="1">INDIRECT(A1571)</f>
        <v>0</v>
      </c>
      <c r="C1571">
        <f t="shared" ca="1" si="96"/>
        <v>7</v>
      </c>
      <c r="D1571" t="str" cm="1">
        <f t="array" aca="1" ref="D1571" ca="1">CELL("nomfichier",INDIRECT(A1571))</f>
        <v>G:\SCPE\sdc\bq\6 - Mentions valorisantes\Certification environnementale\TEXTES_REGLEMENTATION_CE\Plans_contrôle et grilles\Grille audit niveau 3\Grille d'audit v1.11\[grille-audit-hvev4-v1.11-vf.xlsx]Phyto</v>
      </c>
      <c r="E1571">
        <f t="shared" ca="1" si="97"/>
        <v>200</v>
      </c>
      <c r="F1571">
        <f t="shared" ca="1" si="98"/>
        <v>205</v>
      </c>
      <c r="G1571" t="str">
        <f t="shared" ca="1" si="99"/>
        <v>Phyto</v>
      </c>
      <c r="H1571" cm="1">
        <f t="array" aca="1" ref="H1571" ca="1">ROW(INDIRECT(A1571))</f>
        <v>144</v>
      </c>
      <c r="I1571" cm="1">
        <f t="array" aca="1" ref="I1571" ca="1">COLUMN(INDIRECT(A1571))</f>
        <v>17</v>
      </c>
      <c r="M1571" t="str" cm="1">
        <f t="array" aca="1" ref="M1571" ca="1">IF(AND(J1571="O",ISBLANK(INDIRECT(A1571))),"Valeur obligatoire non renseignée","")</f>
        <v/>
      </c>
    </row>
    <row r="1572" spans="1:13" x14ac:dyDescent="0.25">
      <c r="A1572" t="s">
        <v>4387</v>
      </c>
      <c r="B1572" cm="1">
        <f t="array" aca="1" ref="B1572" ca="1">INDIRECT(A1572)</f>
        <v>0</v>
      </c>
      <c r="C1572">
        <f t="shared" ca="1" si="96"/>
        <v>7</v>
      </c>
      <c r="D1572" t="str" cm="1">
        <f t="array" aca="1" ref="D1572" ca="1">CELL("nomfichier",INDIRECT(A1572))</f>
        <v>G:\SCPE\sdc\bq\6 - Mentions valorisantes\Certification environnementale\TEXTES_REGLEMENTATION_CE\Plans_contrôle et grilles\Grille audit niveau 3\Grille d'audit v1.11\[grille-audit-hvev4-v1.11-vf.xlsx]Phyto</v>
      </c>
      <c r="E1572">
        <f t="shared" ca="1" si="97"/>
        <v>200</v>
      </c>
      <c r="F1572">
        <f t="shared" ca="1" si="98"/>
        <v>205</v>
      </c>
      <c r="G1572" t="str">
        <f t="shared" ca="1" si="99"/>
        <v>Phyto</v>
      </c>
      <c r="H1572" cm="1">
        <f t="array" aca="1" ref="H1572" ca="1">ROW(INDIRECT(A1572))</f>
        <v>144</v>
      </c>
      <c r="I1572" cm="1">
        <f t="array" aca="1" ref="I1572" ca="1">COLUMN(INDIRECT(A1572))</f>
        <v>19</v>
      </c>
      <c r="M1572" t="str" cm="1">
        <f t="array" aca="1" ref="M1572" ca="1">IF(AND(J1572="O",ISBLANK(INDIRECT(A1572))),"Valeur obligatoire non renseignée","")</f>
        <v/>
      </c>
    </row>
    <row r="1573" spans="1:13" x14ac:dyDescent="0.25">
      <c r="A1573" t="s">
        <v>4390</v>
      </c>
      <c r="B1573" cm="1">
        <f t="array" aca="1" ref="B1573" ca="1">INDIRECT(A1573)</f>
        <v>0</v>
      </c>
      <c r="C1573">
        <f t="shared" ca="1" si="96"/>
        <v>7</v>
      </c>
      <c r="D1573" t="str" cm="1">
        <f t="array" aca="1" ref="D1573" ca="1">CELL("nomfichier",INDIRECT(A1573))</f>
        <v>G:\SCPE\sdc\bq\6 - Mentions valorisantes\Certification environnementale\TEXTES_REGLEMENTATION_CE\Plans_contrôle et grilles\Grille audit niveau 3\Grille d'audit v1.11\[grille-audit-hvev4-v1.11-vf.xlsx]Phyto</v>
      </c>
      <c r="E1573">
        <f t="shared" ca="1" si="97"/>
        <v>200</v>
      </c>
      <c r="F1573">
        <f t="shared" ca="1" si="98"/>
        <v>205</v>
      </c>
      <c r="G1573" t="str">
        <f t="shared" ca="1" si="99"/>
        <v>Phyto</v>
      </c>
      <c r="H1573" cm="1">
        <f t="array" aca="1" ref="H1573" ca="1">ROW(INDIRECT(A1573))</f>
        <v>144</v>
      </c>
      <c r="I1573" cm="1">
        <f t="array" aca="1" ref="I1573" ca="1">COLUMN(INDIRECT(A1573))</f>
        <v>21</v>
      </c>
      <c r="M1573" t="str" cm="1">
        <f t="array" aca="1" ref="M1573" ca="1">IF(AND(J1573="O",ISBLANK(INDIRECT(A1573))),"Valeur obligatoire non renseignée","")</f>
        <v/>
      </c>
    </row>
    <row r="1574" spans="1:13" x14ac:dyDescent="0.25">
      <c r="A1574" t="s">
        <v>4407</v>
      </c>
      <c r="B1574" cm="1">
        <f t="array" aca="1" ref="B1574" ca="1">INDIRECT(A1574)</f>
        <v>0</v>
      </c>
      <c r="C1574">
        <f t="shared" ca="1" si="96"/>
        <v>7</v>
      </c>
      <c r="D1574" t="str" cm="1">
        <f t="array" aca="1" ref="D1574" ca="1">CELL("nomfichier",INDIRECT(A1574))</f>
        <v>G:\SCPE\sdc\bq\6 - Mentions valorisantes\Certification environnementale\TEXTES_REGLEMENTATION_CE\Plans_contrôle et grilles\Grille audit niveau 3\Grille d'audit v1.11\[grille-audit-hvev4-v1.11-vf.xlsx]Phyto</v>
      </c>
      <c r="E1574">
        <f t="shared" ca="1" si="97"/>
        <v>200</v>
      </c>
      <c r="F1574">
        <f t="shared" ca="1" si="98"/>
        <v>205</v>
      </c>
      <c r="G1574" t="str">
        <f t="shared" ca="1" si="99"/>
        <v>Phyto</v>
      </c>
      <c r="H1574" cm="1">
        <f t="array" aca="1" ref="H1574" ca="1">ROW(INDIRECT(A1574))</f>
        <v>145</v>
      </c>
      <c r="I1574" cm="1">
        <f t="array" aca="1" ref="I1574" ca="1">COLUMN(INDIRECT(A1574))</f>
        <v>17</v>
      </c>
      <c r="M1574" t="str" cm="1">
        <f t="array" aca="1" ref="M1574" ca="1">IF(AND(J1574="O",ISBLANK(INDIRECT(A1574))),"Valeur obligatoire non renseignée","")</f>
        <v/>
      </c>
    </row>
    <row r="1575" spans="1:13" x14ac:dyDescent="0.25">
      <c r="A1575" t="s">
        <v>4388</v>
      </c>
      <c r="B1575" cm="1">
        <f t="array" aca="1" ref="B1575" ca="1">INDIRECT(A1575)</f>
        <v>0</v>
      </c>
      <c r="C1575">
        <f t="shared" ca="1" si="96"/>
        <v>7</v>
      </c>
      <c r="D1575" t="str" cm="1">
        <f t="array" aca="1" ref="D1575" ca="1">CELL("nomfichier",INDIRECT(A1575))</f>
        <v>G:\SCPE\sdc\bq\6 - Mentions valorisantes\Certification environnementale\TEXTES_REGLEMENTATION_CE\Plans_contrôle et grilles\Grille audit niveau 3\Grille d'audit v1.11\[grille-audit-hvev4-v1.11-vf.xlsx]Phyto</v>
      </c>
      <c r="E1575">
        <f t="shared" ca="1" si="97"/>
        <v>200</v>
      </c>
      <c r="F1575">
        <f t="shared" ca="1" si="98"/>
        <v>205</v>
      </c>
      <c r="G1575" t="str">
        <f t="shared" ca="1" si="99"/>
        <v>Phyto</v>
      </c>
      <c r="H1575" cm="1">
        <f t="array" aca="1" ref="H1575" ca="1">ROW(INDIRECT(A1575))</f>
        <v>145</v>
      </c>
      <c r="I1575" cm="1">
        <f t="array" aca="1" ref="I1575" ca="1">COLUMN(INDIRECT(A1575))</f>
        <v>19</v>
      </c>
      <c r="M1575" t="str" cm="1">
        <f t="array" aca="1" ref="M1575" ca="1">IF(AND(J1575="O",ISBLANK(INDIRECT(A1575))),"Valeur obligatoire non renseignée","")</f>
        <v/>
      </c>
    </row>
    <row r="1576" spans="1:13" x14ac:dyDescent="0.25">
      <c r="A1576" t="s">
        <v>4391</v>
      </c>
      <c r="B1576" cm="1">
        <f t="array" aca="1" ref="B1576" ca="1">INDIRECT(A1576)</f>
        <v>0</v>
      </c>
      <c r="C1576">
        <f t="shared" ca="1" si="96"/>
        <v>7</v>
      </c>
      <c r="D1576" t="str" cm="1">
        <f t="array" aca="1" ref="D1576" ca="1">CELL("nomfichier",INDIRECT(A1576))</f>
        <v>G:\SCPE\sdc\bq\6 - Mentions valorisantes\Certification environnementale\TEXTES_REGLEMENTATION_CE\Plans_contrôle et grilles\Grille audit niveau 3\Grille d'audit v1.11\[grille-audit-hvev4-v1.11-vf.xlsx]Phyto</v>
      </c>
      <c r="E1576">
        <f t="shared" ca="1" si="97"/>
        <v>200</v>
      </c>
      <c r="F1576">
        <f t="shared" ca="1" si="98"/>
        <v>205</v>
      </c>
      <c r="G1576" t="str">
        <f t="shared" ca="1" si="99"/>
        <v>Phyto</v>
      </c>
      <c r="H1576" cm="1">
        <f t="array" aca="1" ref="H1576" ca="1">ROW(INDIRECT(A1576))</f>
        <v>145</v>
      </c>
      <c r="I1576" cm="1">
        <f t="array" aca="1" ref="I1576" ca="1">COLUMN(INDIRECT(A1576))</f>
        <v>21</v>
      </c>
      <c r="M1576" t="str" cm="1">
        <f t="array" aca="1" ref="M1576" ca="1">IF(AND(J1576="O",ISBLANK(INDIRECT(A1576))),"Valeur obligatoire non renseignée","")</f>
        <v/>
      </c>
    </row>
    <row r="1577" spans="1:13" x14ac:dyDescent="0.25">
      <c r="A1577" t="s">
        <v>4521</v>
      </c>
      <c r="B1577" cm="1">
        <f t="array" aca="1" ref="B1577" ca="1">INDIRECT(A1577)</f>
        <v>0</v>
      </c>
      <c r="C1577">
        <f t="shared" ca="1" si="96"/>
        <v>7</v>
      </c>
      <c r="D1577" t="str" cm="1">
        <f t="array" aca="1" ref="D1577" ca="1">CELL("nomfichier",INDIRECT(A1577))</f>
        <v>G:\SCPE\sdc\bq\6 - Mentions valorisantes\Certification environnementale\TEXTES_REGLEMENTATION_CE\Plans_contrôle et grilles\Grille audit niveau 3\Grille d'audit v1.11\[grille-audit-hvev4-v1.11-vf.xlsx]Phyto</v>
      </c>
      <c r="E1577">
        <f t="shared" ca="1" si="97"/>
        <v>200</v>
      </c>
      <c r="F1577">
        <f t="shared" ca="1" si="98"/>
        <v>205</v>
      </c>
      <c r="G1577" t="str">
        <f t="shared" ca="1" si="99"/>
        <v>Phyto</v>
      </c>
      <c r="H1577" cm="1">
        <f t="array" aca="1" ref="H1577" ca="1">ROW(INDIRECT(A1577))</f>
        <v>146</v>
      </c>
      <c r="I1577" cm="1">
        <f t="array" aca="1" ref="I1577" ca="1">COLUMN(INDIRECT(A1577))</f>
        <v>17</v>
      </c>
      <c r="M1577" t="str" cm="1">
        <f t="array" aca="1" ref="M1577" ca="1">IF(AND(J1577="O",ISBLANK(INDIRECT(A1577))),"Valeur obligatoire non renseignée","")</f>
        <v/>
      </c>
    </row>
    <row r="1578" spans="1:13" x14ac:dyDescent="0.25">
      <c r="A1578" t="s">
        <v>4389</v>
      </c>
      <c r="B1578" cm="1">
        <f t="array" aca="1" ref="B1578" ca="1">INDIRECT(A1578)</f>
        <v>0</v>
      </c>
      <c r="C1578">
        <f t="shared" ca="1" si="96"/>
        <v>7</v>
      </c>
      <c r="D1578" t="str" cm="1">
        <f t="array" aca="1" ref="D1578" ca="1">CELL("nomfichier",INDIRECT(A1578))</f>
        <v>G:\SCPE\sdc\bq\6 - Mentions valorisantes\Certification environnementale\TEXTES_REGLEMENTATION_CE\Plans_contrôle et grilles\Grille audit niveau 3\Grille d'audit v1.11\[grille-audit-hvev4-v1.11-vf.xlsx]Phyto</v>
      </c>
      <c r="E1578">
        <f t="shared" ca="1" si="97"/>
        <v>200</v>
      </c>
      <c r="F1578">
        <f t="shared" ca="1" si="98"/>
        <v>205</v>
      </c>
      <c r="G1578" t="str">
        <f t="shared" ca="1" si="99"/>
        <v>Phyto</v>
      </c>
      <c r="H1578" cm="1">
        <f t="array" aca="1" ref="H1578" ca="1">ROW(INDIRECT(A1578))</f>
        <v>146</v>
      </c>
      <c r="I1578" cm="1">
        <f t="array" aca="1" ref="I1578" ca="1">COLUMN(INDIRECT(A1578))</f>
        <v>19</v>
      </c>
      <c r="M1578" t="str" cm="1">
        <f t="array" aca="1" ref="M1578" ca="1">IF(AND(J1578="O",ISBLANK(INDIRECT(A1578))),"Valeur obligatoire non renseignée","")</f>
        <v/>
      </c>
    </row>
    <row r="1579" spans="1:13" x14ac:dyDescent="0.25">
      <c r="A1579" t="s">
        <v>4392</v>
      </c>
      <c r="B1579" cm="1">
        <f t="array" aca="1" ref="B1579" ca="1">INDIRECT(A1579)</f>
        <v>0</v>
      </c>
      <c r="C1579">
        <f t="shared" ca="1" si="96"/>
        <v>7</v>
      </c>
      <c r="D1579" t="str" cm="1">
        <f t="array" aca="1" ref="D1579" ca="1">CELL("nomfichier",INDIRECT(A1579))</f>
        <v>G:\SCPE\sdc\bq\6 - Mentions valorisantes\Certification environnementale\TEXTES_REGLEMENTATION_CE\Plans_contrôle et grilles\Grille audit niveau 3\Grille d'audit v1.11\[grille-audit-hvev4-v1.11-vf.xlsx]Phyto</v>
      </c>
      <c r="E1579">
        <f t="shared" ca="1" si="97"/>
        <v>200</v>
      </c>
      <c r="F1579">
        <f t="shared" ca="1" si="98"/>
        <v>205</v>
      </c>
      <c r="G1579" t="str">
        <f t="shared" ca="1" si="99"/>
        <v>Phyto</v>
      </c>
      <c r="H1579" cm="1">
        <f t="array" aca="1" ref="H1579" ca="1">ROW(INDIRECT(A1579))</f>
        <v>146</v>
      </c>
      <c r="I1579" cm="1">
        <f t="array" aca="1" ref="I1579" ca="1">COLUMN(INDIRECT(A1579))</f>
        <v>21</v>
      </c>
      <c r="M1579" t="str" cm="1">
        <f t="array" aca="1" ref="M1579" ca="1">IF(AND(J1579="O",ISBLANK(INDIRECT(A1579))),"Valeur obligatoire non renseignée","")</f>
        <v/>
      </c>
    </row>
    <row r="1580" spans="1:13" x14ac:dyDescent="0.25">
      <c r="A1580" t="s">
        <v>4355</v>
      </c>
      <c r="B1580" t="str" cm="1">
        <f t="array" aca="1" ref="B1580" ca="1">INDIRECT(A1580)</f>
        <v/>
      </c>
      <c r="C1580">
        <f t="shared" ca="1" si="96"/>
        <v>7</v>
      </c>
      <c r="D1580" t="str" cm="1">
        <f t="array" aca="1" ref="D1580" ca="1">CELL("nomfichier",INDIRECT(A1580))</f>
        <v>G:\SCPE\sdc\bq\6 - Mentions valorisantes\Certification environnementale\TEXTES_REGLEMENTATION_CE\Plans_contrôle et grilles\Grille audit niveau 3\Grille d'audit v1.11\[grille-audit-hvev4-v1.11-vf.xlsx]Phyto</v>
      </c>
      <c r="E1580">
        <f t="shared" ca="1" si="97"/>
        <v>200</v>
      </c>
      <c r="F1580">
        <f t="shared" ca="1" si="98"/>
        <v>205</v>
      </c>
      <c r="G1580" t="str">
        <f t="shared" ca="1" si="99"/>
        <v>Phyto</v>
      </c>
      <c r="H1580" cm="1">
        <f t="array" aca="1" ref="H1580" ca="1">ROW(INDIRECT(A1580))</f>
        <v>150</v>
      </c>
      <c r="I1580" cm="1">
        <f t="array" aca="1" ref="I1580" ca="1">COLUMN(INDIRECT(A1580))</f>
        <v>17</v>
      </c>
      <c r="M1580" t="str" cm="1">
        <f t="array" aca="1" ref="M1580" ca="1">IF(AND(J1580="O",ISBLANK(INDIRECT(A1580))),"Valeur obligatoire non renseignée","")</f>
        <v/>
      </c>
    </row>
    <row r="1581" spans="1:13" x14ac:dyDescent="0.25">
      <c r="A1581" t="s">
        <v>4408</v>
      </c>
      <c r="B1581" cm="1">
        <f t="array" aca="1" ref="B1581" ca="1">INDIRECT(A1581)</f>
        <v>0</v>
      </c>
      <c r="C1581">
        <f t="shared" ca="1" si="96"/>
        <v>7</v>
      </c>
      <c r="D1581" t="str" cm="1">
        <f t="array" aca="1" ref="D1581" ca="1">CELL("nomfichier",INDIRECT(A1581))</f>
        <v>G:\SCPE\sdc\bq\6 - Mentions valorisantes\Certification environnementale\TEXTES_REGLEMENTATION_CE\Plans_contrôle et grilles\Grille audit niveau 3\Grille d'audit v1.11\[grille-audit-hvev4-v1.11-vf.xlsx]Phyto</v>
      </c>
      <c r="E1581">
        <f t="shared" ca="1" si="97"/>
        <v>200</v>
      </c>
      <c r="F1581">
        <f t="shared" ca="1" si="98"/>
        <v>205</v>
      </c>
      <c r="G1581" t="str">
        <f t="shared" ca="1" si="99"/>
        <v>Phyto</v>
      </c>
      <c r="H1581" cm="1">
        <f t="array" aca="1" ref="H1581" ca="1">ROW(INDIRECT(A1581))</f>
        <v>151</v>
      </c>
      <c r="I1581" cm="1">
        <f t="array" aca="1" ref="I1581" ca="1">COLUMN(INDIRECT(A1581))</f>
        <v>17</v>
      </c>
      <c r="M1581" t="str" cm="1">
        <f t="array" aca="1" ref="M1581" ca="1">IF(AND(J1581="O",ISBLANK(INDIRECT(A1581))),"Valeur obligatoire non renseignée","")</f>
        <v/>
      </c>
    </row>
    <row r="1582" spans="1:13" x14ac:dyDescent="0.25">
      <c r="A1582" t="s">
        <v>4461</v>
      </c>
      <c r="B1582" cm="1">
        <f t="array" aca="1" ref="B1582" ca="1">INDIRECT(A1582)</f>
        <v>0</v>
      </c>
      <c r="C1582">
        <f t="shared" ca="1" si="96"/>
        <v>7</v>
      </c>
      <c r="D1582" t="str" cm="1">
        <f t="array" aca="1" ref="D1582" ca="1">CELL("nomfichier",INDIRECT(A1582))</f>
        <v>G:\SCPE\sdc\bq\6 - Mentions valorisantes\Certification environnementale\TEXTES_REGLEMENTATION_CE\Plans_contrôle et grilles\Grille audit niveau 3\Grille d'audit v1.11\[grille-audit-hvev4-v1.11-vf.xlsx]Phyto</v>
      </c>
      <c r="E1582">
        <f t="shared" ca="1" si="97"/>
        <v>200</v>
      </c>
      <c r="F1582">
        <f t="shared" ca="1" si="98"/>
        <v>205</v>
      </c>
      <c r="G1582" t="str">
        <f t="shared" ca="1" si="99"/>
        <v>Phyto</v>
      </c>
      <c r="H1582" cm="1">
        <f t="array" aca="1" ref="H1582" ca="1">ROW(INDIRECT(A1582))</f>
        <v>152</v>
      </c>
      <c r="I1582" cm="1">
        <f t="array" aca="1" ref="I1582" ca="1">COLUMN(INDIRECT(A1582))</f>
        <v>17</v>
      </c>
      <c r="M1582" t="str" cm="1">
        <f t="array" aca="1" ref="M1582" ca="1">IF(AND(J1582="O",ISBLANK(INDIRECT(A1582))),"Valeur obligatoire non renseignée","")</f>
        <v/>
      </c>
    </row>
    <row r="1583" spans="1:13" x14ac:dyDescent="0.25">
      <c r="A1583" t="s">
        <v>4462</v>
      </c>
      <c r="B1583" cm="1">
        <f t="array" aca="1" ref="B1583" ca="1">INDIRECT(A1583)</f>
        <v>0</v>
      </c>
      <c r="C1583">
        <f t="shared" ca="1" si="96"/>
        <v>7</v>
      </c>
      <c r="D1583" t="str" cm="1">
        <f t="array" aca="1" ref="D1583" ca="1">CELL("nomfichier",INDIRECT(A1583))</f>
        <v>G:\SCPE\sdc\bq\6 - Mentions valorisantes\Certification environnementale\TEXTES_REGLEMENTATION_CE\Plans_contrôle et grilles\Grille audit niveau 3\Grille d'audit v1.11\[grille-audit-hvev4-v1.11-vf.xlsx]Phyto</v>
      </c>
      <c r="E1583">
        <f t="shared" ca="1" si="97"/>
        <v>200</v>
      </c>
      <c r="F1583">
        <f t="shared" ca="1" si="98"/>
        <v>205</v>
      </c>
      <c r="G1583" t="str">
        <f t="shared" ca="1" si="99"/>
        <v>Phyto</v>
      </c>
      <c r="H1583" cm="1">
        <f t="array" aca="1" ref="H1583" ca="1">ROW(INDIRECT(A1583))</f>
        <v>153</v>
      </c>
      <c r="I1583" cm="1">
        <f t="array" aca="1" ref="I1583" ca="1">COLUMN(INDIRECT(A1583))</f>
        <v>17</v>
      </c>
      <c r="M1583" t="str" cm="1">
        <f t="array" aca="1" ref="M1583" ca="1">IF(AND(J1583="O",ISBLANK(INDIRECT(A1583))),"Valeur obligatoire non renseignée","")</f>
        <v/>
      </c>
    </row>
    <row r="1584" spans="1:13" x14ac:dyDescent="0.25">
      <c r="A1584" t="s">
        <v>4446</v>
      </c>
      <c r="B1584" cm="1">
        <f t="array" aca="1" ref="B1584" ca="1">INDIRECT(A1584)</f>
        <v>0</v>
      </c>
      <c r="C1584">
        <f t="shared" ca="1" si="96"/>
        <v>7</v>
      </c>
      <c r="D1584" t="str" cm="1">
        <f t="array" aca="1" ref="D1584" ca="1">CELL("nomfichier",INDIRECT(A1584))</f>
        <v>G:\SCPE\sdc\bq\6 - Mentions valorisantes\Certification environnementale\TEXTES_REGLEMENTATION_CE\Plans_contrôle et grilles\Grille audit niveau 3\Grille d'audit v1.11\[grille-audit-hvev4-v1.11-vf.xlsx]Phyto</v>
      </c>
      <c r="E1584">
        <f t="shared" ca="1" si="97"/>
        <v>200</v>
      </c>
      <c r="F1584">
        <f t="shared" ca="1" si="98"/>
        <v>205</v>
      </c>
      <c r="G1584" t="str">
        <f t="shared" ca="1" si="99"/>
        <v>Phyto</v>
      </c>
      <c r="H1584" cm="1">
        <f t="array" aca="1" ref="H1584" ca="1">ROW(INDIRECT(A1584))</f>
        <v>154</v>
      </c>
      <c r="I1584" cm="1">
        <f t="array" aca="1" ref="I1584" ca="1">COLUMN(INDIRECT(A1584))</f>
        <v>19</v>
      </c>
      <c r="M1584" t="str" cm="1">
        <f t="array" aca="1" ref="M1584" ca="1">IF(AND(J1584="O",ISBLANK(INDIRECT(A1584))),"Valeur obligatoire non renseignée","")</f>
        <v/>
      </c>
    </row>
    <row r="1585" spans="1:13" x14ac:dyDescent="0.25">
      <c r="A1585" t="s">
        <v>4442</v>
      </c>
      <c r="B1585" cm="1">
        <f t="array" aca="1" ref="B1585" ca="1">INDIRECT(A1585)</f>
        <v>0</v>
      </c>
      <c r="C1585">
        <f t="shared" ca="1" si="96"/>
        <v>7</v>
      </c>
      <c r="D1585" t="str" cm="1">
        <f t="array" aca="1" ref="D1585" ca="1">CELL("nomfichier",INDIRECT(A1585))</f>
        <v>G:\SCPE\sdc\bq\6 - Mentions valorisantes\Certification environnementale\TEXTES_REGLEMENTATION_CE\Plans_contrôle et grilles\Grille audit niveau 3\Grille d'audit v1.11\[grille-audit-hvev4-v1.11-vf.xlsx]Phyto</v>
      </c>
      <c r="E1585">
        <f t="shared" ca="1" si="97"/>
        <v>200</v>
      </c>
      <c r="F1585">
        <f t="shared" ca="1" si="98"/>
        <v>205</v>
      </c>
      <c r="G1585" t="str">
        <f t="shared" ca="1" si="99"/>
        <v>Phyto</v>
      </c>
      <c r="H1585" cm="1">
        <f t="array" aca="1" ref="H1585" ca="1">ROW(INDIRECT(A1585))</f>
        <v>157</v>
      </c>
      <c r="I1585" cm="1">
        <f t="array" aca="1" ref="I1585" ca="1">COLUMN(INDIRECT(A1585))</f>
        <v>19</v>
      </c>
      <c r="M1585" t="str" cm="1">
        <f t="array" aca="1" ref="M1585" ca="1">IF(AND(J1585="O",ISBLANK(INDIRECT(A1585))),"Valeur obligatoire non renseignée","")</f>
        <v/>
      </c>
    </row>
    <row r="1586" spans="1:13" x14ac:dyDescent="0.25">
      <c r="A1586" t="s">
        <v>4344</v>
      </c>
      <c r="B1586" cm="1">
        <f t="array" aca="1" ref="B1586" ca="1">INDIRECT(A1586)</f>
        <v>5</v>
      </c>
      <c r="C1586">
        <f t="shared" ca="1" si="96"/>
        <v>7</v>
      </c>
      <c r="D1586" t="str" cm="1">
        <f t="array" aca="1" ref="D1586" ca="1">CELL("nomfichier",INDIRECT(A1586))</f>
        <v>G:\SCPE\sdc\bq\6 - Mentions valorisantes\Certification environnementale\TEXTES_REGLEMENTATION_CE\Plans_contrôle et grilles\Grille audit niveau 3\Grille d'audit v1.11\[grille-audit-hvev4-v1.11-vf.xlsx]Phyto</v>
      </c>
      <c r="E1586">
        <f t="shared" ca="1" si="97"/>
        <v>200</v>
      </c>
      <c r="F1586">
        <f t="shared" ca="1" si="98"/>
        <v>205</v>
      </c>
      <c r="G1586" t="str">
        <f t="shared" ca="1" si="99"/>
        <v>Phyto</v>
      </c>
      <c r="H1586" cm="1">
        <f t="array" aca="1" ref="H1586" ca="1">ROW(INDIRECT(A1586))</f>
        <v>157</v>
      </c>
      <c r="I1586" cm="1">
        <f t="array" aca="1" ref="I1586" ca="1">COLUMN(INDIRECT(A1586))</f>
        <v>23</v>
      </c>
      <c r="M1586" t="str" cm="1">
        <f t="array" aca="1" ref="M1586" ca="1">IF(AND(J1586="O",ISBLANK(INDIRECT(A1586))),"Valeur obligatoire non renseignée","")</f>
        <v/>
      </c>
    </row>
    <row r="1587" spans="1:13" x14ac:dyDescent="0.25">
      <c r="A1587" t="s">
        <v>4381</v>
      </c>
      <c r="B1587" cm="1">
        <f t="array" aca="1" ref="B1587" ca="1">INDIRECT(A1587)</f>
        <v>0</v>
      </c>
      <c r="C1587">
        <f t="shared" ca="1" si="96"/>
        <v>7</v>
      </c>
      <c r="D1587" t="str" cm="1">
        <f t="array" aca="1" ref="D1587" ca="1">CELL("nomfichier",INDIRECT(A1587))</f>
        <v>G:\SCPE\sdc\bq\6 - Mentions valorisantes\Certification environnementale\TEXTES_REGLEMENTATION_CE\Plans_contrôle et grilles\Grille audit niveau 3\Grille d'audit v1.11\[grille-audit-hvev4-v1.11-vf.xlsx]Phyto</v>
      </c>
      <c r="E1587">
        <f t="shared" ca="1" si="97"/>
        <v>200</v>
      </c>
      <c r="F1587">
        <f t="shared" ca="1" si="98"/>
        <v>205</v>
      </c>
      <c r="G1587" t="str">
        <f t="shared" ca="1" si="99"/>
        <v>Phyto</v>
      </c>
      <c r="H1587" cm="1">
        <f t="array" aca="1" ref="H1587" ca="1">ROW(INDIRECT(A1587))</f>
        <v>172</v>
      </c>
      <c r="I1587" cm="1">
        <f t="array" aca="1" ref="I1587" ca="1">COLUMN(INDIRECT(A1587))</f>
        <v>18</v>
      </c>
      <c r="M1587" t="str" cm="1">
        <f t="array" aca="1" ref="M1587" ca="1">IF(AND(J1587="O",ISBLANK(INDIRECT(A1587))),"Valeur obligatoire non renseignée","")</f>
        <v/>
      </c>
    </row>
    <row r="1588" spans="1:13" x14ac:dyDescent="0.25">
      <c r="A1588" t="s">
        <v>4386</v>
      </c>
      <c r="B1588" cm="1">
        <f t="array" aca="1" ref="B1588" ca="1">INDIRECT(A1588)</f>
        <v>0</v>
      </c>
      <c r="C1588">
        <f t="shared" ca="1" si="96"/>
        <v>7</v>
      </c>
      <c r="D1588" t="str" cm="1">
        <f t="array" aca="1" ref="D1588" ca="1">CELL("nomfichier",INDIRECT(A1588))</f>
        <v>G:\SCPE\sdc\bq\6 - Mentions valorisantes\Certification environnementale\TEXTES_REGLEMENTATION_CE\Plans_contrôle et grilles\Grille audit niveau 3\Grille d'audit v1.11\[grille-audit-hvev4-v1.11-vf.xlsx]Phyto</v>
      </c>
      <c r="E1588">
        <f t="shared" ca="1" si="97"/>
        <v>200</v>
      </c>
      <c r="F1588">
        <f t="shared" ca="1" si="98"/>
        <v>205</v>
      </c>
      <c r="G1588" t="str">
        <f t="shared" ca="1" si="99"/>
        <v>Phyto</v>
      </c>
      <c r="H1588" cm="1">
        <f t="array" aca="1" ref="H1588" ca="1">ROW(INDIRECT(A1588))</f>
        <v>174</v>
      </c>
      <c r="I1588" cm="1">
        <f t="array" aca="1" ref="I1588" ca="1">COLUMN(INDIRECT(A1588))</f>
        <v>18</v>
      </c>
      <c r="M1588" t="str" cm="1">
        <f t="array" aca="1" ref="M1588" ca="1">IF(AND(J1588="O",ISBLANK(INDIRECT(A1588))),"Valeur obligatoire non renseignée","")</f>
        <v/>
      </c>
    </row>
    <row r="1589" spans="1:13" x14ac:dyDescent="0.25">
      <c r="A1589" t="s">
        <v>4280</v>
      </c>
      <c r="B1589" cm="1">
        <f t="array" aca="1" ref="B1589" ca="1">INDIRECT(A1589)</f>
        <v>0</v>
      </c>
      <c r="C1589">
        <f t="shared" ca="1" si="96"/>
        <v>7</v>
      </c>
      <c r="D1589" t="str" cm="1">
        <f t="array" aca="1" ref="D1589" ca="1">CELL("nomfichier",INDIRECT(A1589))</f>
        <v>G:\SCPE\sdc\bq\6 - Mentions valorisantes\Certification environnementale\TEXTES_REGLEMENTATION_CE\Plans_contrôle et grilles\Grille audit niveau 3\Grille d'audit v1.11\[grille-audit-hvev4-v1.11-vf.xlsx]Phyto</v>
      </c>
      <c r="E1589">
        <f t="shared" ca="1" si="97"/>
        <v>200</v>
      </c>
      <c r="F1589">
        <f t="shared" ca="1" si="98"/>
        <v>205</v>
      </c>
      <c r="G1589" t="str">
        <f t="shared" ca="1" si="99"/>
        <v>Phyto</v>
      </c>
      <c r="H1589" cm="1">
        <f t="array" aca="1" ref="H1589" ca="1">ROW(INDIRECT(A1589))</f>
        <v>178</v>
      </c>
      <c r="I1589" cm="1">
        <f t="array" aca="1" ref="I1589" ca="1">COLUMN(INDIRECT(A1589))</f>
        <v>18</v>
      </c>
      <c r="M1589" t="str" cm="1">
        <f t="array" aca="1" ref="M1589" ca="1">IF(AND(J1589="O",ISBLANK(INDIRECT(A1589))),"Valeur obligatoire non renseignée","")</f>
        <v/>
      </c>
    </row>
    <row r="1590" spans="1:13" x14ac:dyDescent="0.25">
      <c r="A1590" t="s">
        <v>4463</v>
      </c>
      <c r="B1590" cm="1">
        <f t="array" aca="1" ref="B1590" ca="1">INDIRECT(A1590)</f>
        <v>0</v>
      </c>
      <c r="C1590">
        <f t="shared" ca="1" si="96"/>
        <v>7</v>
      </c>
      <c r="D1590" t="str" cm="1">
        <f t="array" aca="1" ref="D1590" ca="1">CELL("nomfichier",INDIRECT(A1590))</f>
        <v>G:\SCPE\sdc\bq\6 - Mentions valorisantes\Certification environnementale\TEXTES_REGLEMENTATION_CE\Plans_contrôle et grilles\Grille audit niveau 3\Grille d'audit v1.11\[grille-audit-hvev4-v1.11-vf.xlsx]Phyto</v>
      </c>
      <c r="E1590">
        <f t="shared" ca="1" si="97"/>
        <v>200</v>
      </c>
      <c r="F1590">
        <f t="shared" ca="1" si="98"/>
        <v>205</v>
      </c>
      <c r="G1590" t="str">
        <f t="shared" ca="1" si="99"/>
        <v>Phyto</v>
      </c>
      <c r="H1590" cm="1">
        <f t="array" aca="1" ref="H1590" ca="1">ROW(INDIRECT(A1590))</f>
        <v>179</v>
      </c>
      <c r="I1590" cm="1">
        <f t="array" aca="1" ref="I1590" ca="1">COLUMN(INDIRECT(A1590))</f>
        <v>18</v>
      </c>
      <c r="M1590" t="str" cm="1">
        <f t="array" aca="1" ref="M1590" ca="1">IF(AND(J1590="O",ISBLANK(INDIRECT(A1590))),"Valeur obligatoire non renseignée","")</f>
        <v/>
      </c>
    </row>
    <row r="1591" spans="1:13" x14ac:dyDescent="0.25">
      <c r="A1591" t="s">
        <v>4468</v>
      </c>
      <c r="B1591" cm="1">
        <f t="array" aca="1" ref="B1591" ca="1">INDIRECT(A1591)</f>
        <v>0</v>
      </c>
      <c r="C1591">
        <f t="shared" ca="1" si="96"/>
        <v>7</v>
      </c>
      <c r="D1591" t="str" cm="1">
        <f t="array" aca="1" ref="D1591" ca="1">CELL("nomfichier",INDIRECT(A1591))</f>
        <v>G:\SCPE\sdc\bq\6 - Mentions valorisantes\Certification environnementale\TEXTES_REGLEMENTATION_CE\Plans_contrôle et grilles\Grille audit niveau 3\Grille d'audit v1.11\[grille-audit-hvev4-v1.11-vf.xlsx]Phyto</v>
      </c>
      <c r="E1591">
        <f t="shared" ca="1" si="97"/>
        <v>200</v>
      </c>
      <c r="F1591">
        <f t="shared" ca="1" si="98"/>
        <v>205</v>
      </c>
      <c r="G1591" t="str">
        <f t="shared" ca="1" si="99"/>
        <v>Phyto</v>
      </c>
      <c r="H1591" cm="1">
        <f t="array" aca="1" ref="H1591" ca="1">ROW(INDIRECT(A1591))</f>
        <v>180</v>
      </c>
      <c r="I1591" cm="1">
        <f t="array" aca="1" ref="I1591" ca="1">COLUMN(INDIRECT(A1591))</f>
        <v>18</v>
      </c>
      <c r="M1591" t="str" cm="1">
        <f t="array" aca="1" ref="M1591" ca="1">IF(AND(J1591="O",ISBLANK(INDIRECT(A1591))),"Valeur obligatoire non renseignée","")</f>
        <v/>
      </c>
    </row>
    <row r="1592" spans="1:13" x14ac:dyDescent="0.25">
      <c r="A1592" t="s">
        <v>4404</v>
      </c>
      <c r="B1592" cm="1">
        <f t="array" aca="1" ref="B1592" ca="1">INDIRECT(A1592)</f>
        <v>0</v>
      </c>
      <c r="C1592">
        <f t="shared" ca="1" si="96"/>
        <v>7</v>
      </c>
      <c r="D1592" t="str" cm="1">
        <f t="array" aca="1" ref="D1592" ca="1">CELL("nomfichier",INDIRECT(A1592))</f>
        <v>G:\SCPE\sdc\bq\6 - Mentions valorisantes\Certification environnementale\TEXTES_REGLEMENTATION_CE\Plans_contrôle et grilles\Grille audit niveau 3\Grille d'audit v1.11\[grille-audit-hvev4-v1.11-vf.xlsx]Phyto</v>
      </c>
      <c r="E1592">
        <f t="shared" ca="1" si="97"/>
        <v>200</v>
      </c>
      <c r="F1592">
        <f t="shared" ca="1" si="98"/>
        <v>205</v>
      </c>
      <c r="G1592" t="str">
        <f t="shared" ca="1" si="99"/>
        <v>Phyto</v>
      </c>
      <c r="H1592" cm="1">
        <f t="array" aca="1" ref="H1592" ca="1">ROW(INDIRECT(A1592))</f>
        <v>181</v>
      </c>
      <c r="I1592" cm="1">
        <f t="array" aca="1" ref="I1592" ca="1">COLUMN(INDIRECT(A1592))</f>
        <v>18</v>
      </c>
      <c r="M1592" t="str" cm="1">
        <f t="array" aca="1" ref="M1592" ca="1">IF(AND(J1592="O",ISBLANK(INDIRECT(A1592))),"Valeur obligatoire non renseignée","")</f>
        <v/>
      </c>
    </row>
    <row r="1593" spans="1:13" x14ac:dyDescent="0.25">
      <c r="A1593" t="s">
        <v>4281</v>
      </c>
      <c r="B1593" cm="1">
        <f t="array" aca="1" ref="B1593" ca="1">INDIRECT(A1593)</f>
        <v>0</v>
      </c>
      <c r="C1593">
        <f t="shared" ca="1" si="96"/>
        <v>7</v>
      </c>
      <c r="D1593" t="str" cm="1">
        <f t="array" aca="1" ref="D1593" ca="1">CELL("nomfichier",INDIRECT(A1593))</f>
        <v>G:\SCPE\sdc\bq\6 - Mentions valorisantes\Certification environnementale\TEXTES_REGLEMENTATION_CE\Plans_contrôle et grilles\Grille audit niveau 3\Grille d'audit v1.11\[grille-audit-hvev4-v1.11-vf.xlsx]Phyto</v>
      </c>
      <c r="E1593">
        <f t="shared" ca="1" si="97"/>
        <v>200</v>
      </c>
      <c r="F1593">
        <f t="shared" ca="1" si="98"/>
        <v>205</v>
      </c>
      <c r="G1593" t="str">
        <f t="shared" ca="1" si="99"/>
        <v>Phyto</v>
      </c>
      <c r="H1593" cm="1">
        <f t="array" aca="1" ref="H1593" ca="1">ROW(INDIRECT(A1593))</f>
        <v>183</v>
      </c>
      <c r="I1593" cm="1">
        <f t="array" aca="1" ref="I1593" ca="1">COLUMN(INDIRECT(A1593))</f>
        <v>18</v>
      </c>
      <c r="M1593" t="str" cm="1">
        <f t="array" aca="1" ref="M1593" ca="1">IF(AND(J1593="O",ISBLANK(INDIRECT(A1593))),"Valeur obligatoire non renseignée","")</f>
        <v/>
      </c>
    </row>
    <row r="1594" spans="1:13" x14ac:dyDescent="0.25">
      <c r="A1594" t="s">
        <v>4464</v>
      </c>
      <c r="B1594" cm="1">
        <f t="array" aca="1" ref="B1594" ca="1">INDIRECT(A1594)</f>
        <v>0</v>
      </c>
      <c r="C1594">
        <f t="shared" ca="1" si="96"/>
        <v>7</v>
      </c>
      <c r="D1594" t="str" cm="1">
        <f t="array" aca="1" ref="D1594" ca="1">CELL("nomfichier",INDIRECT(A1594))</f>
        <v>G:\SCPE\sdc\bq\6 - Mentions valorisantes\Certification environnementale\TEXTES_REGLEMENTATION_CE\Plans_contrôle et grilles\Grille audit niveau 3\Grille d'audit v1.11\[grille-audit-hvev4-v1.11-vf.xlsx]Phyto</v>
      </c>
      <c r="E1594">
        <f t="shared" ca="1" si="97"/>
        <v>200</v>
      </c>
      <c r="F1594">
        <f t="shared" ca="1" si="98"/>
        <v>205</v>
      </c>
      <c r="G1594" t="str">
        <f t="shared" ca="1" si="99"/>
        <v>Phyto</v>
      </c>
      <c r="H1594" cm="1">
        <f t="array" aca="1" ref="H1594" ca="1">ROW(INDIRECT(A1594))</f>
        <v>184</v>
      </c>
      <c r="I1594" cm="1">
        <f t="array" aca="1" ref="I1594" ca="1">COLUMN(INDIRECT(A1594))</f>
        <v>18</v>
      </c>
      <c r="M1594" t="str" cm="1">
        <f t="array" aca="1" ref="M1594" ca="1">IF(AND(J1594="O",ISBLANK(INDIRECT(A1594))),"Valeur obligatoire non renseignée","")</f>
        <v/>
      </c>
    </row>
    <row r="1595" spans="1:13" x14ac:dyDescent="0.25">
      <c r="A1595" t="s">
        <v>4469</v>
      </c>
      <c r="B1595" cm="1">
        <f t="array" aca="1" ref="B1595" ca="1">INDIRECT(A1595)</f>
        <v>0</v>
      </c>
      <c r="C1595">
        <f t="shared" ca="1" si="96"/>
        <v>7</v>
      </c>
      <c r="D1595" t="str" cm="1">
        <f t="array" aca="1" ref="D1595" ca="1">CELL("nomfichier",INDIRECT(A1595))</f>
        <v>G:\SCPE\sdc\bq\6 - Mentions valorisantes\Certification environnementale\TEXTES_REGLEMENTATION_CE\Plans_contrôle et grilles\Grille audit niveau 3\Grille d'audit v1.11\[grille-audit-hvev4-v1.11-vf.xlsx]Phyto</v>
      </c>
      <c r="E1595">
        <f t="shared" ca="1" si="97"/>
        <v>200</v>
      </c>
      <c r="F1595">
        <f t="shared" ca="1" si="98"/>
        <v>205</v>
      </c>
      <c r="G1595" t="str">
        <f t="shared" ca="1" si="99"/>
        <v>Phyto</v>
      </c>
      <c r="H1595" cm="1">
        <f t="array" aca="1" ref="H1595" ca="1">ROW(INDIRECT(A1595))</f>
        <v>185</v>
      </c>
      <c r="I1595" cm="1">
        <f t="array" aca="1" ref="I1595" ca="1">COLUMN(INDIRECT(A1595))</f>
        <v>18</v>
      </c>
      <c r="M1595" t="str" cm="1">
        <f t="array" aca="1" ref="M1595" ca="1">IF(AND(J1595="O",ISBLANK(INDIRECT(A1595))),"Valeur obligatoire non renseignée","")</f>
        <v/>
      </c>
    </row>
    <row r="1596" spans="1:13" x14ac:dyDescent="0.25">
      <c r="A1596" t="s">
        <v>4405</v>
      </c>
      <c r="B1596" cm="1">
        <f t="array" aca="1" ref="B1596" ca="1">INDIRECT(A1596)</f>
        <v>0</v>
      </c>
      <c r="C1596">
        <f t="shared" ca="1" si="96"/>
        <v>7</v>
      </c>
      <c r="D1596" t="str" cm="1">
        <f t="array" aca="1" ref="D1596" ca="1">CELL("nomfichier",INDIRECT(A1596))</f>
        <v>G:\SCPE\sdc\bq\6 - Mentions valorisantes\Certification environnementale\TEXTES_REGLEMENTATION_CE\Plans_contrôle et grilles\Grille audit niveau 3\Grille d'audit v1.11\[grille-audit-hvev4-v1.11-vf.xlsx]Phyto</v>
      </c>
      <c r="E1596">
        <f t="shared" ca="1" si="97"/>
        <v>200</v>
      </c>
      <c r="F1596">
        <f t="shared" ca="1" si="98"/>
        <v>205</v>
      </c>
      <c r="G1596" t="str">
        <f t="shared" ca="1" si="99"/>
        <v>Phyto</v>
      </c>
      <c r="H1596" cm="1">
        <f t="array" aca="1" ref="H1596" ca="1">ROW(INDIRECT(A1596))</f>
        <v>186</v>
      </c>
      <c r="I1596" cm="1">
        <f t="array" aca="1" ref="I1596" ca="1">COLUMN(INDIRECT(A1596))</f>
        <v>18</v>
      </c>
      <c r="M1596" t="str" cm="1">
        <f t="array" aca="1" ref="M1596" ca="1">IF(AND(J1596="O",ISBLANK(INDIRECT(A1596))),"Valeur obligatoire non renseignée","")</f>
        <v/>
      </c>
    </row>
    <row r="1597" spans="1:13" x14ac:dyDescent="0.25">
      <c r="A1597" t="s">
        <v>4472</v>
      </c>
      <c r="B1597" cm="1">
        <f t="array" aca="1" ref="B1597" ca="1">INDIRECT(A1597)</f>
        <v>0</v>
      </c>
      <c r="C1597">
        <f t="shared" ca="1" si="96"/>
        <v>7</v>
      </c>
      <c r="D1597" t="str" cm="1">
        <f t="array" aca="1" ref="D1597" ca="1">CELL("nomfichier",INDIRECT(A1597))</f>
        <v>G:\SCPE\sdc\bq\6 - Mentions valorisantes\Certification environnementale\TEXTES_REGLEMENTATION_CE\Plans_contrôle et grilles\Grille audit niveau 3\Grille d'audit v1.11\[grille-audit-hvev4-v1.11-vf.xlsx]Phyto</v>
      </c>
      <c r="E1597">
        <f t="shared" ca="1" si="97"/>
        <v>200</v>
      </c>
      <c r="F1597">
        <f t="shared" ca="1" si="98"/>
        <v>205</v>
      </c>
      <c r="G1597" t="str">
        <f t="shared" ca="1" si="99"/>
        <v>Phyto</v>
      </c>
      <c r="H1597" cm="1">
        <f t="array" aca="1" ref="H1597" ca="1">ROW(INDIRECT(A1597))</f>
        <v>191</v>
      </c>
      <c r="I1597" cm="1">
        <f t="array" aca="1" ref="I1597" ca="1">COLUMN(INDIRECT(A1597))</f>
        <v>18</v>
      </c>
      <c r="M1597" t="str" cm="1">
        <f t="array" aca="1" ref="M1597" ca="1">IF(AND(J1597="O",ISBLANK(INDIRECT(A1597))),"Valeur obligatoire non renseignée","")</f>
        <v/>
      </c>
    </row>
    <row r="1598" spans="1:13" x14ac:dyDescent="0.25">
      <c r="A1598" t="s">
        <v>4819</v>
      </c>
      <c r="B1598" cm="1">
        <f t="array" aca="1" ref="B1598" ca="1">INDIRECT(A1598)</f>
        <v>0</v>
      </c>
      <c r="C1598">
        <f t="shared" ca="1" si="96"/>
        <v>7</v>
      </c>
      <c r="D1598" t="str" cm="1">
        <f t="array" aca="1" ref="D1598" ca="1">CELL("nomfichier",INDIRECT(A1598))</f>
        <v>G:\SCPE\sdc\bq\6 - Mentions valorisantes\Certification environnementale\TEXTES_REGLEMENTATION_CE\Plans_contrôle et grilles\Grille audit niveau 3\Grille d'audit v1.11\[grille-audit-hvev4-v1.11-vf.xlsx]Phyto</v>
      </c>
      <c r="E1598">
        <f t="shared" ca="1" si="97"/>
        <v>200</v>
      </c>
      <c r="F1598">
        <f t="shared" ca="1" si="98"/>
        <v>205</v>
      </c>
      <c r="G1598" t="str">
        <f t="shared" ca="1" si="99"/>
        <v>Phyto</v>
      </c>
      <c r="H1598" cm="1">
        <f t="array" aca="1" ref="H1598" ca="1">ROW(INDIRECT(A1598))</f>
        <v>194</v>
      </c>
      <c r="I1598" cm="1">
        <f t="array" aca="1" ref="I1598" ca="1">COLUMN(INDIRECT(A1598))</f>
        <v>18</v>
      </c>
      <c r="M1598" t="str" cm="1">
        <f t="array" aca="1" ref="M1598" ca="1">IF(AND(J1598="O",ISBLANK(INDIRECT(A1598))),"Valeur obligatoire non renseignée","")</f>
        <v/>
      </c>
    </row>
    <row r="1599" spans="1:13" x14ac:dyDescent="0.25">
      <c r="A1599" t="s">
        <v>4420</v>
      </c>
      <c r="B1599" cm="1">
        <f t="array" aca="1" ref="B1599" ca="1">INDIRECT(A1599)</f>
        <v>0</v>
      </c>
      <c r="C1599">
        <f t="shared" ca="1" si="96"/>
        <v>7</v>
      </c>
      <c r="D1599" t="str" cm="1">
        <f t="array" aca="1" ref="D1599" ca="1">CELL("nomfichier",INDIRECT(A1599))</f>
        <v>G:\SCPE\sdc\bq\6 - Mentions valorisantes\Certification environnementale\TEXTES_REGLEMENTATION_CE\Plans_contrôle et grilles\Grille audit niveau 3\Grille d'audit v1.11\[grille-audit-hvev4-v1.11-vf.xlsx]Phyto</v>
      </c>
      <c r="E1599">
        <f t="shared" ca="1" si="97"/>
        <v>200</v>
      </c>
      <c r="F1599">
        <f t="shared" ca="1" si="98"/>
        <v>205</v>
      </c>
      <c r="G1599" t="str">
        <f t="shared" ca="1" si="99"/>
        <v>Phyto</v>
      </c>
      <c r="H1599" cm="1">
        <f t="array" aca="1" ref="H1599" ca="1">ROW(INDIRECT(A1599))</f>
        <v>195</v>
      </c>
      <c r="I1599" cm="1">
        <f t="array" aca="1" ref="I1599" ca="1">COLUMN(INDIRECT(A1599))</f>
        <v>18</v>
      </c>
      <c r="M1599" t="str" cm="1">
        <f t="array" aca="1" ref="M1599" ca="1">IF(AND(J1599="O",ISBLANK(INDIRECT(A1599))),"Valeur obligatoire non renseignée","")</f>
        <v/>
      </c>
    </row>
    <row r="1600" spans="1:13" x14ac:dyDescent="0.25">
      <c r="A1600" t="s">
        <v>4421</v>
      </c>
      <c r="B1600" cm="1">
        <f t="array" aca="1" ref="B1600" ca="1">INDIRECT(A1600)</f>
        <v>0</v>
      </c>
      <c r="C1600">
        <f t="shared" ca="1" si="96"/>
        <v>7</v>
      </c>
      <c r="D1600" t="str" cm="1">
        <f t="array" aca="1" ref="D1600" ca="1">CELL("nomfichier",INDIRECT(A1600))</f>
        <v>G:\SCPE\sdc\bq\6 - Mentions valorisantes\Certification environnementale\TEXTES_REGLEMENTATION_CE\Plans_contrôle et grilles\Grille audit niveau 3\Grille d'audit v1.11\[grille-audit-hvev4-v1.11-vf.xlsx]Phyto</v>
      </c>
      <c r="E1600">
        <f t="shared" ca="1" si="97"/>
        <v>200</v>
      </c>
      <c r="F1600">
        <f t="shared" ca="1" si="98"/>
        <v>205</v>
      </c>
      <c r="G1600" t="str">
        <f t="shared" ca="1" si="99"/>
        <v>Phyto</v>
      </c>
      <c r="H1600" cm="1">
        <f t="array" aca="1" ref="H1600" ca="1">ROW(INDIRECT(A1600))</f>
        <v>196</v>
      </c>
      <c r="I1600" cm="1">
        <f t="array" aca="1" ref="I1600" ca="1">COLUMN(INDIRECT(A1600))</f>
        <v>18</v>
      </c>
      <c r="M1600" t="str" cm="1">
        <f t="array" aca="1" ref="M1600" ca="1">IF(AND(J1600="O",ISBLANK(INDIRECT(A1600))),"Valeur obligatoire non renseignée","")</f>
        <v/>
      </c>
    </row>
    <row r="1601" spans="1:13" x14ac:dyDescent="0.25">
      <c r="A1601" t="s">
        <v>4451</v>
      </c>
      <c r="B1601" cm="1">
        <f t="array" aca="1" ref="B1601" ca="1">INDIRECT(A1601)</f>
        <v>0</v>
      </c>
      <c r="C1601">
        <f t="shared" ca="1" si="96"/>
        <v>7</v>
      </c>
      <c r="D1601" t="str" cm="1">
        <f t="array" aca="1" ref="D1601" ca="1">CELL("nomfichier",INDIRECT(A1601))</f>
        <v>G:\SCPE\sdc\bq\6 - Mentions valorisantes\Certification environnementale\TEXTES_REGLEMENTATION_CE\Plans_contrôle et grilles\Grille audit niveau 3\Grille d'audit v1.11\[grille-audit-hvev4-v1.11-vf.xlsx]Phyto</v>
      </c>
      <c r="E1601">
        <f t="shared" ca="1" si="97"/>
        <v>200</v>
      </c>
      <c r="F1601">
        <f t="shared" ca="1" si="98"/>
        <v>205</v>
      </c>
      <c r="G1601" t="str">
        <f t="shared" ca="1" si="99"/>
        <v>Phyto</v>
      </c>
      <c r="H1601" cm="1">
        <f t="array" aca="1" ref="H1601" ca="1">ROW(INDIRECT(A1601))</f>
        <v>197</v>
      </c>
      <c r="I1601" cm="1">
        <f t="array" aca="1" ref="I1601" ca="1">COLUMN(INDIRECT(A1601))</f>
        <v>18</v>
      </c>
      <c r="M1601" t="str" cm="1">
        <f t="array" aca="1" ref="M1601" ca="1">IF(AND(J1601="O",ISBLANK(INDIRECT(A1601))),"Valeur obligatoire non renseignée","")</f>
        <v/>
      </c>
    </row>
    <row r="1602" spans="1:13" x14ac:dyDescent="0.25">
      <c r="A1602" t="s">
        <v>4346</v>
      </c>
      <c r="B1602" cm="1">
        <f t="array" aca="1" ref="B1602" ca="1">INDIRECT(A1602)</f>
        <v>3</v>
      </c>
      <c r="C1602">
        <f t="shared" ref="C1602:C1665" ca="1" si="100">_xlfn.SHEET(INDIRECT(A1602))</f>
        <v>7</v>
      </c>
      <c r="D1602" t="str" cm="1">
        <f t="array" aca="1" ref="D1602" ca="1">CELL("nomfichier",INDIRECT(A1602))</f>
        <v>G:\SCPE\sdc\bq\6 - Mentions valorisantes\Certification environnementale\TEXTES_REGLEMENTATION_CE\Plans_contrôle et grilles\Grille audit niveau 3\Grille d'audit v1.11\[grille-audit-hvev4-v1.11-vf.xlsx]Phyto</v>
      </c>
      <c r="E1602">
        <f t="shared" ref="E1602:E1665" ca="1" si="101">FIND("]",D1602)</f>
        <v>200</v>
      </c>
      <c r="F1602">
        <f t="shared" ref="F1602:F1665" ca="1" si="102">LEN(D1602)</f>
        <v>205</v>
      </c>
      <c r="G1602" t="str">
        <f t="shared" ref="G1602:G1665" ca="1" si="103">RIGHT(D1602,F1602-E1602)</f>
        <v>Phyto</v>
      </c>
      <c r="H1602" cm="1">
        <f t="array" aca="1" ref="H1602" ca="1">ROW(INDIRECT(A1602))</f>
        <v>197</v>
      </c>
      <c r="I1602" cm="1">
        <f t="array" aca="1" ref="I1602" ca="1">COLUMN(INDIRECT(A1602))</f>
        <v>23</v>
      </c>
      <c r="M1602" t="str" cm="1">
        <f t="array" aca="1" ref="M1602" ca="1">IF(AND(J1602="O",ISBLANK(INDIRECT(A1602))),"Valeur obligatoire non renseignée","")</f>
        <v/>
      </c>
    </row>
    <row r="1603" spans="1:13" x14ac:dyDescent="0.25">
      <c r="A1603" t="s">
        <v>4325</v>
      </c>
      <c r="B1603" cm="1">
        <f t="array" aca="1" ref="B1603" ca="1">INDIRECT(A1603)</f>
        <v>0</v>
      </c>
      <c r="C1603">
        <f t="shared" ca="1" si="100"/>
        <v>7</v>
      </c>
      <c r="D1603" t="str" cm="1">
        <f t="array" aca="1" ref="D1603" ca="1">CELL("nomfichier",INDIRECT(A1603))</f>
        <v>G:\SCPE\sdc\bq\6 - Mentions valorisantes\Certification environnementale\TEXTES_REGLEMENTATION_CE\Plans_contrôle et grilles\Grille audit niveau 3\Grille d'audit v1.11\[grille-audit-hvev4-v1.11-vf.xlsx]Phyto</v>
      </c>
      <c r="E1603">
        <f t="shared" ca="1" si="101"/>
        <v>200</v>
      </c>
      <c r="F1603">
        <f t="shared" ca="1" si="102"/>
        <v>205</v>
      </c>
      <c r="G1603" t="str">
        <f t="shared" ca="1" si="103"/>
        <v>Phyto</v>
      </c>
      <c r="H1603" cm="1">
        <f t="array" aca="1" ref="H1603" ca="1">ROW(INDIRECT(A1603))</f>
        <v>221</v>
      </c>
      <c r="I1603" cm="1">
        <f t="array" aca="1" ref="I1603" ca="1">COLUMN(INDIRECT(A1603))</f>
        <v>3</v>
      </c>
      <c r="M1603" t="str" cm="1">
        <f t="array" aca="1" ref="M1603" ca="1">IF(AND(J1603="O",ISBLANK(INDIRECT(A1603))),"Valeur obligatoire non renseignée","")</f>
        <v/>
      </c>
    </row>
    <row r="1604" spans="1:13" x14ac:dyDescent="0.25">
      <c r="A1604" t="s">
        <v>4250</v>
      </c>
      <c r="B1604" cm="1">
        <f t="array" aca="1" ref="B1604" ca="1">INDIRECT(A1604)</f>
        <v>0</v>
      </c>
      <c r="C1604">
        <f t="shared" ca="1" si="100"/>
        <v>7</v>
      </c>
      <c r="D1604" t="str" cm="1">
        <f t="array" aca="1" ref="D1604" ca="1">CELL("nomfichier",INDIRECT(A1604))</f>
        <v>G:\SCPE\sdc\bq\6 - Mentions valorisantes\Certification environnementale\TEXTES_REGLEMENTATION_CE\Plans_contrôle et grilles\Grille audit niveau 3\Grille d'audit v1.11\[grille-audit-hvev4-v1.11-vf.xlsx]Phyto</v>
      </c>
      <c r="E1604">
        <f t="shared" ca="1" si="101"/>
        <v>200</v>
      </c>
      <c r="F1604">
        <f t="shared" ca="1" si="102"/>
        <v>205</v>
      </c>
      <c r="G1604" t="str">
        <f t="shared" ca="1" si="103"/>
        <v>Phyto</v>
      </c>
      <c r="H1604" cm="1">
        <f t="array" aca="1" ref="H1604" ca="1">ROW(INDIRECT(A1604))</f>
        <v>228</v>
      </c>
      <c r="I1604" cm="1">
        <f t="array" aca="1" ref="I1604" ca="1">COLUMN(INDIRECT(A1604))</f>
        <v>14</v>
      </c>
      <c r="M1604" t="str" cm="1">
        <f t="array" aca="1" ref="M1604" ca="1">IF(AND(J1604="O",ISBLANK(INDIRECT(A1604))),"Valeur obligatoire non renseignée","")</f>
        <v/>
      </c>
    </row>
    <row r="1605" spans="1:13" x14ac:dyDescent="0.25">
      <c r="A1605" t="s">
        <v>4251</v>
      </c>
      <c r="B1605" cm="1">
        <f t="array" aca="1" ref="B1605" ca="1">INDIRECT(A1605)</f>
        <v>0</v>
      </c>
      <c r="C1605">
        <f t="shared" ca="1" si="100"/>
        <v>7</v>
      </c>
      <c r="D1605" t="str" cm="1">
        <f t="array" aca="1" ref="D1605" ca="1">CELL("nomfichier",INDIRECT(A1605))</f>
        <v>G:\SCPE\sdc\bq\6 - Mentions valorisantes\Certification environnementale\TEXTES_REGLEMENTATION_CE\Plans_contrôle et grilles\Grille audit niveau 3\Grille d'audit v1.11\[grille-audit-hvev4-v1.11-vf.xlsx]Phyto</v>
      </c>
      <c r="E1605">
        <f t="shared" ca="1" si="101"/>
        <v>200</v>
      </c>
      <c r="F1605">
        <f t="shared" ca="1" si="102"/>
        <v>205</v>
      </c>
      <c r="G1605" t="str">
        <f t="shared" ca="1" si="103"/>
        <v>Phyto</v>
      </c>
      <c r="H1605" cm="1">
        <f t="array" aca="1" ref="H1605" ca="1">ROW(INDIRECT(A1605))</f>
        <v>229</v>
      </c>
      <c r="I1605" cm="1">
        <f t="array" aca="1" ref="I1605" ca="1">COLUMN(INDIRECT(A1605))</f>
        <v>14</v>
      </c>
      <c r="M1605" t="str" cm="1">
        <f t="array" aca="1" ref="M1605" ca="1">IF(AND(J1605="O",ISBLANK(INDIRECT(A1605))),"Valeur obligatoire non renseignée","")</f>
        <v/>
      </c>
    </row>
    <row r="1606" spans="1:13" x14ac:dyDescent="0.25">
      <c r="A1606" t="s">
        <v>4249</v>
      </c>
      <c r="B1606" cm="1">
        <f t="array" aca="1" ref="B1606" ca="1">INDIRECT(A1606)</f>
        <v>0</v>
      </c>
      <c r="C1606">
        <f t="shared" ca="1" si="100"/>
        <v>7</v>
      </c>
      <c r="D1606" t="str" cm="1">
        <f t="array" aca="1" ref="D1606" ca="1">CELL("nomfichier",INDIRECT(A1606))</f>
        <v>G:\SCPE\sdc\bq\6 - Mentions valorisantes\Certification environnementale\TEXTES_REGLEMENTATION_CE\Plans_contrôle et grilles\Grille audit niveau 3\Grille d'audit v1.11\[grille-audit-hvev4-v1.11-vf.xlsx]Phyto</v>
      </c>
      <c r="E1606">
        <f t="shared" ca="1" si="101"/>
        <v>200</v>
      </c>
      <c r="F1606">
        <f t="shared" ca="1" si="102"/>
        <v>205</v>
      </c>
      <c r="G1606" t="str">
        <f t="shared" ca="1" si="103"/>
        <v>Phyto</v>
      </c>
      <c r="H1606" cm="1">
        <f t="array" aca="1" ref="H1606" ca="1">ROW(INDIRECT(A1606))</f>
        <v>234</v>
      </c>
      <c r="I1606" cm="1">
        <f t="array" aca="1" ref="I1606" ca="1">COLUMN(INDIRECT(A1606))</f>
        <v>14</v>
      </c>
      <c r="M1606" t="str" cm="1">
        <f t="array" aca="1" ref="M1606" ca="1">IF(AND(J1606="O",ISBLANK(INDIRECT(A1606))),"Valeur obligatoire non renseignée","")</f>
        <v/>
      </c>
    </row>
    <row r="1607" spans="1:13" x14ac:dyDescent="0.25">
      <c r="A1607" t="s">
        <v>4245</v>
      </c>
      <c r="B1607" cm="1">
        <f t="array" aca="1" ref="B1607" ca="1">INDIRECT(A1607)</f>
        <v>0</v>
      </c>
      <c r="C1607">
        <f t="shared" ca="1" si="100"/>
        <v>7</v>
      </c>
      <c r="D1607" t="str" cm="1">
        <f t="array" aca="1" ref="D1607" ca="1">CELL("nomfichier",INDIRECT(A1607))</f>
        <v>G:\SCPE\sdc\bq\6 - Mentions valorisantes\Certification environnementale\TEXTES_REGLEMENTATION_CE\Plans_contrôle et grilles\Grille audit niveau 3\Grille d'audit v1.11\[grille-audit-hvev4-v1.11-vf.xlsx]Phyto</v>
      </c>
      <c r="E1607">
        <f t="shared" ca="1" si="101"/>
        <v>200</v>
      </c>
      <c r="F1607">
        <f t="shared" ca="1" si="102"/>
        <v>205</v>
      </c>
      <c r="G1607" t="str">
        <f t="shared" ca="1" si="103"/>
        <v>Phyto</v>
      </c>
      <c r="H1607" cm="1">
        <f t="array" aca="1" ref="H1607" ca="1">ROW(INDIRECT(A1607))</f>
        <v>236</v>
      </c>
      <c r="I1607" cm="1">
        <f t="array" aca="1" ref="I1607" ca="1">COLUMN(INDIRECT(A1607))</f>
        <v>14</v>
      </c>
      <c r="M1607" t="str" cm="1">
        <f t="array" aca="1" ref="M1607" ca="1">IF(AND(J1607="O",ISBLANK(INDIRECT(A1607))),"Valeur obligatoire non renseignée","")</f>
        <v/>
      </c>
    </row>
    <row r="1608" spans="1:13" x14ac:dyDescent="0.25">
      <c r="A1608" t="s">
        <v>4247</v>
      </c>
      <c r="B1608" cm="1">
        <f t="array" aca="1" ref="B1608" ca="1">INDIRECT(A1608)</f>
        <v>0</v>
      </c>
      <c r="C1608">
        <f t="shared" ca="1" si="100"/>
        <v>7</v>
      </c>
      <c r="D1608" t="str" cm="1">
        <f t="array" aca="1" ref="D1608" ca="1">CELL("nomfichier",INDIRECT(A1608))</f>
        <v>G:\SCPE\sdc\bq\6 - Mentions valorisantes\Certification environnementale\TEXTES_REGLEMENTATION_CE\Plans_contrôle et grilles\Grille audit niveau 3\Grille d'audit v1.11\[grille-audit-hvev4-v1.11-vf.xlsx]Phyto</v>
      </c>
      <c r="E1608">
        <f t="shared" ca="1" si="101"/>
        <v>200</v>
      </c>
      <c r="F1608">
        <f t="shared" ca="1" si="102"/>
        <v>205</v>
      </c>
      <c r="G1608" t="str">
        <f t="shared" ca="1" si="103"/>
        <v>Phyto</v>
      </c>
      <c r="H1608" cm="1">
        <f t="array" aca="1" ref="H1608" ca="1">ROW(INDIRECT(A1608))</f>
        <v>236</v>
      </c>
      <c r="I1608" cm="1">
        <f t="array" aca="1" ref="I1608" ca="1">COLUMN(INDIRECT(A1608))</f>
        <v>16</v>
      </c>
      <c r="M1608" t="str" cm="1">
        <f t="array" aca="1" ref="M1608" ca="1">IF(AND(J1608="O",ISBLANK(INDIRECT(A1608))),"Valeur obligatoire non renseignée","")</f>
        <v/>
      </c>
    </row>
    <row r="1609" spans="1:13" x14ac:dyDescent="0.25">
      <c r="A1609" t="s">
        <v>4246</v>
      </c>
      <c r="B1609" cm="1">
        <f t="array" aca="1" ref="B1609" ca="1">INDIRECT(A1609)</f>
        <v>0</v>
      </c>
      <c r="C1609">
        <f t="shared" ca="1" si="100"/>
        <v>7</v>
      </c>
      <c r="D1609" t="str" cm="1">
        <f t="array" aca="1" ref="D1609" ca="1">CELL("nomfichier",INDIRECT(A1609))</f>
        <v>G:\SCPE\sdc\bq\6 - Mentions valorisantes\Certification environnementale\TEXTES_REGLEMENTATION_CE\Plans_contrôle et grilles\Grille audit niveau 3\Grille d'audit v1.11\[grille-audit-hvev4-v1.11-vf.xlsx]Phyto</v>
      </c>
      <c r="E1609">
        <f t="shared" ca="1" si="101"/>
        <v>200</v>
      </c>
      <c r="F1609">
        <f t="shared" ca="1" si="102"/>
        <v>205</v>
      </c>
      <c r="G1609" t="str">
        <f t="shared" ca="1" si="103"/>
        <v>Phyto</v>
      </c>
      <c r="H1609" cm="1">
        <f t="array" aca="1" ref="H1609" ca="1">ROW(INDIRECT(A1609))</f>
        <v>237</v>
      </c>
      <c r="I1609" cm="1">
        <f t="array" aca="1" ref="I1609" ca="1">COLUMN(INDIRECT(A1609))</f>
        <v>14</v>
      </c>
      <c r="M1609" t="str" cm="1">
        <f t="array" aca="1" ref="M1609" ca="1">IF(AND(J1609="O",ISBLANK(INDIRECT(A1609))),"Valeur obligatoire non renseignée","")</f>
        <v/>
      </c>
    </row>
    <row r="1610" spans="1:13" x14ac:dyDescent="0.25">
      <c r="A1610" t="s">
        <v>4248</v>
      </c>
      <c r="B1610" cm="1">
        <f t="array" aca="1" ref="B1610" ca="1">INDIRECT(A1610)</f>
        <v>0</v>
      </c>
      <c r="C1610">
        <f t="shared" ca="1" si="100"/>
        <v>7</v>
      </c>
      <c r="D1610" t="str" cm="1">
        <f t="array" aca="1" ref="D1610" ca="1">CELL("nomfichier",INDIRECT(A1610))</f>
        <v>G:\SCPE\sdc\bq\6 - Mentions valorisantes\Certification environnementale\TEXTES_REGLEMENTATION_CE\Plans_contrôle et grilles\Grille audit niveau 3\Grille d'audit v1.11\[grille-audit-hvev4-v1.11-vf.xlsx]Phyto</v>
      </c>
      <c r="E1610">
        <f t="shared" ca="1" si="101"/>
        <v>200</v>
      </c>
      <c r="F1610">
        <f t="shared" ca="1" si="102"/>
        <v>205</v>
      </c>
      <c r="G1610" t="str">
        <f t="shared" ca="1" si="103"/>
        <v>Phyto</v>
      </c>
      <c r="H1610" cm="1">
        <f t="array" aca="1" ref="H1610" ca="1">ROW(INDIRECT(A1610))</f>
        <v>237</v>
      </c>
      <c r="I1610" cm="1">
        <f t="array" aca="1" ref="I1610" ca="1">COLUMN(INDIRECT(A1610))</f>
        <v>16</v>
      </c>
      <c r="M1610" t="str" cm="1">
        <f t="array" aca="1" ref="M1610" ca="1">IF(AND(J1610="O",ISBLANK(INDIRECT(A1610))),"Valeur obligatoire non renseignée","")</f>
        <v/>
      </c>
    </row>
    <row r="1611" spans="1:13" x14ac:dyDescent="0.25">
      <c r="A1611" t="s">
        <v>4522</v>
      </c>
      <c r="B1611" cm="1">
        <f t="array" aca="1" ref="B1611" ca="1">INDIRECT(A1611)</f>
        <v>0</v>
      </c>
      <c r="C1611">
        <f t="shared" ca="1" si="100"/>
        <v>7</v>
      </c>
      <c r="D1611" t="str" cm="1">
        <f t="array" aca="1" ref="D1611" ca="1">CELL("nomfichier",INDIRECT(A1611))</f>
        <v>G:\SCPE\sdc\bq\6 - Mentions valorisantes\Certification environnementale\TEXTES_REGLEMENTATION_CE\Plans_contrôle et grilles\Grille audit niveau 3\Grille d'audit v1.11\[grille-audit-hvev4-v1.11-vf.xlsx]Phyto</v>
      </c>
      <c r="E1611">
        <f t="shared" ca="1" si="101"/>
        <v>200</v>
      </c>
      <c r="F1611">
        <f t="shared" ca="1" si="102"/>
        <v>205</v>
      </c>
      <c r="G1611" t="str">
        <f t="shared" ca="1" si="103"/>
        <v>Phyto</v>
      </c>
      <c r="H1611" cm="1">
        <f t="array" aca="1" ref="H1611" ca="1">ROW(INDIRECT(A1611))</f>
        <v>239</v>
      </c>
      <c r="I1611" cm="1">
        <f t="array" aca="1" ref="I1611" ca="1">COLUMN(INDIRECT(A1611))</f>
        <v>16</v>
      </c>
      <c r="M1611" t="str" cm="1">
        <f t="array" aca="1" ref="M1611" ca="1">IF(AND(J1611="O",ISBLANK(INDIRECT(A1611))),"Valeur obligatoire non renseignée","")</f>
        <v/>
      </c>
    </row>
    <row r="1612" spans="1:13" x14ac:dyDescent="0.25">
      <c r="A1612" t="s">
        <v>4337</v>
      </c>
      <c r="B1612" cm="1">
        <f t="array" aca="1" ref="B1612" ca="1">INDIRECT(A1612)</f>
        <v>6</v>
      </c>
      <c r="C1612">
        <f t="shared" ca="1" si="100"/>
        <v>7</v>
      </c>
      <c r="D1612" t="str" cm="1">
        <f t="array" aca="1" ref="D1612" ca="1">CELL("nomfichier",INDIRECT(A1612))</f>
        <v>G:\SCPE\sdc\bq\6 - Mentions valorisantes\Certification environnementale\TEXTES_REGLEMENTATION_CE\Plans_contrôle et grilles\Grille audit niveau 3\Grille d'audit v1.11\[grille-audit-hvev4-v1.11-vf.xlsx]Phyto</v>
      </c>
      <c r="E1612">
        <f t="shared" ca="1" si="101"/>
        <v>200</v>
      </c>
      <c r="F1612">
        <f t="shared" ca="1" si="102"/>
        <v>205</v>
      </c>
      <c r="G1612" t="str">
        <f t="shared" ca="1" si="103"/>
        <v>Phyto</v>
      </c>
      <c r="H1612" cm="1">
        <f t="array" aca="1" ref="H1612" ca="1">ROW(INDIRECT(A1612))</f>
        <v>239</v>
      </c>
      <c r="I1612" cm="1">
        <f t="array" aca="1" ref="I1612" ca="1">COLUMN(INDIRECT(A1612))</f>
        <v>23</v>
      </c>
      <c r="M1612" t="str" cm="1">
        <f t="array" aca="1" ref="M1612" ca="1">IF(AND(J1612="O",ISBLANK(INDIRECT(A1612))),"Valeur obligatoire non renseignée","")</f>
        <v/>
      </c>
    </row>
    <row r="1613" spans="1:13" x14ac:dyDescent="0.25">
      <c r="A1613" t="s">
        <v>4367</v>
      </c>
      <c r="B1613" cm="1">
        <f t="array" aca="1" ref="B1613" ca="1">INDIRECT(A1613)</f>
        <v>0</v>
      </c>
      <c r="C1613">
        <f t="shared" ca="1" si="100"/>
        <v>7</v>
      </c>
      <c r="D1613" t="str" cm="1">
        <f t="array" aca="1" ref="D1613" ca="1">CELL("nomfichier",INDIRECT(A1613))</f>
        <v>G:\SCPE\sdc\bq\6 - Mentions valorisantes\Certification environnementale\TEXTES_REGLEMENTATION_CE\Plans_contrôle et grilles\Grille audit niveau 3\Grille d'audit v1.11\[grille-audit-hvev4-v1.11-vf.xlsx]Phyto</v>
      </c>
      <c r="E1613">
        <f t="shared" ca="1" si="101"/>
        <v>200</v>
      </c>
      <c r="F1613">
        <f t="shared" ca="1" si="102"/>
        <v>205</v>
      </c>
      <c r="G1613" t="str">
        <f t="shared" ca="1" si="103"/>
        <v>Phyto</v>
      </c>
      <c r="H1613" cm="1">
        <f t="array" aca="1" ref="H1613" ca="1">ROW(INDIRECT(A1613))</f>
        <v>250</v>
      </c>
      <c r="I1613" cm="1">
        <f t="array" aca="1" ref="I1613" ca="1">COLUMN(INDIRECT(A1613))</f>
        <v>10</v>
      </c>
      <c r="M1613" t="str" cm="1">
        <f t="array" aca="1" ref="M1613" ca="1">IF(AND(J1613="O",ISBLANK(INDIRECT(A1613))),"Valeur obligatoire non renseignée","")</f>
        <v/>
      </c>
    </row>
    <row r="1614" spans="1:13" x14ac:dyDescent="0.25">
      <c r="A1614" t="s">
        <v>4324</v>
      </c>
      <c r="B1614" cm="1">
        <f t="array" aca="1" ref="B1614" ca="1">INDIRECT(A1614)</f>
        <v>0</v>
      </c>
      <c r="C1614">
        <f t="shared" ca="1" si="100"/>
        <v>7</v>
      </c>
      <c r="D1614" t="str" cm="1">
        <f t="array" aca="1" ref="D1614" ca="1">CELL("nomfichier",INDIRECT(A1614))</f>
        <v>G:\SCPE\sdc\bq\6 - Mentions valorisantes\Certification environnementale\TEXTES_REGLEMENTATION_CE\Plans_contrôle et grilles\Grille audit niveau 3\Grille d'audit v1.11\[grille-audit-hvev4-v1.11-vf.xlsx]Phyto</v>
      </c>
      <c r="E1614">
        <f t="shared" ca="1" si="101"/>
        <v>200</v>
      </c>
      <c r="F1614">
        <f t="shared" ca="1" si="102"/>
        <v>205</v>
      </c>
      <c r="G1614" t="str">
        <f t="shared" ca="1" si="103"/>
        <v>Phyto</v>
      </c>
      <c r="H1614" cm="1">
        <f t="array" aca="1" ref="H1614" ca="1">ROW(INDIRECT(A1614))</f>
        <v>254</v>
      </c>
      <c r="I1614" cm="1">
        <f t="array" aca="1" ref="I1614" ca="1">COLUMN(INDIRECT(A1614))</f>
        <v>3</v>
      </c>
      <c r="M1614" t="str" cm="1">
        <f t="array" aca="1" ref="M1614" ca="1">IF(AND(J1614="O",ISBLANK(INDIRECT(A1614))),"Valeur obligatoire non renseignée","")</f>
        <v/>
      </c>
    </row>
    <row r="1615" spans="1:13" x14ac:dyDescent="0.25">
      <c r="A1615" t="s">
        <v>4431</v>
      </c>
      <c r="B1615" cm="1">
        <f t="array" aca="1" ref="B1615" ca="1">INDIRECT(A1615)</f>
        <v>0</v>
      </c>
      <c r="C1615">
        <f t="shared" ca="1" si="100"/>
        <v>7</v>
      </c>
      <c r="D1615" t="str" cm="1">
        <f t="array" aca="1" ref="D1615" ca="1">CELL("nomfichier",INDIRECT(A1615))</f>
        <v>G:\SCPE\sdc\bq\6 - Mentions valorisantes\Certification environnementale\TEXTES_REGLEMENTATION_CE\Plans_contrôle et grilles\Grille audit niveau 3\Grille d'audit v1.11\[grille-audit-hvev4-v1.11-vf.xlsx]Phyto</v>
      </c>
      <c r="E1615">
        <f t="shared" ca="1" si="101"/>
        <v>200</v>
      </c>
      <c r="F1615">
        <f t="shared" ca="1" si="102"/>
        <v>205</v>
      </c>
      <c r="G1615" t="str">
        <f t="shared" ca="1" si="103"/>
        <v>Phyto</v>
      </c>
      <c r="H1615" cm="1">
        <f t="array" aca="1" ref="H1615" ca="1">ROW(INDIRECT(A1615))</f>
        <v>263</v>
      </c>
      <c r="I1615" cm="1">
        <f t="array" aca="1" ref="I1615" ca="1">COLUMN(INDIRECT(A1615))</f>
        <v>4</v>
      </c>
      <c r="M1615" t="str" cm="1">
        <f t="array" aca="1" ref="M1615" ca="1">IF(AND(J1615="O",ISBLANK(INDIRECT(A1615))),"Valeur obligatoire non renseignée","")</f>
        <v/>
      </c>
    </row>
    <row r="1616" spans="1:13" x14ac:dyDescent="0.25">
      <c r="A1616" t="s">
        <v>4335</v>
      </c>
      <c r="B1616" cm="1">
        <f t="array" aca="1" ref="B1616" ca="1">INDIRECT(A1616)</f>
        <v>2</v>
      </c>
      <c r="C1616">
        <f t="shared" ca="1" si="100"/>
        <v>7</v>
      </c>
      <c r="D1616" t="str" cm="1">
        <f t="array" aca="1" ref="D1616" ca="1">CELL("nomfichier",INDIRECT(A1616))</f>
        <v>G:\SCPE\sdc\bq\6 - Mentions valorisantes\Certification environnementale\TEXTES_REGLEMENTATION_CE\Plans_contrôle et grilles\Grille audit niveau 3\Grille d'audit v1.11\[grille-audit-hvev4-v1.11-vf.xlsx]Phyto</v>
      </c>
      <c r="E1616">
        <f t="shared" ca="1" si="101"/>
        <v>200</v>
      </c>
      <c r="F1616">
        <f t="shared" ca="1" si="102"/>
        <v>205</v>
      </c>
      <c r="G1616" t="str">
        <f t="shared" ca="1" si="103"/>
        <v>Phyto</v>
      </c>
      <c r="H1616" cm="1">
        <f t="array" aca="1" ref="H1616" ca="1">ROW(INDIRECT(A1616))</f>
        <v>263</v>
      </c>
      <c r="I1616" cm="1">
        <f t="array" aca="1" ref="I1616" ca="1">COLUMN(INDIRECT(A1616))</f>
        <v>23</v>
      </c>
      <c r="M1616" t="str" cm="1">
        <f t="array" aca="1" ref="M1616" ca="1">IF(AND(J1616="O",ISBLANK(INDIRECT(A1616))),"Valeur obligatoire non renseignée","")</f>
        <v/>
      </c>
    </row>
    <row r="1617" spans="1:13" x14ac:dyDescent="0.25">
      <c r="A1617" t="s">
        <v>4289</v>
      </c>
      <c r="B1617" cm="1">
        <f t="array" aca="1" ref="B1617" ca="1">INDIRECT(A1617)</f>
        <v>0</v>
      </c>
      <c r="C1617">
        <f t="shared" ca="1" si="100"/>
        <v>7</v>
      </c>
      <c r="D1617" t="str" cm="1">
        <f t="array" aca="1" ref="D1617" ca="1">CELL("nomfichier",INDIRECT(A1617))</f>
        <v>G:\SCPE\sdc\bq\6 - Mentions valorisantes\Certification environnementale\TEXTES_REGLEMENTATION_CE\Plans_contrôle et grilles\Grille audit niveau 3\Grille d'audit v1.11\[grille-audit-hvev4-v1.11-vf.xlsx]Phyto</v>
      </c>
      <c r="E1617">
        <f t="shared" ca="1" si="101"/>
        <v>200</v>
      </c>
      <c r="F1617">
        <f t="shared" ca="1" si="102"/>
        <v>205</v>
      </c>
      <c r="G1617" t="str">
        <f t="shared" ca="1" si="103"/>
        <v>Phyto</v>
      </c>
      <c r="H1617" cm="1">
        <f t="array" aca="1" ref="H1617" ca="1">ROW(INDIRECT(A1617))</f>
        <v>272</v>
      </c>
      <c r="I1617" cm="1">
        <f t="array" aca="1" ref="I1617" ca="1">COLUMN(INDIRECT(A1617))</f>
        <v>10</v>
      </c>
      <c r="M1617" t="str" cm="1">
        <f t="array" aca="1" ref="M1617" ca="1">IF(AND(J1617="O",ISBLANK(INDIRECT(A1617))),"Valeur obligatoire non renseignée","")</f>
        <v/>
      </c>
    </row>
    <row r="1618" spans="1:13" x14ac:dyDescent="0.25">
      <c r="A1618" t="s">
        <v>4428</v>
      </c>
      <c r="B1618" cm="1">
        <f t="array" aca="1" ref="B1618" ca="1">INDIRECT(A1618)</f>
        <v>0</v>
      </c>
      <c r="C1618">
        <f t="shared" ca="1" si="100"/>
        <v>7</v>
      </c>
      <c r="D1618" t="str" cm="1">
        <f t="array" aca="1" ref="D1618" ca="1">CELL("nomfichier",INDIRECT(A1618))</f>
        <v>G:\SCPE\sdc\bq\6 - Mentions valorisantes\Certification environnementale\TEXTES_REGLEMENTATION_CE\Plans_contrôle et grilles\Grille audit niveau 3\Grille d'audit v1.11\[grille-audit-hvev4-v1.11-vf.xlsx]Phyto</v>
      </c>
      <c r="E1618">
        <f t="shared" ca="1" si="101"/>
        <v>200</v>
      </c>
      <c r="F1618">
        <f t="shared" ca="1" si="102"/>
        <v>205</v>
      </c>
      <c r="G1618" t="str">
        <f t="shared" ca="1" si="103"/>
        <v>Phyto</v>
      </c>
      <c r="H1618" cm="1">
        <f t="array" aca="1" ref="H1618" ca="1">ROW(INDIRECT(A1618))</f>
        <v>272</v>
      </c>
      <c r="I1618" cm="1">
        <f t="array" aca="1" ref="I1618" ca="1">COLUMN(INDIRECT(A1618))</f>
        <v>12</v>
      </c>
      <c r="M1618" t="str" cm="1">
        <f t="array" aca="1" ref="M1618" ca="1">IF(AND(J1618="O",ISBLANK(INDIRECT(A1618))),"Valeur obligatoire non renseignée","")</f>
        <v/>
      </c>
    </row>
    <row r="1619" spans="1:13" x14ac:dyDescent="0.25">
      <c r="A1619" t="s">
        <v>4254</v>
      </c>
      <c r="B1619" cm="1">
        <f t="array" aca="1" ref="B1619" ca="1">INDIRECT(A1619)</f>
        <v>0</v>
      </c>
      <c r="C1619">
        <f t="shared" ca="1" si="100"/>
        <v>7</v>
      </c>
      <c r="D1619" t="str" cm="1">
        <f t="array" aca="1" ref="D1619" ca="1">CELL("nomfichier",INDIRECT(A1619))</f>
        <v>G:\SCPE\sdc\bq\6 - Mentions valorisantes\Certification environnementale\TEXTES_REGLEMENTATION_CE\Plans_contrôle et grilles\Grille audit niveau 3\Grille d'audit v1.11\[grille-audit-hvev4-v1.11-vf.xlsx]Phyto</v>
      </c>
      <c r="E1619">
        <f t="shared" ca="1" si="101"/>
        <v>200</v>
      </c>
      <c r="F1619">
        <f t="shared" ca="1" si="102"/>
        <v>205</v>
      </c>
      <c r="G1619" t="str">
        <f t="shared" ca="1" si="103"/>
        <v>Phyto</v>
      </c>
      <c r="H1619" cm="1">
        <f t="array" aca="1" ref="H1619" ca="1">ROW(INDIRECT(A1619))</f>
        <v>276</v>
      </c>
      <c r="I1619" cm="1">
        <f t="array" aca="1" ref="I1619" ca="1">COLUMN(INDIRECT(A1619))</f>
        <v>10</v>
      </c>
      <c r="M1619" t="str" cm="1">
        <f t="array" aca="1" ref="M1619" ca="1">IF(AND(J1619="O",ISBLANK(INDIRECT(A1619))),"Valeur obligatoire non renseignée","")</f>
        <v/>
      </c>
    </row>
    <row r="1620" spans="1:13" x14ac:dyDescent="0.25">
      <c r="A1620" t="s">
        <v>4255</v>
      </c>
      <c r="B1620" cm="1">
        <f t="array" aca="1" ref="B1620" ca="1">INDIRECT(A1620)</f>
        <v>0</v>
      </c>
      <c r="C1620">
        <f t="shared" ca="1" si="100"/>
        <v>7</v>
      </c>
      <c r="D1620" t="str" cm="1">
        <f t="array" aca="1" ref="D1620" ca="1">CELL("nomfichier",INDIRECT(A1620))</f>
        <v>G:\SCPE\sdc\bq\6 - Mentions valorisantes\Certification environnementale\TEXTES_REGLEMENTATION_CE\Plans_contrôle et grilles\Grille audit niveau 3\Grille d'audit v1.11\[grille-audit-hvev4-v1.11-vf.xlsx]Phyto</v>
      </c>
      <c r="E1620">
        <f t="shared" ca="1" si="101"/>
        <v>200</v>
      </c>
      <c r="F1620">
        <f t="shared" ca="1" si="102"/>
        <v>205</v>
      </c>
      <c r="G1620" t="str">
        <f t="shared" ca="1" si="103"/>
        <v>Phyto</v>
      </c>
      <c r="H1620" cm="1">
        <f t="array" aca="1" ref="H1620" ca="1">ROW(INDIRECT(A1620))</f>
        <v>277</v>
      </c>
      <c r="I1620" cm="1">
        <f t="array" aca="1" ref="I1620" ca="1">COLUMN(INDIRECT(A1620))</f>
        <v>10</v>
      </c>
      <c r="M1620" t="str" cm="1">
        <f t="array" aca="1" ref="M1620" ca="1">IF(AND(J1620="O",ISBLANK(INDIRECT(A1620))),"Valeur obligatoire non renseignée","")</f>
        <v/>
      </c>
    </row>
    <row r="1621" spans="1:13" x14ac:dyDescent="0.25">
      <c r="A1621" t="s">
        <v>4425</v>
      </c>
      <c r="B1621" cm="1">
        <f t="array" aca="1" ref="B1621" ca="1">INDIRECT(A1621)</f>
        <v>0</v>
      </c>
      <c r="C1621">
        <f t="shared" ca="1" si="100"/>
        <v>7</v>
      </c>
      <c r="D1621" t="str" cm="1">
        <f t="array" aca="1" ref="D1621" ca="1">CELL("nomfichier",INDIRECT(A1621))</f>
        <v>G:\SCPE\sdc\bq\6 - Mentions valorisantes\Certification environnementale\TEXTES_REGLEMENTATION_CE\Plans_contrôle et grilles\Grille audit niveau 3\Grille d'audit v1.11\[grille-audit-hvev4-v1.11-vf.xlsx]Phyto</v>
      </c>
      <c r="E1621">
        <f t="shared" ca="1" si="101"/>
        <v>200</v>
      </c>
      <c r="F1621">
        <f t="shared" ca="1" si="102"/>
        <v>205</v>
      </c>
      <c r="G1621" t="str">
        <f t="shared" ca="1" si="103"/>
        <v>Phyto</v>
      </c>
      <c r="H1621" cm="1">
        <f t="array" aca="1" ref="H1621" ca="1">ROW(INDIRECT(A1621))</f>
        <v>277</v>
      </c>
      <c r="I1621" cm="1">
        <f t="array" aca="1" ref="I1621" ca="1">COLUMN(INDIRECT(A1621))</f>
        <v>12</v>
      </c>
      <c r="M1621" t="str" cm="1">
        <f t="array" aca="1" ref="M1621" ca="1">IF(AND(J1621="O",ISBLANK(INDIRECT(A1621))),"Valeur obligatoire non renseignée","")</f>
        <v/>
      </c>
    </row>
    <row r="1622" spans="1:13" x14ac:dyDescent="0.25">
      <c r="A1622" t="s">
        <v>4323</v>
      </c>
      <c r="B1622" cm="1">
        <f t="array" aca="1" ref="B1622" ca="1">INDIRECT(A1622)</f>
        <v>0</v>
      </c>
      <c r="C1622">
        <f t="shared" ca="1" si="100"/>
        <v>7</v>
      </c>
      <c r="D1622" t="str" cm="1">
        <f t="array" aca="1" ref="D1622" ca="1">CELL("nomfichier",INDIRECT(A1622))</f>
        <v>G:\SCPE\sdc\bq\6 - Mentions valorisantes\Certification environnementale\TEXTES_REGLEMENTATION_CE\Plans_contrôle et grilles\Grille audit niveau 3\Grille d'audit v1.11\[grille-audit-hvev4-v1.11-vf.xlsx]Phyto</v>
      </c>
      <c r="E1622">
        <f t="shared" ca="1" si="101"/>
        <v>200</v>
      </c>
      <c r="F1622">
        <f t="shared" ca="1" si="102"/>
        <v>205</v>
      </c>
      <c r="G1622" t="str">
        <f t="shared" ca="1" si="103"/>
        <v>Phyto</v>
      </c>
      <c r="H1622" cm="1">
        <f t="array" aca="1" ref="H1622" ca="1">ROW(INDIRECT(A1622))</f>
        <v>280</v>
      </c>
      <c r="I1622" cm="1">
        <f t="array" aca="1" ref="I1622" ca="1">COLUMN(INDIRECT(A1622))</f>
        <v>10</v>
      </c>
      <c r="M1622" t="str" cm="1">
        <f t="array" aca="1" ref="M1622" ca="1">IF(AND(J1622="O",ISBLANK(INDIRECT(A1622))),"Valeur obligatoire non renseignée","")</f>
        <v/>
      </c>
    </row>
    <row r="1623" spans="1:13" x14ac:dyDescent="0.25">
      <c r="A1623" t="s">
        <v>4321</v>
      </c>
      <c r="B1623" cm="1">
        <f t="array" aca="1" ref="B1623" ca="1">INDIRECT(A1623)</f>
        <v>0</v>
      </c>
      <c r="C1623">
        <f t="shared" ca="1" si="100"/>
        <v>7</v>
      </c>
      <c r="D1623" t="str" cm="1">
        <f t="array" aca="1" ref="D1623" ca="1">CELL("nomfichier",INDIRECT(A1623))</f>
        <v>G:\SCPE\sdc\bq\6 - Mentions valorisantes\Certification environnementale\TEXTES_REGLEMENTATION_CE\Plans_contrôle et grilles\Grille audit niveau 3\Grille d'audit v1.11\[grille-audit-hvev4-v1.11-vf.xlsx]Phyto</v>
      </c>
      <c r="E1623">
        <f t="shared" ca="1" si="101"/>
        <v>200</v>
      </c>
      <c r="F1623">
        <f t="shared" ca="1" si="102"/>
        <v>205</v>
      </c>
      <c r="G1623" t="str">
        <f t="shared" ca="1" si="103"/>
        <v>Phyto</v>
      </c>
      <c r="H1623" cm="1">
        <f t="array" aca="1" ref="H1623" ca="1">ROW(INDIRECT(A1623))</f>
        <v>281</v>
      </c>
      <c r="I1623" cm="1">
        <f t="array" aca="1" ref="I1623" ca="1">COLUMN(INDIRECT(A1623))</f>
        <v>10</v>
      </c>
      <c r="M1623" t="str" cm="1">
        <f t="array" aca="1" ref="M1623" ca="1">IF(AND(J1623="O",ISBLANK(INDIRECT(A1623))),"Valeur obligatoire non renseignée","")</f>
        <v/>
      </c>
    </row>
    <row r="1624" spans="1:13" x14ac:dyDescent="0.25">
      <c r="A1624" t="s">
        <v>4322</v>
      </c>
      <c r="B1624" cm="1">
        <f t="array" aca="1" ref="B1624" ca="1">INDIRECT(A1624)</f>
        <v>0</v>
      </c>
      <c r="C1624">
        <f t="shared" ca="1" si="100"/>
        <v>7</v>
      </c>
      <c r="D1624" t="str" cm="1">
        <f t="array" aca="1" ref="D1624" ca="1">CELL("nomfichier",INDIRECT(A1624))</f>
        <v>G:\SCPE\sdc\bq\6 - Mentions valorisantes\Certification environnementale\TEXTES_REGLEMENTATION_CE\Plans_contrôle et grilles\Grille audit niveau 3\Grille d'audit v1.11\[grille-audit-hvev4-v1.11-vf.xlsx]Phyto</v>
      </c>
      <c r="E1624">
        <f t="shared" ca="1" si="101"/>
        <v>200</v>
      </c>
      <c r="F1624">
        <f t="shared" ca="1" si="102"/>
        <v>205</v>
      </c>
      <c r="G1624" t="str">
        <f t="shared" ca="1" si="103"/>
        <v>Phyto</v>
      </c>
      <c r="H1624" cm="1">
        <f t="array" aca="1" ref="H1624" ca="1">ROW(INDIRECT(A1624))</f>
        <v>282</v>
      </c>
      <c r="I1624" cm="1">
        <f t="array" aca="1" ref="I1624" ca="1">COLUMN(INDIRECT(A1624))</f>
        <v>10</v>
      </c>
      <c r="M1624" t="str" cm="1">
        <f t="array" aca="1" ref="M1624" ca="1">IF(AND(J1624="O",ISBLANK(INDIRECT(A1624))),"Valeur obligatoire non renseignée","")</f>
        <v/>
      </c>
    </row>
    <row r="1625" spans="1:13" x14ac:dyDescent="0.25">
      <c r="A1625" t="s">
        <v>4427</v>
      </c>
      <c r="B1625" cm="1">
        <f t="array" aca="1" ref="B1625" ca="1">INDIRECT(A1625)</f>
        <v>0</v>
      </c>
      <c r="C1625">
        <f t="shared" ca="1" si="100"/>
        <v>7</v>
      </c>
      <c r="D1625" t="str" cm="1">
        <f t="array" aca="1" ref="D1625" ca="1">CELL("nomfichier",INDIRECT(A1625))</f>
        <v>G:\SCPE\sdc\bq\6 - Mentions valorisantes\Certification environnementale\TEXTES_REGLEMENTATION_CE\Plans_contrôle et grilles\Grille audit niveau 3\Grille d'audit v1.11\[grille-audit-hvev4-v1.11-vf.xlsx]Phyto</v>
      </c>
      <c r="E1625">
        <f t="shared" ca="1" si="101"/>
        <v>200</v>
      </c>
      <c r="F1625">
        <f t="shared" ca="1" si="102"/>
        <v>205</v>
      </c>
      <c r="G1625" t="str">
        <f t="shared" ca="1" si="103"/>
        <v>Phyto</v>
      </c>
      <c r="H1625" cm="1">
        <f t="array" aca="1" ref="H1625" ca="1">ROW(INDIRECT(A1625))</f>
        <v>282</v>
      </c>
      <c r="I1625" cm="1">
        <f t="array" aca="1" ref="I1625" ca="1">COLUMN(INDIRECT(A1625))</f>
        <v>12</v>
      </c>
      <c r="M1625" t="str" cm="1">
        <f t="array" aca="1" ref="M1625" ca="1">IF(AND(J1625="O",ISBLANK(INDIRECT(A1625))),"Valeur obligatoire non renseignée","")</f>
        <v/>
      </c>
    </row>
    <row r="1626" spans="1:13" x14ac:dyDescent="0.25">
      <c r="A1626" t="s">
        <v>4286</v>
      </c>
      <c r="B1626" cm="1">
        <f t="array" aca="1" ref="B1626" ca="1">INDIRECT(A1626)</f>
        <v>0</v>
      </c>
      <c r="C1626">
        <f t="shared" ca="1" si="100"/>
        <v>7</v>
      </c>
      <c r="D1626" t="str" cm="1">
        <f t="array" aca="1" ref="D1626" ca="1">CELL("nomfichier",INDIRECT(A1626))</f>
        <v>G:\SCPE\sdc\bq\6 - Mentions valorisantes\Certification environnementale\TEXTES_REGLEMENTATION_CE\Plans_contrôle et grilles\Grille audit niveau 3\Grille d'audit v1.11\[grille-audit-hvev4-v1.11-vf.xlsx]Phyto</v>
      </c>
      <c r="E1626">
        <f t="shared" ca="1" si="101"/>
        <v>200</v>
      </c>
      <c r="F1626">
        <f t="shared" ca="1" si="102"/>
        <v>205</v>
      </c>
      <c r="G1626" t="str">
        <f t="shared" ca="1" si="103"/>
        <v>Phyto</v>
      </c>
      <c r="H1626" cm="1">
        <f t="array" aca="1" ref="H1626" ca="1">ROW(INDIRECT(A1626))</f>
        <v>286</v>
      </c>
      <c r="I1626" cm="1">
        <f t="array" aca="1" ref="I1626" ca="1">COLUMN(INDIRECT(A1626))</f>
        <v>10</v>
      </c>
      <c r="M1626" t="str" cm="1">
        <f t="array" aca="1" ref="M1626" ca="1">IF(AND(J1626="O",ISBLANK(INDIRECT(A1626))),"Valeur obligatoire non renseignée","")</f>
        <v/>
      </c>
    </row>
    <row r="1627" spans="1:13" x14ac:dyDescent="0.25">
      <c r="A1627" t="s">
        <v>4287</v>
      </c>
      <c r="B1627" cm="1">
        <f t="array" aca="1" ref="B1627" ca="1">INDIRECT(A1627)</f>
        <v>0</v>
      </c>
      <c r="C1627">
        <f t="shared" ca="1" si="100"/>
        <v>7</v>
      </c>
      <c r="D1627" t="str" cm="1">
        <f t="array" aca="1" ref="D1627" ca="1">CELL("nomfichier",INDIRECT(A1627))</f>
        <v>G:\SCPE\sdc\bq\6 - Mentions valorisantes\Certification environnementale\TEXTES_REGLEMENTATION_CE\Plans_contrôle et grilles\Grille audit niveau 3\Grille d'audit v1.11\[grille-audit-hvev4-v1.11-vf.xlsx]Phyto</v>
      </c>
      <c r="E1627">
        <f t="shared" ca="1" si="101"/>
        <v>200</v>
      </c>
      <c r="F1627">
        <f t="shared" ca="1" si="102"/>
        <v>205</v>
      </c>
      <c r="G1627" t="str">
        <f t="shared" ca="1" si="103"/>
        <v>Phyto</v>
      </c>
      <c r="H1627" cm="1">
        <f t="array" aca="1" ref="H1627" ca="1">ROW(INDIRECT(A1627))</f>
        <v>287</v>
      </c>
      <c r="I1627" cm="1">
        <f t="array" aca="1" ref="I1627" ca="1">COLUMN(INDIRECT(A1627))</f>
        <v>10</v>
      </c>
      <c r="M1627" t="str" cm="1">
        <f t="array" aca="1" ref="M1627" ca="1">IF(AND(J1627="O",ISBLANK(INDIRECT(A1627))),"Valeur obligatoire non renseignée","")</f>
        <v/>
      </c>
    </row>
    <row r="1628" spans="1:13" x14ac:dyDescent="0.25">
      <c r="A1628" t="s">
        <v>4423</v>
      </c>
      <c r="B1628" cm="1">
        <f t="array" aca="1" ref="B1628" ca="1">INDIRECT(A1628)</f>
        <v>0</v>
      </c>
      <c r="C1628">
        <f t="shared" ca="1" si="100"/>
        <v>7</v>
      </c>
      <c r="D1628" t="str" cm="1">
        <f t="array" aca="1" ref="D1628" ca="1">CELL("nomfichier",INDIRECT(A1628))</f>
        <v>G:\SCPE\sdc\bq\6 - Mentions valorisantes\Certification environnementale\TEXTES_REGLEMENTATION_CE\Plans_contrôle et grilles\Grille audit niveau 3\Grille d'audit v1.11\[grille-audit-hvev4-v1.11-vf.xlsx]Phyto</v>
      </c>
      <c r="E1628">
        <f t="shared" ca="1" si="101"/>
        <v>200</v>
      </c>
      <c r="F1628">
        <f t="shared" ca="1" si="102"/>
        <v>205</v>
      </c>
      <c r="G1628" t="str">
        <f t="shared" ca="1" si="103"/>
        <v>Phyto</v>
      </c>
      <c r="H1628" cm="1">
        <f t="array" aca="1" ref="H1628" ca="1">ROW(INDIRECT(A1628))</f>
        <v>287</v>
      </c>
      <c r="I1628" cm="1">
        <f t="array" aca="1" ref="I1628" ca="1">COLUMN(INDIRECT(A1628))</f>
        <v>12</v>
      </c>
      <c r="M1628" t="str" cm="1">
        <f t="array" aca="1" ref="M1628" ca="1">IF(AND(J1628="O",ISBLANK(INDIRECT(A1628))),"Valeur obligatoire non renseignée","")</f>
        <v/>
      </c>
    </row>
    <row r="1629" spans="1:13" x14ac:dyDescent="0.25">
      <c r="A1629" t="s">
        <v>4400</v>
      </c>
      <c r="B1629" cm="1">
        <f t="array" aca="1" ref="B1629" ca="1">INDIRECT(A1629)</f>
        <v>0</v>
      </c>
      <c r="C1629">
        <f t="shared" ca="1" si="100"/>
        <v>7</v>
      </c>
      <c r="D1629" t="str" cm="1">
        <f t="array" aca="1" ref="D1629" ca="1">CELL("nomfichier",INDIRECT(A1629))</f>
        <v>G:\SCPE\sdc\bq\6 - Mentions valorisantes\Certification environnementale\TEXTES_REGLEMENTATION_CE\Plans_contrôle et grilles\Grille audit niveau 3\Grille d'audit v1.11\[grille-audit-hvev4-v1.11-vf.xlsx]Phyto</v>
      </c>
      <c r="E1629">
        <f t="shared" ca="1" si="101"/>
        <v>200</v>
      </c>
      <c r="F1629">
        <f t="shared" ca="1" si="102"/>
        <v>205</v>
      </c>
      <c r="G1629" t="str">
        <f t="shared" ca="1" si="103"/>
        <v>Phyto</v>
      </c>
      <c r="H1629" cm="1">
        <f t="array" aca="1" ref="H1629" ca="1">ROW(INDIRECT(A1629))</f>
        <v>291</v>
      </c>
      <c r="I1629" cm="1">
        <f t="array" aca="1" ref="I1629" ca="1">COLUMN(INDIRECT(A1629))</f>
        <v>10</v>
      </c>
      <c r="M1629" t="str" cm="1">
        <f t="array" aca="1" ref="M1629" ca="1">IF(AND(J1629="O",ISBLANK(INDIRECT(A1629))),"Valeur obligatoire non renseignée","")</f>
        <v/>
      </c>
    </row>
    <row r="1630" spans="1:13" x14ac:dyDescent="0.25">
      <c r="A1630" t="s">
        <v>4438</v>
      </c>
      <c r="B1630" cm="1">
        <f t="array" aca="1" ref="B1630" ca="1">INDIRECT(A1630)</f>
        <v>0</v>
      </c>
      <c r="C1630">
        <f t="shared" ca="1" si="100"/>
        <v>7</v>
      </c>
      <c r="D1630" t="str" cm="1">
        <f t="array" aca="1" ref="D1630" ca="1">CELL("nomfichier",INDIRECT(A1630))</f>
        <v>G:\SCPE\sdc\bq\6 - Mentions valorisantes\Certification environnementale\TEXTES_REGLEMENTATION_CE\Plans_contrôle et grilles\Grille audit niveau 3\Grille d'audit v1.11\[grille-audit-hvev4-v1.11-vf.xlsx]Phyto</v>
      </c>
      <c r="E1630">
        <f t="shared" ca="1" si="101"/>
        <v>200</v>
      </c>
      <c r="F1630">
        <f t="shared" ca="1" si="102"/>
        <v>205</v>
      </c>
      <c r="G1630" t="str">
        <f t="shared" ca="1" si="103"/>
        <v>Phyto</v>
      </c>
      <c r="H1630" cm="1">
        <f t="array" aca="1" ref="H1630" ca="1">ROW(INDIRECT(A1630))</f>
        <v>291</v>
      </c>
      <c r="I1630" cm="1">
        <f t="array" aca="1" ref="I1630" ca="1">COLUMN(INDIRECT(A1630))</f>
        <v>12</v>
      </c>
      <c r="M1630" t="str" cm="1">
        <f t="array" aca="1" ref="M1630" ca="1">IF(AND(J1630="O",ISBLANK(INDIRECT(A1630))),"Valeur obligatoire non renseignée","")</f>
        <v/>
      </c>
    </row>
    <row r="1631" spans="1:13" x14ac:dyDescent="0.25">
      <c r="A1631" t="s">
        <v>4397</v>
      </c>
      <c r="B1631" cm="1">
        <f t="array" aca="1" ref="B1631" ca="1">INDIRECT(A1631)</f>
        <v>0</v>
      </c>
      <c r="C1631">
        <f t="shared" ca="1" si="100"/>
        <v>7</v>
      </c>
      <c r="D1631" t="str" cm="1">
        <f t="array" aca="1" ref="D1631" ca="1">CELL("nomfichier",INDIRECT(A1631))</f>
        <v>G:\SCPE\sdc\bq\6 - Mentions valorisantes\Certification environnementale\TEXTES_REGLEMENTATION_CE\Plans_contrôle et grilles\Grille audit niveau 3\Grille d'audit v1.11\[grille-audit-hvev4-v1.11-vf.xlsx]Phyto</v>
      </c>
      <c r="E1631">
        <f t="shared" ca="1" si="101"/>
        <v>200</v>
      </c>
      <c r="F1631">
        <f t="shared" ca="1" si="102"/>
        <v>205</v>
      </c>
      <c r="G1631" t="str">
        <f t="shared" ca="1" si="103"/>
        <v>Phyto</v>
      </c>
      <c r="H1631" cm="1">
        <f t="array" aca="1" ref="H1631" ca="1">ROW(INDIRECT(A1631))</f>
        <v>292</v>
      </c>
      <c r="I1631" cm="1">
        <f t="array" aca="1" ref="I1631" ca="1">COLUMN(INDIRECT(A1631))</f>
        <v>10</v>
      </c>
      <c r="M1631" t="str" cm="1">
        <f t="array" aca="1" ref="M1631" ca="1">IF(AND(J1631="O",ISBLANK(INDIRECT(A1631))),"Valeur obligatoire non renseignée","")</f>
        <v/>
      </c>
    </row>
    <row r="1632" spans="1:13" x14ac:dyDescent="0.25">
      <c r="A1632" t="s">
        <v>4435</v>
      </c>
      <c r="B1632" cm="1">
        <f t="array" aca="1" ref="B1632" ca="1">INDIRECT(A1632)</f>
        <v>0</v>
      </c>
      <c r="C1632">
        <f t="shared" ca="1" si="100"/>
        <v>7</v>
      </c>
      <c r="D1632" t="str" cm="1">
        <f t="array" aca="1" ref="D1632" ca="1">CELL("nomfichier",INDIRECT(A1632))</f>
        <v>G:\SCPE\sdc\bq\6 - Mentions valorisantes\Certification environnementale\TEXTES_REGLEMENTATION_CE\Plans_contrôle et grilles\Grille audit niveau 3\Grille d'audit v1.11\[grille-audit-hvev4-v1.11-vf.xlsx]Phyto</v>
      </c>
      <c r="E1632">
        <f t="shared" ca="1" si="101"/>
        <v>200</v>
      </c>
      <c r="F1632">
        <f t="shared" ca="1" si="102"/>
        <v>205</v>
      </c>
      <c r="G1632" t="str">
        <f t="shared" ca="1" si="103"/>
        <v>Phyto</v>
      </c>
      <c r="H1632" cm="1">
        <f t="array" aca="1" ref="H1632" ca="1">ROW(INDIRECT(A1632))</f>
        <v>292</v>
      </c>
      <c r="I1632" cm="1">
        <f t="array" aca="1" ref="I1632" ca="1">COLUMN(INDIRECT(A1632))</f>
        <v>12</v>
      </c>
      <c r="M1632" t="str" cm="1">
        <f t="array" aca="1" ref="M1632" ca="1">IF(AND(J1632="O",ISBLANK(INDIRECT(A1632))),"Valeur obligatoire non renseignée","")</f>
        <v/>
      </c>
    </row>
    <row r="1633" spans="1:13" x14ac:dyDescent="0.25">
      <c r="A1633" t="s">
        <v>4399</v>
      </c>
      <c r="B1633" cm="1">
        <f t="array" aca="1" ref="B1633" ca="1">INDIRECT(A1633)</f>
        <v>0</v>
      </c>
      <c r="C1633">
        <f t="shared" ca="1" si="100"/>
        <v>7</v>
      </c>
      <c r="D1633" t="str" cm="1">
        <f t="array" aca="1" ref="D1633" ca="1">CELL("nomfichier",INDIRECT(A1633))</f>
        <v>G:\SCPE\sdc\bq\6 - Mentions valorisantes\Certification environnementale\TEXTES_REGLEMENTATION_CE\Plans_contrôle et grilles\Grille audit niveau 3\Grille d'audit v1.11\[grille-audit-hvev4-v1.11-vf.xlsx]Phyto</v>
      </c>
      <c r="E1633">
        <f t="shared" ca="1" si="101"/>
        <v>200</v>
      </c>
      <c r="F1633">
        <f t="shared" ca="1" si="102"/>
        <v>205</v>
      </c>
      <c r="G1633" t="str">
        <f t="shared" ca="1" si="103"/>
        <v>Phyto</v>
      </c>
      <c r="H1633" cm="1">
        <f t="array" aca="1" ref="H1633" ca="1">ROW(INDIRECT(A1633))</f>
        <v>293</v>
      </c>
      <c r="I1633" cm="1">
        <f t="array" aca="1" ref="I1633" ca="1">COLUMN(INDIRECT(A1633))</f>
        <v>10</v>
      </c>
      <c r="M1633" t="str" cm="1">
        <f t="array" aca="1" ref="M1633" ca="1">IF(AND(J1633="O",ISBLANK(INDIRECT(A1633))),"Valeur obligatoire non renseignée","")</f>
        <v/>
      </c>
    </row>
    <row r="1634" spans="1:13" x14ac:dyDescent="0.25">
      <c r="A1634" t="s">
        <v>4437</v>
      </c>
      <c r="B1634" cm="1">
        <f t="array" aca="1" ref="B1634" ca="1">INDIRECT(A1634)</f>
        <v>0</v>
      </c>
      <c r="C1634">
        <f t="shared" ca="1" si="100"/>
        <v>7</v>
      </c>
      <c r="D1634" t="str" cm="1">
        <f t="array" aca="1" ref="D1634" ca="1">CELL("nomfichier",INDIRECT(A1634))</f>
        <v>G:\SCPE\sdc\bq\6 - Mentions valorisantes\Certification environnementale\TEXTES_REGLEMENTATION_CE\Plans_contrôle et grilles\Grille audit niveau 3\Grille d'audit v1.11\[grille-audit-hvev4-v1.11-vf.xlsx]Phyto</v>
      </c>
      <c r="E1634">
        <f t="shared" ca="1" si="101"/>
        <v>200</v>
      </c>
      <c r="F1634">
        <f t="shared" ca="1" si="102"/>
        <v>205</v>
      </c>
      <c r="G1634" t="str">
        <f t="shared" ca="1" si="103"/>
        <v>Phyto</v>
      </c>
      <c r="H1634" cm="1">
        <f t="array" aca="1" ref="H1634" ca="1">ROW(INDIRECT(A1634))</f>
        <v>293</v>
      </c>
      <c r="I1634" cm="1">
        <f t="array" aca="1" ref="I1634" ca="1">COLUMN(INDIRECT(A1634))</f>
        <v>12</v>
      </c>
      <c r="M1634" t="str" cm="1">
        <f t="array" aca="1" ref="M1634" ca="1">IF(AND(J1634="O",ISBLANK(INDIRECT(A1634))),"Valeur obligatoire non renseignée","")</f>
        <v/>
      </c>
    </row>
    <row r="1635" spans="1:13" x14ac:dyDescent="0.25">
      <c r="A1635" t="s">
        <v>4398</v>
      </c>
      <c r="B1635" cm="1">
        <f t="array" aca="1" ref="B1635" ca="1">INDIRECT(A1635)</f>
        <v>0</v>
      </c>
      <c r="C1635">
        <f t="shared" ca="1" si="100"/>
        <v>7</v>
      </c>
      <c r="D1635" t="str" cm="1">
        <f t="array" aca="1" ref="D1635" ca="1">CELL("nomfichier",INDIRECT(A1635))</f>
        <v>G:\SCPE\sdc\bq\6 - Mentions valorisantes\Certification environnementale\TEXTES_REGLEMENTATION_CE\Plans_contrôle et grilles\Grille audit niveau 3\Grille d'audit v1.11\[grille-audit-hvev4-v1.11-vf.xlsx]Phyto</v>
      </c>
      <c r="E1635">
        <f t="shared" ca="1" si="101"/>
        <v>200</v>
      </c>
      <c r="F1635">
        <f t="shared" ca="1" si="102"/>
        <v>205</v>
      </c>
      <c r="G1635" t="str">
        <f t="shared" ca="1" si="103"/>
        <v>Phyto</v>
      </c>
      <c r="H1635" cm="1">
        <f t="array" aca="1" ref="H1635" ca="1">ROW(INDIRECT(A1635))</f>
        <v>294</v>
      </c>
      <c r="I1635" cm="1">
        <f t="array" aca="1" ref="I1635" ca="1">COLUMN(INDIRECT(A1635))</f>
        <v>10</v>
      </c>
      <c r="M1635" t="str" cm="1">
        <f t="array" aca="1" ref="M1635" ca="1">IF(AND(J1635="O",ISBLANK(INDIRECT(A1635))),"Valeur obligatoire non renseignée","")</f>
        <v/>
      </c>
    </row>
    <row r="1636" spans="1:13" x14ac:dyDescent="0.25">
      <c r="A1636" t="s">
        <v>4436</v>
      </c>
      <c r="B1636" cm="1">
        <f t="array" aca="1" ref="B1636" ca="1">INDIRECT(A1636)</f>
        <v>0</v>
      </c>
      <c r="C1636">
        <f t="shared" ca="1" si="100"/>
        <v>7</v>
      </c>
      <c r="D1636" t="str" cm="1">
        <f t="array" aca="1" ref="D1636" ca="1">CELL("nomfichier",INDIRECT(A1636))</f>
        <v>G:\SCPE\sdc\bq\6 - Mentions valorisantes\Certification environnementale\TEXTES_REGLEMENTATION_CE\Plans_contrôle et grilles\Grille audit niveau 3\Grille d'audit v1.11\[grille-audit-hvev4-v1.11-vf.xlsx]Phyto</v>
      </c>
      <c r="E1636">
        <f t="shared" ca="1" si="101"/>
        <v>200</v>
      </c>
      <c r="F1636">
        <f t="shared" ca="1" si="102"/>
        <v>205</v>
      </c>
      <c r="G1636" t="str">
        <f t="shared" ca="1" si="103"/>
        <v>Phyto</v>
      </c>
      <c r="H1636" cm="1">
        <f t="array" aca="1" ref="H1636" ca="1">ROW(INDIRECT(A1636))</f>
        <v>294</v>
      </c>
      <c r="I1636" cm="1">
        <f t="array" aca="1" ref="I1636" ca="1">COLUMN(INDIRECT(A1636))</f>
        <v>12</v>
      </c>
      <c r="M1636" t="str" cm="1">
        <f t="array" aca="1" ref="M1636" ca="1">IF(AND(J1636="O",ISBLANK(INDIRECT(A1636))),"Valeur obligatoire non renseignée","")</f>
        <v/>
      </c>
    </row>
    <row r="1637" spans="1:13" x14ac:dyDescent="0.25">
      <c r="A1637" t="s">
        <v>4424</v>
      </c>
      <c r="B1637" cm="1">
        <f t="array" aca="1" ref="B1637" ca="1">INDIRECT(A1637)</f>
        <v>0</v>
      </c>
      <c r="C1637">
        <f t="shared" ca="1" si="100"/>
        <v>7</v>
      </c>
      <c r="D1637" t="str" cm="1">
        <f t="array" aca="1" ref="D1637" ca="1">CELL("nomfichier",INDIRECT(A1637))</f>
        <v>G:\SCPE\sdc\bq\6 - Mentions valorisantes\Certification environnementale\TEXTES_REGLEMENTATION_CE\Plans_contrôle et grilles\Grille audit niveau 3\Grille d'audit v1.11\[grille-audit-hvev4-v1.11-vf.xlsx]Phyto</v>
      </c>
      <c r="E1637">
        <f t="shared" ca="1" si="101"/>
        <v>200</v>
      </c>
      <c r="F1637">
        <f t="shared" ca="1" si="102"/>
        <v>205</v>
      </c>
      <c r="G1637" t="str">
        <f t="shared" ca="1" si="103"/>
        <v>Phyto</v>
      </c>
      <c r="H1637" cm="1">
        <f t="array" aca="1" ref="H1637" ca="1">ROW(INDIRECT(A1637))</f>
        <v>296</v>
      </c>
      <c r="I1637" cm="1">
        <f t="array" aca="1" ref="I1637" ca="1">COLUMN(INDIRECT(A1637))</f>
        <v>12</v>
      </c>
      <c r="M1637" t="str" cm="1">
        <f t="array" aca="1" ref="M1637" ca="1">IF(AND(J1637="O",ISBLANK(INDIRECT(A1637))),"Valeur obligatoire non renseignée","")</f>
        <v/>
      </c>
    </row>
    <row r="1638" spans="1:13" x14ac:dyDescent="0.25">
      <c r="A1638" t="s">
        <v>4333</v>
      </c>
      <c r="B1638" cm="1">
        <f t="array" aca="1" ref="B1638" ca="1">INDIRECT(A1638)</f>
        <v>6</v>
      </c>
      <c r="C1638">
        <f t="shared" ca="1" si="100"/>
        <v>7</v>
      </c>
      <c r="D1638" t="str" cm="1">
        <f t="array" aca="1" ref="D1638" ca="1">CELL("nomfichier",INDIRECT(A1638))</f>
        <v>G:\SCPE\sdc\bq\6 - Mentions valorisantes\Certification environnementale\TEXTES_REGLEMENTATION_CE\Plans_contrôle et grilles\Grille audit niveau 3\Grille d'audit v1.11\[grille-audit-hvev4-v1.11-vf.xlsx]Phyto</v>
      </c>
      <c r="E1638">
        <f t="shared" ca="1" si="101"/>
        <v>200</v>
      </c>
      <c r="F1638">
        <f t="shared" ca="1" si="102"/>
        <v>205</v>
      </c>
      <c r="G1638" t="str">
        <f t="shared" ca="1" si="103"/>
        <v>Phyto</v>
      </c>
      <c r="H1638" cm="1">
        <f t="array" aca="1" ref="H1638" ca="1">ROW(INDIRECT(A1638))</f>
        <v>296</v>
      </c>
      <c r="I1638" cm="1">
        <f t="array" aca="1" ref="I1638" ca="1">COLUMN(INDIRECT(A1638))</f>
        <v>23</v>
      </c>
      <c r="M1638" t="str" cm="1">
        <f t="array" aca="1" ref="M1638" ca="1">IF(AND(J1638="O",ISBLANK(INDIRECT(A1638))),"Valeur obligatoire non renseignée","")</f>
        <v/>
      </c>
    </row>
    <row r="1639" spans="1:13" x14ac:dyDescent="0.25">
      <c r="A1639" t="s">
        <v>4284</v>
      </c>
      <c r="B1639" cm="1">
        <f t="array" aca="1" ref="B1639" ca="1">INDIRECT(A1639)</f>
        <v>0</v>
      </c>
      <c r="C1639">
        <f t="shared" ca="1" si="100"/>
        <v>7</v>
      </c>
      <c r="D1639" t="str" cm="1">
        <f t="array" aca="1" ref="D1639" ca="1">CELL("nomfichier",INDIRECT(A1639))</f>
        <v>G:\SCPE\sdc\bq\6 - Mentions valorisantes\Certification environnementale\TEXTES_REGLEMENTATION_CE\Plans_contrôle et grilles\Grille audit niveau 3\Grille d'audit v1.11\[grille-audit-hvev4-v1.11-vf.xlsx]Phyto</v>
      </c>
      <c r="E1639">
        <f t="shared" ca="1" si="101"/>
        <v>200</v>
      </c>
      <c r="F1639">
        <f t="shared" ca="1" si="102"/>
        <v>205</v>
      </c>
      <c r="G1639" t="str">
        <f t="shared" ca="1" si="103"/>
        <v>Phyto</v>
      </c>
      <c r="H1639" cm="1">
        <f t="array" aca="1" ref="H1639" ca="1">ROW(INDIRECT(A1639))</f>
        <v>315</v>
      </c>
      <c r="I1639" cm="1">
        <f t="array" aca="1" ref="I1639" ca="1">COLUMN(INDIRECT(A1639))</f>
        <v>10</v>
      </c>
      <c r="M1639" t="str" cm="1">
        <f t="array" aca="1" ref="M1639" ca="1">IF(AND(J1639="O",ISBLANK(INDIRECT(A1639))),"Valeur obligatoire non renseignée","")</f>
        <v/>
      </c>
    </row>
    <row r="1640" spans="1:13" x14ac:dyDescent="0.25">
      <c r="A1640" t="s">
        <v>4282</v>
      </c>
      <c r="B1640" cm="1">
        <f t="array" aca="1" ref="B1640" ca="1">INDIRECT(A1640)</f>
        <v>0</v>
      </c>
      <c r="C1640">
        <f t="shared" ca="1" si="100"/>
        <v>7</v>
      </c>
      <c r="D1640" t="str" cm="1">
        <f t="array" aca="1" ref="D1640" ca="1">CELL("nomfichier",INDIRECT(A1640))</f>
        <v>G:\SCPE\sdc\bq\6 - Mentions valorisantes\Certification environnementale\TEXTES_REGLEMENTATION_CE\Plans_contrôle et grilles\Grille audit niveau 3\Grille d'audit v1.11\[grille-audit-hvev4-v1.11-vf.xlsx]Phyto</v>
      </c>
      <c r="E1640">
        <f t="shared" ca="1" si="101"/>
        <v>200</v>
      </c>
      <c r="F1640">
        <f t="shared" ca="1" si="102"/>
        <v>205</v>
      </c>
      <c r="G1640" t="str">
        <f t="shared" ca="1" si="103"/>
        <v>Phyto</v>
      </c>
      <c r="H1640" cm="1">
        <f t="array" aca="1" ref="H1640" ca="1">ROW(INDIRECT(A1640))</f>
        <v>316</v>
      </c>
      <c r="I1640" cm="1">
        <f t="array" aca="1" ref="I1640" ca="1">COLUMN(INDIRECT(A1640))</f>
        <v>10</v>
      </c>
      <c r="M1640" t="str" cm="1">
        <f t="array" aca="1" ref="M1640" ca="1">IF(AND(J1640="O",ISBLANK(INDIRECT(A1640))),"Valeur obligatoire non renseignée","")</f>
        <v/>
      </c>
    </row>
    <row r="1641" spans="1:13" x14ac:dyDescent="0.25">
      <c r="A1641" t="s">
        <v>4283</v>
      </c>
      <c r="B1641" cm="1">
        <f t="array" aca="1" ref="B1641" ca="1">INDIRECT(A1641)</f>
        <v>0</v>
      </c>
      <c r="C1641">
        <f t="shared" ca="1" si="100"/>
        <v>7</v>
      </c>
      <c r="D1641" t="str" cm="1">
        <f t="array" aca="1" ref="D1641" ca="1">CELL("nomfichier",INDIRECT(A1641))</f>
        <v>G:\SCPE\sdc\bq\6 - Mentions valorisantes\Certification environnementale\TEXTES_REGLEMENTATION_CE\Plans_contrôle et grilles\Grille audit niveau 3\Grille d'audit v1.11\[grille-audit-hvev4-v1.11-vf.xlsx]Phyto</v>
      </c>
      <c r="E1641">
        <f t="shared" ca="1" si="101"/>
        <v>200</v>
      </c>
      <c r="F1641">
        <f t="shared" ca="1" si="102"/>
        <v>205</v>
      </c>
      <c r="G1641" t="str">
        <f t="shared" ca="1" si="103"/>
        <v>Phyto</v>
      </c>
      <c r="H1641" cm="1">
        <f t="array" aca="1" ref="H1641" ca="1">ROW(INDIRECT(A1641))</f>
        <v>317</v>
      </c>
      <c r="I1641" cm="1">
        <f t="array" aca="1" ref="I1641" ca="1">COLUMN(INDIRECT(A1641))</f>
        <v>10</v>
      </c>
      <c r="M1641" t="str" cm="1">
        <f t="array" aca="1" ref="M1641" ca="1">IF(AND(J1641="O",ISBLANK(INDIRECT(A1641))),"Valeur obligatoire non renseignée","")</f>
        <v/>
      </c>
    </row>
    <row r="1642" spans="1:13" x14ac:dyDescent="0.25">
      <c r="A1642" t="s">
        <v>4478</v>
      </c>
      <c r="B1642" cm="1">
        <f t="array" aca="1" ref="B1642" ca="1">INDIRECT(A1642)</f>
        <v>0</v>
      </c>
      <c r="C1642">
        <f t="shared" ca="1" si="100"/>
        <v>7</v>
      </c>
      <c r="D1642" t="str" cm="1">
        <f t="array" aca="1" ref="D1642" ca="1">CELL("nomfichier",INDIRECT(A1642))</f>
        <v>G:\SCPE\sdc\bq\6 - Mentions valorisantes\Certification environnementale\TEXTES_REGLEMENTATION_CE\Plans_contrôle et grilles\Grille audit niveau 3\Grille d'audit v1.11\[grille-audit-hvev4-v1.11-vf.xlsx]Phyto</v>
      </c>
      <c r="E1642">
        <f t="shared" ca="1" si="101"/>
        <v>200</v>
      </c>
      <c r="F1642">
        <f t="shared" ca="1" si="102"/>
        <v>205</v>
      </c>
      <c r="G1642" t="str">
        <f t="shared" ca="1" si="103"/>
        <v>Phyto</v>
      </c>
      <c r="H1642" cm="1">
        <f t="array" aca="1" ref="H1642" ca="1">ROW(INDIRECT(A1642))</f>
        <v>323</v>
      </c>
      <c r="I1642" cm="1">
        <f t="array" aca="1" ref="I1642" ca="1">COLUMN(INDIRECT(A1642))</f>
        <v>10</v>
      </c>
      <c r="M1642" t="str" cm="1">
        <f t="array" aca="1" ref="M1642" ca="1">IF(AND(J1642="O",ISBLANK(INDIRECT(A1642))),"Valeur obligatoire non renseignée","")</f>
        <v/>
      </c>
    </row>
    <row r="1643" spans="1:13" x14ac:dyDescent="0.25">
      <c r="A1643" t="s">
        <v>4479</v>
      </c>
      <c r="B1643" cm="1">
        <f t="array" aca="1" ref="B1643" ca="1">INDIRECT(A1643)</f>
        <v>0</v>
      </c>
      <c r="C1643">
        <f t="shared" ca="1" si="100"/>
        <v>7</v>
      </c>
      <c r="D1643" t="str" cm="1">
        <f t="array" aca="1" ref="D1643" ca="1">CELL("nomfichier",INDIRECT(A1643))</f>
        <v>G:\SCPE\sdc\bq\6 - Mentions valorisantes\Certification environnementale\TEXTES_REGLEMENTATION_CE\Plans_contrôle et grilles\Grille audit niveau 3\Grille d'audit v1.11\[grille-audit-hvev4-v1.11-vf.xlsx]Phyto</v>
      </c>
      <c r="E1643">
        <f t="shared" ca="1" si="101"/>
        <v>200</v>
      </c>
      <c r="F1643">
        <f t="shared" ca="1" si="102"/>
        <v>205</v>
      </c>
      <c r="G1643" t="str">
        <f t="shared" ca="1" si="103"/>
        <v>Phyto</v>
      </c>
      <c r="H1643" cm="1">
        <f t="array" aca="1" ref="H1643" ca="1">ROW(INDIRECT(A1643))</f>
        <v>324</v>
      </c>
      <c r="I1643" cm="1">
        <f t="array" aca="1" ref="I1643" ca="1">COLUMN(INDIRECT(A1643))</f>
        <v>10</v>
      </c>
      <c r="M1643" t="str" cm="1">
        <f t="array" aca="1" ref="M1643" ca="1">IF(AND(J1643="O",ISBLANK(INDIRECT(A1643))),"Valeur obligatoire non renseignée","")</f>
        <v/>
      </c>
    </row>
    <row r="1644" spans="1:13" x14ac:dyDescent="0.25">
      <c r="A1644" t="s">
        <v>4385</v>
      </c>
      <c r="B1644" cm="1">
        <f t="array" aca="1" ref="B1644" ca="1">INDIRECT(A1644)</f>
        <v>0</v>
      </c>
      <c r="C1644">
        <f t="shared" ca="1" si="100"/>
        <v>7</v>
      </c>
      <c r="D1644" t="str" cm="1">
        <f t="array" aca="1" ref="D1644" ca="1">CELL("nomfichier",INDIRECT(A1644))</f>
        <v>G:\SCPE\sdc\bq\6 - Mentions valorisantes\Certification environnementale\TEXTES_REGLEMENTATION_CE\Plans_contrôle et grilles\Grille audit niveau 3\Grille d'audit v1.11\[grille-audit-hvev4-v1.11-vf.xlsx]Phyto</v>
      </c>
      <c r="E1644">
        <f t="shared" ca="1" si="101"/>
        <v>200</v>
      </c>
      <c r="F1644">
        <f t="shared" ca="1" si="102"/>
        <v>205</v>
      </c>
      <c r="G1644" t="str">
        <f t="shared" ca="1" si="103"/>
        <v>Phyto</v>
      </c>
      <c r="H1644" cm="1">
        <f t="array" aca="1" ref="H1644" ca="1">ROW(INDIRECT(A1644))</f>
        <v>325</v>
      </c>
      <c r="I1644" cm="1">
        <f t="array" aca="1" ref="I1644" ca="1">COLUMN(INDIRECT(A1644))</f>
        <v>10</v>
      </c>
      <c r="M1644" t="str" cm="1">
        <f t="array" aca="1" ref="M1644" ca="1">IF(AND(J1644="O",ISBLANK(INDIRECT(A1644))),"Valeur obligatoire non renseignée","")</f>
        <v/>
      </c>
    </row>
    <row r="1645" spans="1:13" x14ac:dyDescent="0.25">
      <c r="A1645" t="s">
        <v>4450</v>
      </c>
      <c r="B1645" cm="1">
        <f t="array" aca="1" ref="B1645" ca="1">INDIRECT(A1645)</f>
        <v>0</v>
      </c>
      <c r="C1645">
        <f t="shared" ca="1" si="100"/>
        <v>7</v>
      </c>
      <c r="D1645" t="str" cm="1">
        <f t="array" aca="1" ref="D1645" ca="1">CELL("nomfichier",INDIRECT(A1645))</f>
        <v>G:\SCPE\sdc\bq\6 - Mentions valorisantes\Certification environnementale\TEXTES_REGLEMENTATION_CE\Plans_contrôle et grilles\Grille audit niveau 3\Grille d'audit v1.11\[grille-audit-hvev4-v1.11-vf.xlsx]Phyto</v>
      </c>
      <c r="E1645">
        <f t="shared" ca="1" si="101"/>
        <v>200</v>
      </c>
      <c r="F1645">
        <f t="shared" ca="1" si="102"/>
        <v>205</v>
      </c>
      <c r="G1645" t="str">
        <f t="shared" ca="1" si="103"/>
        <v>Phyto</v>
      </c>
      <c r="H1645" cm="1">
        <f t="array" aca="1" ref="H1645" ca="1">ROW(INDIRECT(A1645))</f>
        <v>325</v>
      </c>
      <c r="I1645" cm="1">
        <f t="array" aca="1" ref="I1645" ca="1">COLUMN(INDIRECT(A1645))</f>
        <v>12</v>
      </c>
      <c r="M1645" t="str" cm="1">
        <f t="array" aca="1" ref="M1645" ca="1">IF(AND(J1645="O",ISBLANK(INDIRECT(A1645))),"Valeur obligatoire non renseignée","")</f>
        <v/>
      </c>
    </row>
    <row r="1646" spans="1:13" x14ac:dyDescent="0.25">
      <c r="A1646" t="s">
        <v>4382</v>
      </c>
      <c r="B1646" cm="1">
        <f t="array" aca="1" ref="B1646" ca="1">INDIRECT(A1646)</f>
        <v>0</v>
      </c>
      <c r="C1646">
        <f t="shared" ca="1" si="100"/>
        <v>7</v>
      </c>
      <c r="D1646" t="str" cm="1">
        <f t="array" aca="1" ref="D1646" ca="1">CELL("nomfichier",INDIRECT(A1646))</f>
        <v>G:\SCPE\sdc\bq\6 - Mentions valorisantes\Certification environnementale\TEXTES_REGLEMENTATION_CE\Plans_contrôle et grilles\Grille audit niveau 3\Grille d'audit v1.11\[grille-audit-hvev4-v1.11-vf.xlsx]Phyto</v>
      </c>
      <c r="E1646">
        <f t="shared" ca="1" si="101"/>
        <v>200</v>
      </c>
      <c r="F1646">
        <f t="shared" ca="1" si="102"/>
        <v>205</v>
      </c>
      <c r="G1646" t="str">
        <f t="shared" ca="1" si="103"/>
        <v>Phyto</v>
      </c>
      <c r="H1646" cm="1">
        <f t="array" aca="1" ref="H1646" ca="1">ROW(INDIRECT(A1646))</f>
        <v>326</v>
      </c>
      <c r="I1646" cm="1">
        <f t="array" aca="1" ref="I1646" ca="1">COLUMN(INDIRECT(A1646))</f>
        <v>10</v>
      </c>
      <c r="M1646" t="str" cm="1">
        <f t="array" aca="1" ref="M1646" ca="1">IF(AND(J1646="O",ISBLANK(INDIRECT(A1646))),"Valeur obligatoire non renseignée","")</f>
        <v/>
      </c>
    </row>
    <row r="1647" spans="1:13" x14ac:dyDescent="0.25">
      <c r="A1647" t="s">
        <v>4447</v>
      </c>
      <c r="B1647" cm="1">
        <f t="array" aca="1" ref="B1647" ca="1">INDIRECT(A1647)</f>
        <v>0</v>
      </c>
      <c r="C1647">
        <f t="shared" ca="1" si="100"/>
        <v>7</v>
      </c>
      <c r="D1647" t="str" cm="1">
        <f t="array" aca="1" ref="D1647" ca="1">CELL("nomfichier",INDIRECT(A1647))</f>
        <v>G:\SCPE\sdc\bq\6 - Mentions valorisantes\Certification environnementale\TEXTES_REGLEMENTATION_CE\Plans_contrôle et grilles\Grille audit niveau 3\Grille d'audit v1.11\[grille-audit-hvev4-v1.11-vf.xlsx]Phyto</v>
      </c>
      <c r="E1647">
        <f t="shared" ca="1" si="101"/>
        <v>200</v>
      </c>
      <c r="F1647">
        <f t="shared" ca="1" si="102"/>
        <v>205</v>
      </c>
      <c r="G1647" t="str">
        <f t="shared" ca="1" si="103"/>
        <v>Phyto</v>
      </c>
      <c r="H1647" cm="1">
        <f t="array" aca="1" ref="H1647" ca="1">ROW(INDIRECT(A1647))</f>
        <v>326</v>
      </c>
      <c r="I1647" cm="1">
        <f t="array" aca="1" ref="I1647" ca="1">COLUMN(INDIRECT(A1647))</f>
        <v>12</v>
      </c>
      <c r="M1647" t="str" cm="1">
        <f t="array" aca="1" ref="M1647" ca="1">IF(AND(J1647="O",ISBLANK(INDIRECT(A1647))),"Valeur obligatoire non renseignée","")</f>
        <v/>
      </c>
    </row>
    <row r="1648" spans="1:13" x14ac:dyDescent="0.25">
      <c r="A1648" t="s">
        <v>4383</v>
      </c>
      <c r="B1648" cm="1">
        <f t="array" aca="1" ref="B1648" ca="1">INDIRECT(A1648)</f>
        <v>0</v>
      </c>
      <c r="C1648">
        <f t="shared" ca="1" si="100"/>
        <v>7</v>
      </c>
      <c r="D1648" t="str" cm="1">
        <f t="array" aca="1" ref="D1648" ca="1">CELL("nomfichier",INDIRECT(A1648))</f>
        <v>G:\SCPE\sdc\bq\6 - Mentions valorisantes\Certification environnementale\TEXTES_REGLEMENTATION_CE\Plans_contrôle et grilles\Grille audit niveau 3\Grille d'audit v1.11\[grille-audit-hvev4-v1.11-vf.xlsx]Phyto</v>
      </c>
      <c r="E1648">
        <f t="shared" ca="1" si="101"/>
        <v>200</v>
      </c>
      <c r="F1648">
        <f t="shared" ca="1" si="102"/>
        <v>205</v>
      </c>
      <c r="G1648" t="str">
        <f t="shared" ca="1" si="103"/>
        <v>Phyto</v>
      </c>
      <c r="H1648" cm="1">
        <f t="array" aca="1" ref="H1648" ca="1">ROW(INDIRECT(A1648))</f>
        <v>327</v>
      </c>
      <c r="I1648" cm="1">
        <f t="array" aca="1" ref="I1648" ca="1">COLUMN(INDIRECT(A1648))</f>
        <v>10</v>
      </c>
      <c r="M1648" t="str" cm="1">
        <f t="array" aca="1" ref="M1648" ca="1">IF(AND(J1648="O",ISBLANK(INDIRECT(A1648))),"Valeur obligatoire non renseignée","")</f>
        <v/>
      </c>
    </row>
    <row r="1649" spans="1:13" x14ac:dyDescent="0.25">
      <c r="A1649" t="s">
        <v>4448</v>
      </c>
      <c r="B1649" cm="1">
        <f t="array" aca="1" ref="B1649" ca="1">INDIRECT(A1649)</f>
        <v>0</v>
      </c>
      <c r="C1649">
        <f t="shared" ca="1" si="100"/>
        <v>7</v>
      </c>
      <c r="D1649" t="str" cm="1">
        <f t="array" aca="1" ref="D1649" ca="1">CELL("nomfichier",INDIRECT(A1649))</f>
        <v>G:\SCPE\sdc\bq\6 - Mentions valorisantes\Certification environnementale\TEXTES_REGLEMENTATION_CE\Plans_contrôle et grilles\Grille audit niveau 3\Grille d'audit v1.11\[grille-audit-hvev4-v1.11-vf.xlsx]Phyto</v>
      </c>
      <c r="E1649">
        <f t="shared" ca="1" si="101"/>
        <v>200</v>
      </c>
      <c r="F1649">
        <f t="shared" ca="1" si="102"/>
        <v>205</v>
      </c>
      <c r="G1649" t="str">
        <f t="shared" ca="1" si="103"/>
        <v>Phyto</v>
      </c>
      <c r="H1649" cm="1">
        <f t="array" aca="1" ref="H1649" ca="1">ROW(INDIRECT(A1649))</f>
        <v>327</v>
      </c>
      <c r="I1649" cm="1">
        <f t="array" aca="1" ref="I1649" ca="1">COLUMN(INDIRECT(A1649))</f>
        <v>12</v>
      </c>
      <c r="M1649" t="str" cm="1">
        <f t="array" aca="1" ref="M1649" ca="1">IF(AND(J1649="O",ISBLANK(INDIRECT(A1649))),"Valeur obligatoire non renseignée","")</f>
        <v/>
      </c>
    </row>
    <row r="1650" spans="1:13" x14ac:dyDescent="0.25">
      <c r="A1650" t="s">
        <v>4422</v>
      </c>
      <c r="B1650" cm="1">
        <f t="array" aca="1" ref="B1650" ca="1">INDIRECT(A1650)</f>
        <v>0</v>
      </c>
      <c r="C1650">
        <f t="shared" ca="1" si="100"/>
        <v>7</v>
      </c>
      <c r="D1650" t="str" cm="1">
        <f t="array" aca="1" ref="D1650" ca="1">CELL("nomfichier",INDIRECT(A1650))</f>
        <v>G:\SCPE\sdc\bq\6 - Mentions valorisantes\Certification environnementale\TEXTES_REGLEMENTATION_CE\Plans_contrôle et grilles\Grille audit niveau 3\Grille d'audit v1.11\[grille-audit-hvev4-v1.11-vf.xlsx]Phyto</v>
      </c>
      <c r="E1650">
        <f t="shared" ca="1" si="101"/>
        <v>200</v>
      </c>
      <c r="F1650">
        <f t="shared" ca="1" si="102"/>
        <v>205</v>
      </c>
      <c r="G1650" t="str">
        <f t="shared" ca="1" si="103"/>
        <v>Phyto</v>
      </c>
      <c r="H1650" cm="1">
        <f t="array" aca="1" ref="H1650" ca="1">ROW(INDIRECT(A1650))</f>
        <v>329</v>
      </c>
      <c r="I1650" cm="1">
        <f t="array" aca="1" ref="I1650" ca="1">COLUMN(INDIRECT(A1650))</f>
        <v>12</v>
      </c>
      <c r="M1650" t="str" cm="1">
        <f t="array" aca="1" ref="M1650" ca="1">IF(AND(J1650="O",ISBLANK(INDIRECT(A1650))),"Valeur obligatoire non renseignée","")</f>
        <v/>
      </c>
    </row>
    <row r="1651" spans="1:13" x14ac:dyDescent="0.25">
      <c r="A1651" t="s">
        <v>4332</v>
      </c>
      <c r="B1651" cm="1">
        <f t="array" aca="1" ref="B1651" ca="1">INDIRECT(A1651)</f>
        <v>9</v>
      </c>
      <c r="C1651">
        <f t="shared" ca="1" si="100"/>
        <v>7</v>
      </c>
      <c r="D1651" t="str" cm="1">
        <f t="array" aca="1" ref="D1651" ca="1">CELL("nomfichier",INDIRECT(A1651))</f>
        <v>G:\SCPE\sdc\bq\6 - Mentions valorisantes\Certification environnementale\TEXTES_REGLEMENTATION_CE\Plans_contrôle et grilles\Grille audit niveau 3\Grille d'audit v1.11\[grille-audit-hvev4-v1.11-vf.xlsx]Phyto</v>
      </c>
      <c r="E1651">
        <f t="shared" ca="1" si="101"/>
        <v>200</v>
      </c>
      <c r="F1651">
        <f t="shared" ca="1" si="102"/>
        <v>205</v>
      </c>
      <c r="G1651" t="str">
        <f t="shared" ca="1" si="103"/>
        <v>Phyto</v>
      </c>
      <c r="H1651" cm="1">
        <f t="array" aca="1" ref="H1651" ca="1">ROW(INDIRECT(A1651))</f>
        <v>329</v>
      </c>
      <c r="I1651" cm="1">
        <f t="array" aca="1" ref="I1651" ca="1">COLUMN(INDIRECT(A1651))</f>
        <v>23</v>
      </c>
      <c r="M1651" t="str" cm="1">
        <f t="array" aca="1" ref="M1651" ca="1">IF(AND(J1651="O",ISBLANK(INDIRECT(A1651))),"Valeur obligatoire non renseignée","")</f>
        <v/>
      </c>
    </row>
    <row r="1652" spans="1:13" x14ac:dyDescent="0.25">
      <c r="A1652" t="s">
        <v>4417</v>
      </c>
      <c r="B1652" cm="1">
        <f t="array" aca="1" ref="B1652" ca="1">INDIRECT(A1652)</f>
        <v>0</v>
      </c>
      <c r="C1652">
        <f t="shared" ca="1" si="100"/>
        <v>7</v>
      </c>
      <c r="D1652" t="str" cm="1">
        <f t="array" aca="1" ref="D1652" ca="1">CELL("nomfichier",INDIRECT(A1652))</f>
        <v>G:\SCPE\sdc\bq\6 - Mentions valorisantes\Certification environnementale\TEXTES_REGLEMENTATION_CE\Plans_contrôle et grilles\Grille audit niveau 3\Grille d'audit v1.11\[grille-audit-hvev4-v1.11-vf.xlsx]Phyto</v>
      </c>
      <c r="E1652">
        <f t="shared" ca="1" si="101"/>
        <v>200</v>
      </c>
      <c r="F1652">
        <f t="shared" ca="1" si="102"/>
        <v>205</v>
      </c>
      <c r="G1652" t="str">
        <f t="shared" ca="1" si="103"/>
        <v>Phyto</v>
      </c>
      <c r="H1652" cm="1">
        <f t="array" aca="1" ref="H1652" ca="1">ROW(INDIRECT(A1652))</f>
        <v>348</v>
      </c>
      <c r="I1652" cm="1">
        <f t="array" aca="1" ref="I1652" ca="1">COLUMN(INDIRECT(A1652))</f>
        <v>12</v>
      </c>
      <c r="M1652" t="str" cm="1">
        <f t="array" aca="1" ref="M1652" ca="1">IF(AND(J1652="O",ISBLANK(INDIRECT(A1652))),"Valeur obligatoire non renseignée","")</f>
        <v/>
      </c>
    </row>
    <row r="1653" spans="1:13" x14ac:dyDescent="0.25">
      <c r="A1653" t="s">
        <v>4418</v>
      </c>
      <c r="B1653" cm="1">
        <f t="array" aca="1" ref="B1653" ca="1">INDIRECT(A1653)</f>
        <v>0</v>
      </c>
      <c r="C1653">
        <f t="shared" ca="1" si="100"/>
        <v>7</v>
      </c>
      <c r="D1653" t="str" cm="1">
        <f t="array" aca="1" ref="D1653" ca="1">CELL("nomfichier",INDIRECT(A1653))</f>
        <v>G:\SCPE\sdc\bq\6 - Mentions valorisantes\Certification environnementale\TEXTES_REGLEMENTATION_CE\Plans_contrôle et grilles\Grille audit niveau 3\Grille d'audit v1.11\[grille-audit-hvev4-v1.11-vf.xlsx]Phyto</v>
      </c>
      <c r="E1653">
        <f t="shared" ca="1" si="101"/>
        <v>200</v>
      </c>
      <c r="F1653">
        <f t="shared" ca="1" si="102"/>
        <v>205</v>
      </c>
      <c r="G1653" t="str">
        <f t="shared" ca="1" si="103"/>
        <v>Phyto</v>
      </c>
      <c r="H1653" cm="1">
        <f t="array" aca="1" ref="H1653" ca="1">ROW(INDIRECT(A1653))</f>
        <v>349</v>
      </c>
      <c r="I1653" cm="1">
        <f t="array" aca="1" ref="I1653" ca="1">COLUMN(INDIRECT(A1653))</f>
        <v>12</v>
      </c>
      <c r="M1653" t="str" cm="1">
        <f t="array" aca="1" ref="M1653" ca="1">IF(AND(J1653="O",ISBLANK(INDIRECT(A1653))),"Valeur obligatoire non renseignée","")</f>
        <v/>
      </c>
    </row>
    <row r="1654" spans="1:13" x14ac:dyDescent="0.25">
      <c r="A1654" t="s">
        <v>4414</v>
      </c>
      <c r="B1654" cm="1">
        <f t="array" aca="1" ref="B1654" ca="1">INDIRECT(A1654)</f>
        <v>0</v>
      </c>
      <c r="C1654">
        <f t="shared" ca="1" si="100"/>
        <v>7</v>
      </c>
      <c r="D1654" t="str" cm="1">
        <f t="array" aca="1" ref="D1654" ca="1">CELL("nomfichier",INDIRECT(A1654))</f>
        <v>G:\SCPE\sdc\bq\6 - Mentions valorisantes\Certification environnementale\TEXTES_REGLEMENTATION_CE\Plans_contrôle et grilles\Grille audit niveau 3\Grille d'audit v1.11\[grille-audit-hvev4-v1.11-vf.xlsx]Phyto</v>
      </c>
      <c r="E1654">
        <f t="shared" ca="1" si="101"/>
        <v>200</v>
      </c>
      <c r="F1654">
        <f t="shared" ca="1" si="102"/>
        <v>205</v>
      </c>
      <c r="G1654" t="str">
        <f t="shared" ca="1" si="103"/>
        <v>Phyto</v>
      </c>
      <c r="H1654" cm="1">
        <f t="array" aca="1" ref="H1654" ca="1">ROW(INDIRECT(A1654))</f>
        <v>350</v>
      </c>
      <c r="I1654" cm="1">
        <f t="array" aca="1" ref="I1654" ca="1">COLUMN(INDIRECT(A1654))</f>
        <v>12</v>
      </c>
      <c r="M1654" t="str" cm="1">
        <f t="array" aca="1" ref="M1654" ca="1">IF(AND(J1654="O",ISBLANK(INDIRECT(A1654))),"Valeur obligatoire non renseignée","")</f>
        <v/>
      </c>
    </row>
    <row r="1655" spans="1:13" x14ac:dyDescent="0.25">
      <c r="A1655" t="s">
        <v>4416</v>
      </c>
      <c r="B1655" cm="1">
        <f t="array" aca="1" ref="B1655" ca="1">INDIRECT(A1655)</f>
        <v>0</v>
      </c>
      <c r="C1655">
        <f t="shared" ca="1" si="100"/>
        <v>7</v>
      </c>
      <c r="D1655" t="str" cm="1">
        <f t="array" aca="1" ref="D1655" ca="1">CELL("nomfichier",INDIRECT(A1655))</f>
        <v>G:\SCPE\sdc\bq\6 - Mentions valorisantes\Certification environnementale\TEXTES_REGLEMENTATION_CE\Plans_contrôle et grilles\Grille audit niveau 3\Grille d'audit v1.11\[grille-audit-hvev4-v1.11-vf.xlsx]Phyto</v>
      </c>
      <c r="E1655">
        <f t="shared" ca="1" si="101"/>
        <v>200</v>
      </c>
      <c r="F1655">
        <f t="shared" ca="1" si="102"/>
        <v>205</v>
      </c>
      <c r="G1655" t="str">
        <f t="shared" ca="1" si="103"/>
        <v>Phyto</v>
      </c>
      <c r="H1655" cm="1">
        <f t="array" aca="1" ref="H1655" ca="1">ROW(INDIRECT(A1655))</f>
        <v>353</v>
      </c>
      <c r="I1655" cm="1">
        <f t="array" aca="1" ref="I1655" ca="1">COLUMN(INDIRECT(A1655))</f>
        <v>12</v>
      </c>
      <c r="M1655" t="str" cm="1">
        <f t="array" aca="1" ref="M1655" ca="1">IF(AND(J1655="O",ISBLANK(INDIRECT(A1655))),"Valeur obligatoire non renseignée","")</f>
        <v/>
      </c>
    </row>
    <row r="1656" spans="1:13" x14ac:dyDescent="0.25">
      <c r="A1656" t="s">
        <v>4415</v>
      </c>
      <c r="B1656" cm="1">
        <f t="array" aca="1" ref="B1656" ca="1">INDIRECT(A1656)</f>
        <v>0</v>
      </c>
      <c r="C1656">
        <f t="shared" ca="1" si="100"/>
        <v>7</v>
      </c>
      <c r="D1656" t="str" cm="1">
        <f t="array" aca="1" ref="D1656" ca="1">CELL("nomfichier",INDIRECT(A1656))</f>
        <v>G:\SCPE\sdc\bq\6 - Mentions valorisantes\Certification environnementale\TEXTES_REGLEMENTATION_CE\Plans_contrôle et grilles\Grille audit niveau 3\Grille d'audit v1.11\[grille-audit-hvev4-v1.11-vf.xlsx]Phyto</v>
      </c>
      <c r="E1656">
        <f t="shared" ca="1" si="101"/>
        <v>200</v>
      </c>
      <c r="F1656">
        <f t="shared" ca="1" si="102"/>
        <v>205</v>
      </c>
      <c r="G1656" t="str">
        <f t="shared" ca="1" si="103"/>
        <v>Phyto</v>
      </c>
      <c r="H1656" cm="1">
        <f t="array" aca="1" ref="H1656" ca="1">ROW(INDIRECT(A1656))</f>
        <v>354</v>
      </c>
      <c r="I1656" cm="1">
        <f t="array" aca="1" ref="I1656" ca="1">COLUMN(INDIRECT(A1656))</f>
        <v>12</v>
      </c>
      <c r="M1656" t="str" cm="1">
        <f t="array" aca="1" ref="M1656" ca="1">IF(AND(J1656="O",ISBLANK(INDIRECT(A1656))),"Valeur obligatoire non renseignée","")</f>
        <v/>
      </c>
    </row>
    <row r="1657" spans="1:13" x14ac:dyDescent="0.25">
      <c r="A1657" t="s">
        <v>4411</v>
      </c>
      <c r="B1657" cm="1">
        <f t="array" aca="1" ref="B1657" ca="1">INDIRECT(A1657)</f>
        <v>0</v>
      </c>
      <c r="C1657">
        <f t="shared" ca="1" si="100"/>
        <v>7</v>
      </c>
      <c r="D1657" t="str" cm="1">
        <f t="array" aca="1" ref="D1657" ca="1">CELL("nomfichier",INDIRECT(A1657))</f>
        <v>G:\SCPE\sdc\bq\6 - Mentions valorisantes\Certification environnementale\TEXTES_REGLEMENTATION_CE\Plans_contrôle et grilles\Grille audit niveau 3\Grille d'audit v1.11\[grille-audit-hvev4-v1.11-vf.xlsx]Phyto</v>
      </c>
      <c r="E1657">
        <f t="shared" ca="1" si="101"/>
        <v>200</v>
      </c>
      <c r="F1657">
        <f t="shared" ca="1" si="102"/>
        <v>205</v>
      </c>
      <c r="G1657" t="str">
        <f t="shared" ca="1" si="103"/>
        <v>Phyto</v>
      </c>
      <c r="H1657" cm="1">
        <f t="array" aca="1" ref="H1657" ca="1">ROW(INDIRECT(A1657))</f>
        <v>360</v>
      </c>
      <c r="I1657" cm="1">
        <f t="array" aca="1" ref="I1657" ca="1">COLUMN(INDIRECT(A1657))</f>
        <v>12</v>
      </c>
      <c r="M1657" t="str" cm="1">
        <f t="array" aca="1" ref="M1657" ca="1">IF(AND(J1657="O",ISBLANK(INDIRECT(A1657))),"Valeur obligatoire non renseignée","")</f>
        <v/>
      </c>
    </row>
    <row r="1658" spans="1:13" x14ac:dyDescent="0.25">
      <c r="A1658" t="s">
        <v>4429</v>
      </c>
      <c r="B1658" cm="1">
        <f t="array" aca="1" ref="B1658" ca="1">INDIRECT(A1658)</f>
        <v>0</v>
      </c>
      <c r="C1658">
        <f t="shared" ca="1" si="100"/>
        <v>7</v>
      </c>
      <c r="D1658" t="str" cm="1">
        <f t="array" aca="1" ref="D1658" ca="1">CELL("nomfichier",INDIRECT(A1658))</f>
        <v>G:\SCPE\sdc\bq\6 - Mentions valorisantes\Certification environnementale\TEXTES_REGLEMENTATION_CE\Plans_contrôle et grilles\Grille audit niveau 3\Grille d'audit v1.11\[grille-audit-hvev4-v1.11-vf.xlsx]Phyto</v>
      </c>
      <c r="E1658">
        <f t="shared" ca="1" si="101"/>
        <v>200</v>
      </c>
      <c r="F1658">
        <f t="shared" ca="1" si="102"/>
        <v>205</v>
      </c>
      <c r="G1658" t="str">
        <f t="shared" ca="1" si="103"/>
        <v>Phyto</v>
      </c>
      <c r="H1658" cm="1">
        <f t="array" aca="1" ref="H1658" ca="1">ROW(INDIRECT(A1658))</f>
        <v>360</v>
      </c>
      <c r="I1658" cm="1">
        <f t="array" aca="1" ref="I1658" ca="1">COLUMN(INDIRECT(A1658))</f>
        <v>14</v>
      </c>
      <c r="M1658" t="str" cm="1">
        <f t="array" aca="1" ref="M1658" ca="1">IF(AND(J1658="O",ISBLANK(INDIRECT(A1658))),"Valeur obligatoire non renseignée","")</f>
        <v/>
      </c>
    </row>
    <row r="1659" spans="1:13" x14ac:dyDescent="0.25">
      <c r="A1659" t="s">
        <v>4413</v>
      </c>
      <c r="B1659" cm="1">
        <f t="array" aca="1" ref="B1659" ca="1">INDIRECT(A1659)</f>
        <v>0</v>
      </c>
      <c r="C1659">
        <f t="shared" ca="1" si="100"/>
        <v>7</v>
      </c>
      <c r="D1659" t="str" cm="1">
        <f t="array" aca="1" ref="D1659" ca="1">CELL("nomfichier",INDIRECT(A1659))</f>
        <v>G:\SCPE\sdc\bq\6 - Mentions valorisantes\Certification environnementale\TEXTES_REGLEMENTATION_CE\Plans_contrôle et grilles\Grille audit niveau 3\Grille d'audit v1.11\[grille-audit-hvev4-v1.11-vf.xlsx]Phyto</v>
      </c>
      <c r="E1659">
        <f t="shared" ca="1" si="101"/>
        <v>200</v>
      </c>
      <c r="F1659">
        <f t="shared" ca="1" si="102"/>
        <v>205</v>
      </c>
      <c r="G1659" t="str">
        <f t="shared" ca="1" si="103"/>
        <v>Phyto</v>
      </c>
      <c r="H1659" cm="1">
        <f t="array" aca="1" ref="H1659" ca="1">ROW(INDIRECT(A1659))</f>
        <v>361</v>
      </c>
      <c r="I1659" cm="1">
        <f t="array" aca="1" ref="I1659" ca="1">COLUMN(INDIRECT(A1659))</f>
        <v>12</v>
      </c>
      <c r="M1659" t="str" cm="1">
        <f t="array" aca="1" ref="M1659" ca="1">IF(AND(J1659="O",ISBLANK(INDIRECT(A1659))),"Valeur obligatoire non renseignée","")</f>
        <v/>
      </c>
    </row>
    <row r="1660" spans="1:13" x14ac:dyDescent="0.25">
      <c r="A1660" t="s">
        <v>4453</v>
      </c>
      <c r="B1660" cm="1">
        <f t="array" aca="1" ref="B1660" ca="1">INDIRECT(A1660)</f>
        <v>0</v>
      </c>
      <c r="C1660">
        <f t="shared" ca="1" si="100"/>
        <v>7</v>
      </c>
      <c r="D1660" t="str" cm="1">
        <f t="array" aca="1" ref="D1660" ca="1">CELL("nomfichier",INDIRECT(A1660))</f>
        <v>G:\SCPE\sdc\bq\6 - Mentions valorisantes\Certification environnementale\TEXTES_REGLEMENTATION_CE\Plans_contrôle et grilles\Grille audit niveau 3\Grille d'audit v1.11\[grille-audit-hvev4-v1.11-vf.xlsx]Phyto</v>
      </c>
      <c r="E1660">
        <f t="shared" ca="1" si="101"/>
        <v>200</v>
      </c>
      <c r="F1660">
        <f t="shared" ca="1" si="102"/>
        <v>205</v>
      </c>
      <c r="G1660" t="str">
        <f t="shared" ca="1" si="103"/>
        <v>Phyto</v>
      </c>
      <c r="H1660" cm="1">
        <f t="array" aca="1" ref="H1660" ca="1">ROW(INDIRECT(A1660))</f>
        <v>361</v>
      </c>
      <c r="I1660" cm="1">
        <f t="array" aca="1" ref="I1660" ca="1">COLUMN(INDIRECT(A1660))</f>
        <v>14</v>
      </c>
      <c r="M1660" t="str" cm="1">
        <f t="array" aca="1" ref="M1660" ca="1">IF(AND(J1660="O",ISBLANK(INDIRECT(A1660))),"Valeur obligatoire non renseignée","")</f>
        <v/>
      </c>
    </row>
    <row r="1661" spans="1:13" x14ac:dyDescent="0.25">
      <c r="A1661" t="s">
        <v>4412</v>
      </c>
      <c r="B1661" cm="1">
        <f t="array" aca="1" ref="B1661" ca="1">INDIRECT(A1661)</f>
        <v>0</v>
      </c>
      <c r="C1661">
        <f t="shared" ca="1" si="100"/>
        <v>7</v>
      </c>
      <c r="D1661" t="str" cm="1">
        <f t="array" aca="1" ref="D1661" ca="1">CELL("nomfichier",INDIRECT(A1661))</f>
        <v>G:\SCPE\sdc\bq\6 - Mentions valorisantes\Certification environnementale\TEXTES_REGLEMENTATION_CE\Plans_contrôle et grilles\Grille audit niveau 3\Grille d'audit v1.11\[grille-audit-hvev4-v1.11-vf.xlsx]Phyto</v>
      </c>
      <c r="E1661">
        <f t="shared" ca="1" si="101"/>
        <v>200</v>
      </c>
      <c r="F1661">
        <f t="shared" ca="1" si="102"/>
        <v>205</v>
      </c>
      <c r="G1661" t="str">
        <f t="shared" ca="1" si="103"/>
        <v>Phyto</v>
      </c>
      <c r="H1661" cm="1">
        <f t="array" aca="1" ref="H1661" ca="1">ROW(INDIRECT(A1661))</f>
        <v>362</v>
      </c>
      <c r="I1661" cm="1">
        <f t="array" aca="1" ref="I1661" ca="1">COLUMN(INDIRECT(A1661))</f>
        <v>12</v>
      </c>
      <c r="M1661" t="str" cm="1">
        <f t="array" aca="1" ref="M1661" ca="1">IF(AND(J1661="O",ISBLANK(INDIRECT(A1661))),"Valeur obligatoire non renseignée","")</f>
        <v/>
      </c>
    </row>
    <row r="1662" spans="1:13" x14ac:dyDescent="0.25">
      <c r="A1662" t="s">
        <v>4452</v>
      </c>
      <c r="B1662" cm="1">
        <f t="array" aca="1" ref="B1662" ca="1">INDIRECT(A1662)</f>
        <v>0</v>
      </c>
      <c r="C1662">
        <f t="shared" ca="1" si="100"/>
        <v>7</v>
      </c>
      <c r="D1662" t="str" cm="1">
        <f t="array" aca="1" ref="D1662" ca="1">CELL("nomfichier",INDIRECT(A1662))</f>
        <v>G:\SCPE\sdc\bq\6 - Mentions valorisantes\Certification environnementale\TEXTES_REGLEMENTATION_CE\Plans_contrôle et grilles\Grille audit niveau 3\Grille d'audit v1.11\[grille-audit-hvev4-v1.11-vf.xlsx]Phyto</v>
      </c>
      <c r="E1662">
        <f t="shared" ca="1" si="101"/>
        <v>200</v>
      </c>
      <c r="F1662">
        <f t="shared" ca="1" si="102"/>
        <v>205</v>
      </c>
      <c r="G1662" t="str">
        <f t="shared" ca="1" si="103"/>
        <v>Phyto</v>
      </c>
      <c r="H1662" cm="1">
        <f t="array" aca="1" ref="H1662" ca="1">ROW(INDIRECT(A1662))</f>
        <v>362</v>
      </c>
      <c r="I1662" cm="1">
        <f t="array" aca="1" ref="I1662" ca="1">COLUMN(INDIRECT(A1662))</f>
        <v>14</v>
      </c>
      <c r="M1662" t="str" cm="1">
        <f t="array" aca="1" ref="M1662" ca="1">IF(AND(J1662="O",ISBLANK(INDIRECT(A1662))),"Valeur obligatoire non renseignée","")</f>
        <v/>
      </c>
    </row>
    <row r="1663" spans="1:13" x14ac:dyDescent="0.25">
      <c r="A1663" t="s">
        <v>4445</v>
      </c>
      <c r="B1663" cm="1">
        <f t="array" aca="1" ref="B1663" ca="1">INDIRECT(A1663)</f>
        <v>0</v>
      </c>
      <c r="C1663">
        <f t="shared" ca="1" si="100"/>
        <v>7</v>
      </c>
      <c r="D1663" t="str" cm="1">
        <f t="array" aca="1" ref="D1663" ca="1">CELL("nomfichier",INDIRECT(A1663))</f>
        <v>G:\SCPE\sdc\bq\6 - Mentions valorisantes\Certification environnementale\TEXTES_REGLEMENTATION_CE\Plans_contrôle et grilles\Grille audit niveau 3\Grille d'audit v1.11\[grille-audit-hvev4-v1.11-vf.xlsx]Phyto</v>
      </c>
      <c r="E1663">
        <f t="shared" ca="1" si="101"/>
        <v>200</v>
      </c>
      <c r="F1663">
        <f t="shared" ca="1" si="102"/>
        <v>205</v>
      </c>
      <c r="G1663" t="str">
        <f t="shared" ca="1" si="103"/>
        <v>Phyto</v>
      </c>
      <c r="H1663" cm="1">
        <f t="array" aca="1" ref="H1663" ca="1">ROW(INDIRECT(A1663))</f>
        <v>363</v>
      </c>
      <c r="I1663" cm="1">
        <f t="array" aca="1" ref="I1663" ca="1">COLUMN(INDIRECT(A1663))</f>
        <v>14</v>
      </c>
      <c r="M1663" t="str" cm="1">
        <f t="array" aca="1" ref="M1663" ca="1">IF(AND(J1663="O",ISBLANK(INDIRECT(A1663))),"Valeur obligatoire non renseignée","")</f>
        <v/>
      </c>
    </row>
    <row r="1664" spans="1:13" x14ac:dyDescent="0.25">
      <c r="A1664" t="s">
        <v>4518</v>
      </c>
      <c r="B1664" cm="1">
        <f t="array" aca="1" ref="B1664" ca="1">INDIRECT(A1664)</f>
        <v>10</v>
      </c>
      <c r="C1664">
        <f t="shared" ca="1" si="100"/>
        <v>7</v>
      </c>
      <c r="D1664" t="str" cm="1">
        <f t="array" aca="1" ref="D1664" ca="1">CELL("nomfichier",INDIRECT(A1664))</f>
        <v>G:\SCPE\sdc\bq\6 - Mentions valorisantes\Certification environnementale\TEXTES_REGLEMENTATION_CE\Plans_contrôle et grilles\Grille audit niveau 3\Grille d'audit v1.11\[grille-audit-hvev4-v1.11-vf.xlsx]Phyto</v>
      </c>
      <c r="E1664">
        <f t="shared" ca="1" si="101"/>
        <v>200</v>
      </c>
      <c r="F1664">
        <f t="shared" ca="1" si="102"/>
        <v>205</v>
      </c>
      <c r="G1664" t="str">
        <f t="shared" ca="1" si="103"/>
        <v>Phyto</v>
      </c>
      <c r="H1664" cm="1">
        <f t="array" aca="1" ref="H1664" ca="1">ROW(INDIRECT(A1664))</f>
        <v>363</v>
      </c>
      <c r="I1664" cm="1">
        <f t="array" aca="1" ref="I1664" ca="1">COLUMN(INDIRECT(A1664))</f>
        <v>23</v>
      </c>
      <c r="M1664" t="str" cm="1">
        <f t="array" aca="1" ref="M1664" ca="1">IF(AND(J1664="O",ISBLANK(INDIRECT(A1664))),"Valeur obligatoire non renseignée","")</f>
        <v/>
      </c>
    </row>
    <row r="1665" spans="1:13" x14ac:dyDescent="0.25">
      <c r="A1665" t="s">
        <v>4792</v>
      </c>
      <c r="B1665" cm="1">
        <f t="array" aca="1" ref="B1665" ca="1">INDIRECT(A1665)</f>
        <v>0</v>
      </c>
      <c r="C1665">
        <f t="shared" ca="1" si="100"/>
        <v>7</v>
      </c>
      <c r="D1665" t="str" cm="1">
        <f t="array" aca="1" ref="D1665" ca="1">CELL("nomfichier",INDIRECT(A1665))</f>
        <v>G:\SCPE\sdc\bq\6 - Mentions valorisantes\Certification environnementale\TEXTES_REGLEMENTATION_CE\Plans_contrôle et grilles\Grille audit niveau 3\Grille d'audit v1.11\[grille-audit-hvev4-v1.11-vf.xlsx]Phyto</v>
      </c>
      <c r="E1665">
        <f t="shared" ca="1" si="101"/>
        <v>200</v>
      </c>
      <c r="F1665">
        <f t="shared" ca="1" si="102"/>
        <v>205</v>
      </c>
      <c r="G1665" t="str">
        <f t="shared" ca="1" si="103"/>
        <v>Phyto</v>
      </c>
      <c r="H1665" cm="1">
        <f t="array" aca="1" ref="H1665" ca="1">ROW(INDIRECT(A1665))</f>
        <v>380</v>
      </c>
      <c r="I1665" cm="1">
        <f t="array" aca="1" ref="I1665" ca="1">COLUMN(INDIRECT(A1665))</f>
        <v>18</v>
      </c>
      <c r="M1665" t="str" cm="1">
        <f t="array" aca="1" ref="M1665" ca="1">IF(AND(J1665="O",ISBLANK(INDIRECT(A1665))),"Valeur obligatoire non renseignée","")</f>
        <v/>
      </c>
    </row>
    <row r="1666" spans="1:13" x14ac:dyDescent="0.25">
      <c r="A1666" t="s">
        <v>4340</v>
      </c>
      <c r="B1666" cm="1">
        <f t="array" aca="1" ref="B1666" ca="1">INDIRECT(A1666)</f>
        <v>63</v>
      </c>
      <c r="C1666">
        <f t="shared" ref="C1666:C1729" ca="1" si="104">_xlfn.SHEET(INDIRECT(A1666))</f>
        <v>7</v>
      </c>
      <c r="D1666" t="str" cm="1">
        <f t="array" aca="1" ref="D1666" ca="1">CELL("nomfichier",INDIRECT(A1666))</f>
        <v>G:\SCPE\sdc\bq\6 - Mentions valorisantes\Certification environnementale\TEXTES_REGLEMENTATION_CE\Plans_contrôle et grilles\Grille audit niveau 3\Grille d'audit v1.11\[grille-audit-hvev4-v1.11-vf.xlsx]Phyto</v>
      </c>
      <c r="E1666">
        <f t="shared" ref="E1666:E1729" ca="1" si="105">FIND("]",D1666)</f>
        <v>200</v>
      </c>
      <c r="F1666">
        <f t="shared" ref="F1666:F1729" ca="1" si="106">LEN(D1666)</f>
        <v>205</v>
      </c>
      <c r="G1666" t="str">
        <f t="shared" ref="G1666:G1729" ca="1" si="107">RIGHT(D1666,F1666-E1666)</f>
        <v>Phyto</v>
      </c>
      <c r="H1666" cm="1">
        <f t="array" aca="1" ref="H1666" ca="1">ROW(INDIRECT(A1666))</f>
        <v>380</v>
      </c>
      <c r="I1666" cm="1">
        <f t="array" aca="1" ref="I1666" ca="1">COLUMN(INDIRECT(A1666))</f>
        <v>23</v>
      </c>
      <c r="M1666" t="str" cm="1">
        <f t="array" aca="1" ref="M1666" ca="1">IF(AND(J1666="O",ISBLANK(INDIRECT(A1666))),"Valeur obligatoire non renseignée","")</f>
        <v/>
      </c>
    </row>
    <row r="1667" spans="1:13" x14ac:dyDescent="0.25">
      <c r="A1667" s="505" t="s">
        <v>4608</v>
      </c>
      <c r="B1667" cm="1">
        <f t="array" aca="1" ref="B1667" ca="1">INDIRECT(A1667)</f>
        <v>0</v>
      </c>
      <c r="C1667">
        <f t="shared" ca="1" si="104"/>
        <v>8</v>
      </c>
      <c r="D1667" t="str" cm="1">
        <f t="array" aca="1" ref="D1667" ca="1">CELL("nomfichier",INDIRECT(A1667))</f>
        <v>G:\SCPE\sdc\bq\6 - Mentions valorisantes\Certification environnementale\TEXTES_REGLEMENTATION_CE\Plans_contrôle et grilles\Grille audit niveau 3\Grille d'audit v1.11\[grille-audit-hvev4-v1.11-vf.xlsx]Fertilisation</v>
      </c>
      <c r="E1667">
        <f t="shared" ca="1" si="105"/>
        <v>200</v>
      </c>
      <c r="F1667">
        <f t="shared" ca="1" si="106"/>
        <v>213</v>
      </c>
      <c r="G1667" t="str">
        <f t="shared" ca="1" si="107"/>
        <v>Fertilisation</v>
      </c>
      <c r="H1667" cm="1">
        <f t="array" aca="1" ref="H1667" ca="1">ROW(INDIRECT(A1667))</f>
        <v>12</v>
      </c>
      <c r="I1667" cm="1">
        <f t="array" aca="1" ref="I1667" ca="1">COLUMN(INDIRECT(A1667))</f>
        <v>16</v>
      </c>
    </row>
    <row r="1668" spans="1:13" x14ac:dyDescent="0.25">
      <c r="A1668" s="505" t="s">
        <v>4630</v>
      </c>
      <c r="B1668" cm="1">
        <f t="array" aca="1" ref="B1668" ca="1">INDIRECT(A1668)</f>
        <v>0</v>
      </c>
      <c r="C1668">
        <f t="shared" ca="1" si="104"/>
        <v>8</v>
      </c>
      <c r="D1668" t="str" cm="1">
        <f t="array" aca="1" ref="D1668" ca="1">CELL("nomfichier",INDIRECT(A1668))</f>
        <v>G:\SCPE\sdc\bq\6 - Mentions valorisantes\Certification environnementale\TEXTES_REGLEMENTATION_CE\Plans_contrôle et grilles\Grille audit niveau 3\Grille d'audit v1.11\[grille-audit-hvev4-v1.11-vf.xlsx]Fertilisation</v>
      </c>
      <c r="E1668">
        <f t="shared" ca="1" si="105"/>
        <v>200</v>
      </c>
      <c r="F1668">
        <f t="shared" ca="1" si="106"/>
        <v>213</v>
      </c>
      <c r="G1668" t="str">
        <f t="shared" ca="1" si="107"/>
        <v>Fertilisation</v>
      </c>
      <c r="H1668" cm="1">
        <f t="array" aca="1" ref="H1668" ca="1">ROW(INDIRECT(A1668))</f>
        <v>12</v>
      </c>
      <c r="I1668" cm="1">
        <f t="array" aca="1" ref="I1668" ca="1">COLUMN(INDIRECT(A1668))</f>
        <v>19</v>
      </c>
    </row>
    <row r="1669" spans="1:13" x14ac:dyDescent="0.25">
      <c r="A1669" s="505" t="s">
        <v>4652</v>
      </c>
      <c r="B1669" cm="1">
        <f t="array" aca="1" ref="B1669" ca="1">INDIRECT(A1669)</f>
        <v>0</v>
      </c>
      <c r="C1669">
        <f t="shared" ca="1" si="104"/>
        <v>8</v>
      </c>
      <c r="D1669" t="str" cm="1">
        <f t="array" aca="1" ref="D1669" ca="1">CELL("nomfichier",INDIRECT(A1669))</f>
        <v>G:\SCPE\sdc\bq\6 - Mentions valorisantes\Certification environnementale\TEXTES_REGLEMENTATION_CE\Plans_contrôle et grilles\Grille audit niveau 3\Grille d'audit v1.11\[grille-audit-hvev4-v1.11-vf.xlsx]Fertilisation</v>
      </c>
      <c r="E1669">
        <f t="shared" ca="1" si="105"/>
        <v>200</v>
      </c>
      <c r="F1669">
        <f t="shared" ca="1" si="106"/>
        <v>213</v>
      </c>
      <c r="G1669" t="str">
        <f t="shared" ca="1" si="107"/>
        <v>Fertilisation</v>
      </c>
      <c r="H1669" cm="1">
        <f t="array" aca="1" ref="H1669" ca="1">ROW(INDIRECT(A1669))</f>
        <v>12</v>
      </c>
      <c r="I1669" cm="1">
        <f t="array" aca="1" ref="I1669" ca="1">COLUMN(INDIRECT(A1669))</f>
        <v>22</v>
      </c>
    </row>
    <row r="1670" spans="1:13" x14ac:dyDescent="0.25">
      <c r="A1670" s="505" t="s">
        <v>4609</v>
      </c>
      <c r="B1670" cm="1">
        <f t="array" aca="1" ref="B1670" ca="1">INDIRECT(A1670)</f>
        <v>0</v>
      </c>
      <c r="C1670">
        <f t="shared" ca="1" si="104"/>
        <v>8</v>
      </c>
      <c r="D1670" t="str" cm="1">
        <f t="array" aca="1" ref="D1670" ca="1">CELL("nomfichier",INDIRECT(A1670))</f>
        <v>G:\SCPE\sdc\bq\6 - Mentions valorisantes\Certification environnementale\TEXTES_REGLEMENTATION_CE\Plans_contrôle et grilles\Grille audit niveau 3\Grille d'audit v1.11\[grille-audit-hvev4-v1.11-vf.xlsx]Fertilisation</v>
      </c>
      <c r="E1670">
        <f t="shared" ca="1" si="105"/>
        <v>200</v>
      </c>
      <c r="F1670">
        <f t="shared" ca="1" si="106"/>
        <v>213</v>
      </c>
      <c r="G1670" t="str">
        <f t="shared" ca="1" si="107"/>
        <v>Fertilisation</v>
      </c>
      <c r="H1670" cm="1">
        <f t="array" aca="1" ref="H1670" ca="1">ROW(INDIRECT(A1670))</f>
        <v>13</v>
      </c>
      <c r="I1670" cm="1">
        <f t="array" aca="1" ref="I1670" ca="1">COLUMN(INDIRECT(A1670))</f>
        <v>16</v>
      </c>
    </row>
    <row r="1671" spans="1:13" x14ac:dyDescent="0.25">
      <c r="A1671" s="505" t="s">
        <v>4631</v>
      </c>
      <c r="B1671" cm="1">
        <f t="array" aca="1" ref="B1671" ca="1">INDIRECT(A1671)</f>
        <v>0</v>
      </c>
      <c r="C1671">
        <f t="shared" ca="1" si="104"/>
        <v>8</v>
      </c>
      <c r="D1671" t="str" cm="1">
        <f t="array" aca="1" ref="D1671" ca="1">CELL("nomfichier",INDIRECT(A1671))</f>
        <v>G:\SCPE\sdc\bq\6 - Mentions valorisantes\Certification environnementale\TEXTES_REGLEMENTATION_CE\Plans_contrôle et grilles\Grille audit niveau 3\Grille d'audit v1.11\[grille-audit-hvev4-v1.11-vf.xlsx]Fertilisation</v>
      </c>
      <c r="E1671">
        <f t="shared" ca="1" si="105"/>
        <v>200</v>
      </c>
      <c r="F1671">
        <f t="shared" ca="1" si="106"/>
        <v>213</v>
      </c>
      <c r="G1671" t="str">
        <f t="shared" ca="1" si="107"/>
        <v>Fertilisation</v>
      </c>
      <c r="H1671" cm="1">
        <f t="array" aca="1" ref="H1671" ca="1">ROW(INDIRECT(A1671))</f>
        <v>13</v>
      </c>
      <c r="I1671" cm="1">
        <f t="array" aca="1" ref="I1671" ca="1">COLUMN(INDIRECT(A1671))</f>
        <v>19</v>
      </c>
    </row>
    <row r="1672" spans="1:13" x14ac:dyDescent="0.25">
      <c r="A1672" s="505" t="s">
        <v>4653</v>
      </c>
      <c r="B1672" cm="1">
        <f t="array" aca="1" ref="B1672" ca="1">INDIRECT(A1672)</f>
        <v>0</v>
      </c>
      <c r="C1672">
        <f t="shared" ca="1" si="104"/>
        <v>8</v>
      </c>
      <c r="D1672" t="str" cm="1">
        <f t="array" aca="1" ref="D1672" ca="1">CELL("nomfichier",INDIRECT(A1672))</f>
        <v>G:\SCPE\sdc\bq\6 - Mentions valorisantes\Certification environnementale\TEXTES_REGLEMENTATION_CE\Plans_contrôle et grilles\Grille audit niveau 3\Grille d'audit v1.11\[grille-audit-hvev4-v1.11-vf.xlsx]Fertilisation</v>
      </c>
      <c r="E1672">
        <f t="shared" ca="1" si="105"/>
        <v>200</v>
      </c>
      <c r="F1672">
        <f t="shared" ca="1" si="106"/>
        <v>213</v>
      </c>
      <c r="G1672" t="str">
        <f t="shared" ca="1" si="107"/>
        <v>Fertilisation</v>
      </c>
      <c r="H1672" cm="1">
        <f t="array" aca="1" ref="H1672" ca="1">ROW(INDIRECT(A1672))</f>
        <v>13</v>
      </c>
      <c r="I1672" cm="1">
        <f t="array" aca="1" ref="I1672" ca="1">COLUMN(INDIRECT(A1672))</f>
        <v>22</v>
      </c>
    </row>
    <row r="1673" spans="1:13" x14ac:dyDescent="0.25">
      <c r="A1673" s="505" t="s">
        <v>4610</v>
      </c>
      <c r="B1673" cm="1">
        <f t="array" aca="1" ref="B1673" ca="1">INDIRECT(A1673)</f>
        <v>0</v>
      </c>
      <c r="C1673">
        <f t="shared" ca="1" si="104"/>
        <v>8</v>
      </c>
      <c r="D1673" t="str" cm="1">
        <f t="array" aca="1" ref="D1673" ca="1">CELL("nomfichier",INDIRECT(A1673))</f>
        <v>G:\SCPE\sdc\bq\6 - Mentions valorisantes\Certification environnementale\TEXTES_REGLEMENTATION_CE\Plans_contrôle et grilles\Grille audit niveau 3\Grille d'audit v1.11\[grille-audit-hvev4-v1.11-vf.xlsx]Fertilisation</v>
      </c>
      <c r="E1673">
        <f t="shared" ca="1" si="105"/>
        <v>200</v>
      </c>
      <c r="F1673">
        <f t="shared" ca="1" si="106"/>
        <v>213</v>
      </c>
      <c r="G1673" t="str">
        <f t="shared" ca="1" si="107"/>
        <v>Fertilisation</v>
      </c>
      <c r="H1673" cm="1">
        <f t="array" aca="1" ref="H1673" ca="1">ROW(INDIRECT(A1673))</f>
        <v>14</v>
      </c>
      <c r="I1673" cm="1">
        <f t="array" aca="1" ref="I1673" ca="1">COLUMN(INDIRECT(A1673))</f>
        <v>16</v>
      </c>
    </row>
    <row r="1674" spans="1:13" x14ac:dyDescent="0.25">
      <c r="A1674" s="505" t="s">
        <v>4632</v>
      </c>
      <c r="B1674" cm="1">
        <f t="array" aca="1" ref="B1674" ca="1">INDIRECT(A1674)</f>
        <v>0</v>
      </c>
      <c r="C1674">
        <f t="shared" ca="1" si="104"/>
        <v>8</v>
      </c>
      <c r="D1674" t="str" cm="1">
        <f t="array" aca="1" ref="D1674" ca="1">CELL("nomfichier",INDIRECT(A1674))</f>
        <v>G:\SCPE\sdc\bq\6 - Mentions valorisantes\Certification environnementale\TEXTES_REGLEMENTATION_CE\Plans_contrôle et grilles\Grille audit niveau 3\Grille d'audit v1.11\[grille-audit-hvev4-v1.11-vf.xlsx]Fertilisation</v>
      </c>
      <c r="E1674">
        <f t="shared" ca="1" si="105"/>
        <v>200</v>
      </c>
      <c r="F1674">
        <f t="shared" ca="1" si="106"/>
        <v>213</v>
      </c>
      <c r="G1674" t="str">
        <f t="shared" ca="1" si="107"/>
        <v>Fertilisation</v>
      </c>
      <c r="H1674" cm="1">
        <f t="array" aca="1" ref="H1674" ca="1">ROW(INDIRECT(A1674))</f>
        <v>14</v>
      </c>
      <c r="I1674" cm="1">
        <f t="array" aca="1" ref="I1674" ca="1">COLUMN(INDIRECT(A1674))</f>
        <v>19</v>
      </c>
    </row>
    <row r="1675" spans="1:13" x14ac:dyDescent="0.25">
      <c r="A1675" s="505" t="s">
        <v>4654</v>
      </c>
      <c r="B1675" cm="1">
        <f t="array" aca="1" ref="B1675" ca="1">INDIRECT(A1675)</f>
        <v>0</v>
      </c>
      <c r="C1675">
        <f t="shared" ca="1" si="104"/>
        <v>8</v>
      </c>
      <c r="D1675" t="str" cm="1">
        <f t="array" aca="1" ref="D1675" ca="1">CELL("nomfichier",INDIRECT(A1675))</f>
        <v>G:\SCPE\sdc\bq\6 - Mentions valorisantes\Certification environnementale\TEXTES_REGLEMENTATION_CE\Plans_contrôle et grilles\Grille audit niveau 3\Grille d'audit v1.11\[grille-audit-hvev4-v1.11-vf.xlsx]Fertilisation</v>
      </c>
      <c r="E1675">
        <f t="shared" ca="1" si="105"/>
        <v>200</v>
      </c>
      <c r="F1675">
        <f t="shared" ca="1" si="106"/>
        <v>213</v>
      </c>
      <c r="G1675" t="str">
        <f t="shared" ca="1" si="107"/>
        <v>Fertilisation</v>
      </c>
      <c r="H1675" cm="1">
        <f t="array" aca="1" ref="H1675" ca="1">ROW(INDIRECT(A1675))</f>
        <v>14</v>
      </c>
      <c r="I1675" cm="1">
        <f t="array" aca="1" ref="I1675" ca="1">COLUMN(INDIRECT(A1675))</f>
        <v>22</v>
      </c>
    </row>
    <row r="1676" spans="1:13" x14ac:dyDescent="0.25">
      <c r="A1676" s="505" t="s">
        <v>4611</v>
      </c>
      <c r="B1676" cm="1">
        <f t="array" aca="1" ref="B1676" ca="1">INDIRECT(A1676)</f>
        <v>0</v>
      </c>
      <c r="C1676">
        <f t="shared" ca="1" si="104"/>
        <v>8</v>
      </c>
      <c r="D1676" t="str" cm="1">
        <f t="array" aca="1" ref="D1676" ca="1">CELL("nomfichier",INDIRECT(A1676))</f>
        <v>G:\SCPE\sdc\bq\6 - Mentions valorisantes\Certification environnementale\TEXTES_REGLEMENTATION_CE\Plans_contrôle et grilles\Grille audit niveau 3\Grille d'audit v1.11\[grille-audit-hvev4-v1.11-vf.xlsx]Fertilisation</v>
      </c>
      <c r="E1676">
        <f t="shared" ca="1" si="105"/>
        <v>200</v>
      </c>
      <c r="F1676">
        <f t="shared" ca="1" si="106"/>
        <v>213</v>
      </c>
      <c r="G1676" t="str">
        <f t="shared" ca="1" si="107"/>
        <v>Fertilisation</v>
      </c>
      <c r="H1676" cm="1">
        <f t="array" aca="1" ref="H1676" ca="1">ROW(INDIRECT(A1676))</f>
        <v>15</v>
      </c>
      <c r="I1676" cm="1">
        <f t="array" aca="1" ref="I1676" ca="1">COLUMN(INDIRECT(A1676))</f>
        <v>16</v>
      </c>
    </row>
    <row r="1677" spans="1:13" x14ac:dyDescent="0.25">
      <c r="A1677" s="505" t="s">
        <v>4633</v>
      </c>
      <c r="B1677" cm="1">
        <f t="array" aca="1" ref="B1677" ca="1">INDIRECT(A1677)</f>
        <v>0</v>
      </c>
      <c r="C1677">
        <f t="shared" ca="1" si="104"/>
        <v>8</v>
      </c>
      <c r="D1677" t="str" cm="1">
        <f t="array" aca="1" ref="D1677" ca="1">CELL("nomfichier",INDIRECT(A1677))</f>
        <v>G:\SCPE\sdc\bq\6 - Mentions valorisantes\Certification environnementale\TEXTES_REGLEMENTATION_CE\Plans_contrôle et grilles\Grille audit niveau 3\Grille d'audit v1.11\[grille-audit-hvev4-v1.11-vf.xlsx]Fertilisation</v>
      </c>
      <c r="E1677">
        <f t="shared" ca="1" si="105"/>
        <v>200</v>
      </c>
      <c r="F1677">
        <f t="shared" ca="1" si="106"/>
        <v>213</v>
      </c>
      <c r="G1677" t="str">
        <f t="shared" ca="1" si="107"/>
        <v>Fertilisation</v>
      </c>
      <c r="H1677" cm="1">
        <f t="array" aca="1" ref="H1677" ca="1">ROW(INDIRECT(A1677))</f>
        <v>15</v>
      </c>
      <c r="I1677" cm="1">
        <f t="array" aca="1" ref="I1677" ca="1">COLUMN(INDIRECT(A1677))</f>
        <v>19</v>
      </c>
    </row>
    <row r="1678" spans="1:13" x14ac:dyDescent="0.25">
      <c r="A1678" s="505" t="s">
        <v>4655</v>
      </c>
      <c r="B1678" cm="1">
        <f t="array" aca="1" ref="B1678" ca="1">INDIRECT(A1678)</f>
        <v>0</v>
      </c>
      <c r="C1678">
        <f t="shared" ca="1" si="104"/>
        <v>8</v>
      </c>
      <c r="D1678" t="str" cm="1">
        <f t="array" aca="1" ref="D1678" ca="1">CELL("nomfichier",INDIRECT(A1678))</f>
        <v>G:\SCPE\sdc\bq\6 - Mentions valorisantes\Certification environnementale\TEXTES_REGLEMENTATION_CE\Plans_contrôle et grilles\Grille audit niveau 3\Grille d'audit v1.11\[grille-audit-hvev4-v1.11-vf.xlsx]Fertilisation</v>
      </c>
      <c r="E1678">
        <f t="shared" ca="1" si="105"/>
        <v>200</v>
      </c>
      <c r="F1678">
        <f t="shared" ca="1" si="106"/>
        <v>213</v>
      </c>
      <c r="G1678" t="str">
        <f t="shared" ca="1" si="107"/>
        <v>Fertilisation</v>
      </c>
      <c r="H1678" cm="1">
        <f t="array" aca="1" ref="H1678" ca="1">ROW(INDIRECT(A1678))</f>
        <v>15</v>
      </c>
      <c r="I1678" cm="1">
        <f t="array" aca="1" ref="I1678" ca="1">COLUMN(INDIRECT(A1678))</f>
        <v>22</v>
      </c>
    </row>
    <row r="1679" spans="1:13" x14ac:dyDescent="0.25">
      <c r="A1679" s="505" t="s">
        <v>4612</v>
      </c>
      <c r="B1679" cm="1">
        <f t="array" aca="1" ref="B1679" ca="1">INDIRECT(A1679)</f>
        <v>0</v>
      </c>
      <c r="C1679">
        <f t="shared" ca="1" si="104"/>
        <v>8</v>
      </c>
      <c r="D1679" t="str" cm="1">
        <f t="array" aca="1" ref="D1679" ca="1">CELL("nomfichier",INDIRECT(A1679))</f>
        <v>G:\SCPE\sdc\bq\6 - Mentions valorisantes\Certification environnementale\TEXTES_REGLEMENTATION_CE\Plans_contrôle et grilles\Grille audit niveau 3\Grille d'audit v1.11\[grille-audit-hvev4-v1.11-vf.xlsx]Fertilisation</v>
      </c>
      <c r="E1679">
        <f t="shared" ca="1" si="105"/>
        <v>200</v>
      </c>
      <c r="F1679">
        <f t="shared" ca="1" si="106"/>
        <v>213</v>
      </c>
      <c r="G1679" t="str">
        <f t="shared" ca="1" si="107"/>
        <v>Fertilisation</v>
      </c>
      <c r="H1679" cm="1">
        <f t="array" aca="1" ref="H1679" ca="1">ROW(INDIRECT(A1679))</f>
        <v>18</v>
      </c>
      <c r="I1679" cm="1">
        <f t="array" aca="1" ref="I1679" ca="1">COLUMN(INDIRECT(A1679))</f>
        <v>16</v>
      </c>
    </row>
    <row r="1680" spans="1:13" x14ac:dyDescent="0.25">
      <c r="A1680" s="505" t="s">
        <v>4634</v>
      </c>
      <c r="B1680" cm="1">
        <f t="array" aca="1" ref="B1680" ca="1">INDIRECT(A1680)</f>
        <v>0</v>
      </c>
      <c r="C1680">
        <f t="shared" ca="1" si="104"/>
        <v>8</v>
      </c>
      <c r="D1680" t="str" cm="1">
        <f t="array" aca="1" ref="D1680" ca="1">CELL("nomfichier",INDIRECT(A1680))</f>
        <v>G:\SCPE\sdc\bq\6 - Mentions valorisantes\Certification environnementale\TEXTES_REGLEMENTATION_CE\Plans_contrôle et grilles\Grille audit niveau 3\Grille d'audit v1.11\[grille-audit-hvev4-v1.11-vf.xlsx]Fertilisation</v>
      </c>
      <c r="E1680">
        <f t="shared" ca="1" si="105"/>
        <v>200</v>
      </c>
      <c r="F1680">
        <f t="shared" ca="1" si="106"/>
        <v>213</v>
      </c>
      <c r="G1680" t="str">
        <f t="shared" ca="1" si="107"/>
        <v>Fertilisation</v>
      </c>
      <c r="H1680" cm="1">
        <f t="array" aca="1" ref="H1680" ca="1">ROW(INDIRECT(A1680))</f>
        <v>18</v>
      </c>
      <c r="I1680" cm="1">
        <f t="array" aca="1" ref="I1680" ca="1">COLUMN(INDIRECT(A1680))</f>
        <v>19</v>
      </c>
    </row>
    <row r="1681" spans="1:9" x14ac:dyDescent="0.25">
      <c r="A1681" s="505" t="s">
        <v>4656</v>
      </c>
      <c r="B1681" cm="1">
        <f t="array" aca="1" ref="B1681" ca="1">INDIRECT(A1681)</f>
        <v>0</v>
      </c>
      <c r="C1681">
        <f t="shared" ca="1" si="104"/>
        <v>8</v>
      </c>
      <c r="D1681" t="str" cm="1">
        <f t="array" aca="1" ref="D1681" ca="1">CELL("nomfichier",INDIRECT(A1681))</f>
        <v>G:\SCPE\sdc\bq\6 - Mentions valorisantes\Certification environnementale\TEXTES_REGLEMENTATION_CE\Plans_contrôle et grilles\Grille audit niveau 3\Grille d'audit v1.11\[grille-audit-hvev4-v1.11-vf.xlsx]Fertilisation</v>
      </c>
      <c r="E1681">
        <f t="shared" ca="1" si="105"/>
        <v>200</v>
      </c>
      <c r="F1681">
        <f t="shared" ca="1" si="106"/>
        <v>213</v>
      </c>
      <c r="G1681" t="str">
        <f t="shared" ca="1" si="107"/>
        <v>Fertilisation</v>
      </c>
      <c r="H1681" cm="1">
        <f t="array" aca="1" ref="H1681" ca="1">ROW(INDIRECT(A1681))</f>
        <v>18</v>
      </c>
      <c r="I1681" cm="1">
        <f t="array" aca="1" ref="I1681" ca="1">COLUMN(INDIRECT(A1681))</f>
        <v>22</v>
      </c>
    </row>
    <row r="1682" spans="1:9" x14ac:dyDescent="0.25">
      <c r="A1682" s="505" t="s">
        <v>4613</v>
      </c>
      <c r="B1682" cm="1">
        <f t="array" aca="1" ref="B1682" ca="1">INDIRECT(A1682)</f>
        <v>0</v>
      </c>
      <c r="C1682">
        <f t="shared" ca="1" si="104"/>
        <v>8</v>
      </c>
      <c r="D1682" t="str" cm="1">
        <f t="array" aca="1" ref="D1682" ca="1">CELL("nomfichier",INDIRECT(A1682))</f>
        <v>G:\SCPE\sdc\bq\6 - Mentions valorisantes\Certification environnementale\TEXTES_REGLEMENTATION_CE\Plans_contrôle et grilles\Grille audit niveau 3\Grille d'audit v1.11\[grille-audit-hvev4-v1.11-vf.xlsx]Fertilisation</v>
      </c>
      <c r="E1682">
        <f t="shared" ca="1" si="105"/>
        <v>200</v>
      </c>
      <c r="F1682">
        <f t="shared" ca="1" si="106"/>
        <v>213</v>
      </c>
      <c r="G1682" t="str">
        <f t="shared" ca="1" si="107"/>
        <v>Fertilisation</v>
      </c>
      <c r="H1682" cm="1">
        <f t="array" aca="1" ref="H1682" ca="1">ROW(INDIRECT(A1682))</f>
        <v>19</v>
      </c>
      <c r="I1682" cm="1">
        <f t="array" aca="1" ref="I1682" ca="1">COLUMN(INDIRECT(A1682))</f>
        <v>16</v>
      </c>
    </row>
    <row r="1683" spans="1:9" x14ac:dyDescent="0.25">
      <c r="A1683" s="505" t="s">
        <v>4635</v>
      </c>
      <c r="B1683" cm="1">
        <f t="array" aca="1" ref="B1683" ca="1">INDIRECT(A1683)</f>
        <v>0</v>
      </c>
      <c r="C1683">
        <f t="shared" ca="1" si="104"/>
        <v>8</v>
      </c>
      <c r="D1683" t="str" cm="1">
        <f t="array" aca="1" ref="D1683" ca="1">CELL("nomfichier",INDIRECT(A1683))</f>
        <v>G:\SCPE\sdc\bq\6 - Mentions valorisantes\Certification environnementale\TEXTES_REGLEMENTATION_CE\Plans_contrôle et grilles\Grille audit niveau 3\Grille d'audit v1.11\[grille-audit-hvev4-v1.11-vf.xlsx]Fertilisation</v>
      </c>
      <c r="E1683">
        <f t="shared" ca="1" si="105"/>
        <v>200</v>
      </c>
      <c r="F1683">
        <f t="shared" ca="1" si="106"/>
        <v>213</v>
      </c>
      <c r="G1683" t="str">
        <f t="shared" ca="1" si="107"/>
        <v>Fertilisation</v>
      </c>
      <c r="H1683" cm="1">
        <f t="array" aca="1" ref="H1683" ca="1">ROW(INDIRECT(A1683))</f>
        <v>19</v>
      </c>
      <c r="I1683" cm="1">
        <f t="array" aca="1" ref="I1683" ca="1">COLUMN(INDIRECT(A1683))</f>
        <v>19</v>
      </c>
    </row>
    <row r="1684" spans="1:9" x14ac:dyDescent="0.25">
      <c r="A1684" s="505" t="s">
        <v>4657</v>
      </c>
      <c r="B1684" cm="1">
        <f t="array" aca="1" ref="B1684" ca="1">INDIRECT(A1684)</f>
        <v>0</v>
      </c>
      <c r="C1684">
        <f t="shared" ca="1" si="104"/>
        <v>8</v>
      </c>
      <c r="D1684" t="str" cm="1">
        <f t="array" aca="1" ref="D1684" ca="1">CELL("nomfichier",INDIRECT(A1684))</f>
        <v>G:\SCPE\sdc\bq\6 - Mentions valorisantes\Certification environnementale\TEXTES_REGLEMENTATION_CE\Plans_contrôle et grilles\Grille audit niveau 3\Grille d'audit v1.11\[grille-audit-hvev4-v1.11-vf.xlsx]Fertilisation</v>
      </c>
      <c r="E1684">
        <f t="shared" ca="1" si="105"/>
        <v>200</v>
      </c>
      <c r="F1684">
        <f t="shared" ca="1" si="106"/>
        <v>213</v>
      </c>
      <c r="G1684" t="str">
        <f t="shared" ca="1" si="107"/>
        <v>Fertilisation</v>
      </c>
      <c r="H1684" cm="1">
        <f t="array" aca="1" ref="H1684" ca="1">ROW(INDIRECT(A1684))</f>
        <v>19</v>
      </c>
      <c r="I1684" cm="1">
        <f t="array" aca="1" ref="I1684" ca="1">COLUMN(INDIRECT(A1684))</f>
        <v>22</v>
      </c>
    </row>
    <row r="1685" spans="1:9" x14ac:dyDescent="0.25">
      <c r="A1685" s="505" t="s">
        <v>4614</v>
      </c>
      <c r="B1685" cm="1">
        <f t="array" aca="1" ref="B1685" ca="1">INDIRECT(A1685)</f>
        <v>0</v>
      </c>
      <c r="C1685">
        <f t="shared" ca="1" si="104"/>
        <v>8</v>
      </c>
      <c r="D1685" t="str" cm="1">
        <f t="array" aca="1" ref="D1685" ca="1">CELL("nomfichier",INDIRECT(A1685))</f>
        <v>G:\SCPE\sdc\bq\6 - Mentions valorisantes\Certification environnementale\TEXTES_REGLEMENTATION_CE\Plans_contrôle et grilles\Grille audit niveau 3\Grille d'audit v1.11\[grille-audit-hvev4-v1.11-vf.xlsx]Fertilisation</v>
      </c>
      <c r="E1685">
        <f t="shared" ca="1" si="105"/>
        <v>200</v>
      </c>
      <c r="F1685">
        <f t="shared" ca="1" si="106"/>
        <v>213</v>
      </c>
      <c r="G1685" t="str">
        <f t="shared" ca="1" si="107"/>
        <v>Fertilisation</v>
      </c>
      <c r="H1685" cm="1">
        <f t="array" aca="1" ref="H1685" ca="1">ROW(INDIRECT(A1685))</f>
        <v>20</v>
      </c>
      <c r="I1685" cm="1">
        <f t="array" aca="1" ref="I1685" ca="1">COLUMN(INDIRECT(A1685))</f>
        <v>16</v>
      </c>
    </row>
    <row r="1686" spans="1:9" x14ac:dyDescent="0.25">
      <c r="A1686" s="505" t="s">
        <v>4636</v>
      </c>
      <c r="B1686" cm="1">
        <f t="array" aca="1" ref="B1686" ca="1">INDIRECT(A1686)</f>
        <v>0</v>
      </c>
      <c r="C1686">
        <f t="shared" ca="1" si="104"/>
        <v>8</v>
      </c>
      <c r="D1686" t="str" cm="1">
        <f t="array" aca="1" ref="D1686" ca="1">CELL("nomfichier",INDIRECT(A1686))</f>
        <v>G:\SCPE\sdc\bq\6 - Mentions valorisantes\Certification environnementale\TEXTES_REGLEMENTATION_CE\Plans_contrôle et grilles\Grille audit niveau 3\Grille d'audit v1.11\[grille-audit-hvev4-v1.11-vf.xlsx]Fertilisation</v>
      </c>
      <c r="E1686">
        <f t="shared" ca="1" si="105"/>
        <v>200</v>
      </c>
      <c r="F1686">
        <f t="shared" ca="1" si="106"/>
        <v>213</v>
      </c>
      <c r="G1686" t="str">
        <f t="shared" ca="1" si="107"/>
        <v>Fertilisation</v>
      </c>
      <c r="H1686" cm="1">
        <f t="array" aca="1" ref="H1686" ca="1">ROW(INDIRECT(A1686))</f>
        <v>20</v>
      </c>
      <c r="I1686" cm="1">
        <f t="array" aca="1" ref="I1686" ca="1">COLUMN(INDIRECT(A1686))</f>
        <v>19</v>
      </c>
    </row>
    <row r="1687" spans="1:9" x14ac:dyDescent="0.25">
      <c r="A1687" s="505" t="s">
        <v>4658</v>
      </c>
      <c r="B1687" cm="1">
        <f t="array" aca="1" ref="B1687" ca="1">INDIRECT(A1687)</f>
        <v>0</v>
      </c>
      <c r="C1687">
        <f t="shared" ca="1" si="104"/>
        <v>8</v>
      </c>
      <c r="D1687" t="str" cm="1">
        <f t="array" aca="1" ref="D1687" ca="1">CELL("nomfichier",INDIRECT(A1687))</f>
        <v>G:\SCPE\sdc\bq\6 - Mentions valorisantes\Certification environnementale\TEXTES_REGLEMENTATION_CE\Plans_contrôle et grilles\Grille audit niveau 3\Grille d'audit v1.11\[grille-audit-hvev4-v1.11-vf.xlsx]Fertilisation</v>
      </c>
      <c r="E1687">
        <f t="shared" ca="1" si="105"/>
        <v>200</v>
      </c>
      <c r="F1687">
        <f t="shared" ca="1" si="106"/>
        <v>213</v>
      </c>
      <c r="G1687" t="str">
        <f t="shared" ca="1" si="107"/>
        <v>Fertilisation</v>
      </c>
      <c r="H1687" cm="1">
        <f t="array" aca="1" ref="H1687" ca="1">ROW(INDIRECT(A1687))</f>
        <v>20</v>
      </c>
      <c r="I1687" cm="1">
        <f t="array" aca="1" ref="I1687" ca="1">COLUMN(INDIRECT(A1687))</f>
        <v>22</v>
      </c>
    </row>
    <row r="1688" spans="1:9" x14ac:dyDescent="0.25">
      <c r="A1688" s="505" t="s">
        <v>4615</v>
      </c>
      <c r="B1688" cm="1">
        <f t="array" aca="1" ref="B1688" ca="1">INDIRECT(A1688)</f>
        <v>0</v>
      </c>
      <c r="C1688">
        <f t="shared" ca="1" si="104"/>
        <v>8</v>
      </c>
      <c r="D1688" t="str" cm="1">
        <f t="array" aca="1" ref="D1688" ca="1">CELL("nomfichier",INDIRECT(A1688))</f>
        <v>G:\SCPE\sdc\bq\6 - Mentions valorisantes\Certification environnementale\TEXTES_REGLEMENTATION_CE\Plans_contrôle et grilles\Grille audit niveau 3\Grille d'audit v1.11\[grille-audit-hvev4-v1.11-vf.xlsx]Fertilisation</v>
      </c>
      <c r="E1688">
        <f t="shared" ca="1" si="105"/>
        <v>200</v>
      </c>
      <c r="F1688">
        <f t="shared" ca="1" si="106"/>
        <v>213</v>
      </c>
      <c r="G1688" t="str">
        <f t="shared" ca="1" si="107"/>
        <v>Fertilisation</v>
      </c>
      <c r="H1688" cm="1">
        <f t="array" aca="1" ref="H1688" ca="1">ROW(INDIRECT(A1688))</f>
        <v>21</v>
      </c>
      <c r="I1688" cm="1">
        <f t="array" aca="1" ref="I1688" ca="1">COLUMN(INDIRECT(A1688))</f>
        <v>16</v>
      </c>
    </row>
    <row r="1689" spans="1:9" x14ac:dyDescent="0.25">
      <c r="A1689" s="505" t="s">
        <v>4637</v>
      </c>
      <c r="B1689" cm="1">
        <f t="array" aca="1" ref="B1689" ca="1">INDIRECT(A1689)</f>
        <v>0</v>
      </c>
      <c r="C1689">
        <f t="shared" ca="1" si="104"/>
        <v>8</v>
      </c>
      <c r="D1689" t="str" cm="1">
        <f t="array" aca="1" ref="D1689" ca="1">CELL("nomfichier",INDIRECT(A1689))</f>
        <v>G:\SCPE\sdc\bq\6 - Mentions valorisantes\Certification environnementale\TEXTES_REGLEMENTATION_CE\Plans_contrôle et grilles\Grille audit niveau 3\Grille d'audit v1.11\[grille-audit-hvev4-v1.11-vf.xlsx]Fertilisation</v>
      </c>
      <c r="E1689">
        <f t="shared" ca="1" si="105"/>
        <v>200</v>
      </c>
      <c r="F1689">
        <f t="shared" ca="1" si="106"/>
        <v>213</v>
      </c>
      <c r="G1689" t="str">
        <f t="shared" ca="1" si="107"/>
        <v>Fertilisation</v>
      </c>
      <c r="H1689" cm="1">
        <f t="array" aca="1" ref="H1689" ca="1">ROW(INDIRECT(A1689))</f>
        <v>21</v>
      </c>
      <c r="I1689" cm="1">
        <f t="array" aca="1" ref="I1689" ca="1">COLUMN(INDIRECT(A1689))</f>
        <v>19</v>
      </c>
    </row>
    <row r="1690" spans="1:9" x14ac:dyDescent="0.25">
      <c r="A1690" s="505" t="s">
        <v>4659</v>
      </c>
      <c r="B1690" cm="1">
        <f t="array" aca="1" ref="B1690" ca="1">INDIRECT(A1690)</f>
        <v>0</v>
      </c>
      <c r="C1690">
        <f t="shared" ca="1" si="104"/>
        <v>8</v>
      </c>
      <c r="D1690" t="str" cm="1">
        <f t="array" aca="1" ref="D1690" ca="1">CELL("nomfichier",INDIRECT(A1690))</f>
        <v>G:\SCPE\sdc\bq\6 - Mentions valorisantes\Certification environnementale\TEXTES_REGLEMENTATION_CE\Plans_contrôle et grilles\Grille audit niveau 3\Grille d'audit v1.11\[grille-audit-hvev4-v1.11-vf.xlsx]Fertilisation</v>
      </c>
      <c r="E1690">
        <f t="shared" ca="1" si="105"/>
        <v>200</v>
      </c>
      <c r="F1690">
        <f t="shared" ca="1" si="106"/>
        <v>213</v>
      </c>
      <c r="G1690" t="str">
        <f t="shared" ca="1" si="107"/>
        <v>Fertilisation</v>
      </c>
      <c r="H1690" cm="1">
        <f t="array" aca="1" ref="H1690" ca="1">ROW(INDIRECT(A1690))</f>
        <v>21</v>
      </c>
      <c r="I1690" cm="1">
        <f t="array" aca="1" ref="I1690" ca="1">COLUMN(INDIRECT(A1690))</f>
        <v>22</v>
      </c>
    </row>
    <row r="1691" spans="1:9" x14ac:dyDescent="0.25">
      <c r="A1691" s="505" t="s">
        <v>4616</v>
      </c>
      <c r="B1691" t="str" cm="1">
        <f t="array" aca="1" ref="B1691" ca="1">INDIRECT(A1691)</f>
        <v/>
      </c>
      <c r="C1691">
        <f t="shared" ca="1" si="104"/>
        <v>8</v>
      </c>
      <c r="D1691" t="str" cm="1">
        <f t="array" aca="1" ref="D1691" ca="1">CELL("nomfichier",INDIRECT(A1691))</f>
        <v>G:\SCPE\sdc\bq\6 - Mentions valorisantes\Certification environnementale\TEXTES_REGLEMENTATION_CE\Plans_contrôle et grilles\Grille audit niveau 3\Grille d'audit v1.11\[grille-audit-hvev4-v1.11-vf.xlsx]Fertilisation</v>
      </c>
      <c r="E1691">
        <f t="shared" ca="1" si="105"/>
        <v>200</v>
      </c>
      <c r="F1691">
        <f t="shared" ca="1" si="106"/>
        <v>213</v>
      </c>
      <c r="G1691" t="str">
        <f t="shared" ca="1" si="107"/>
        <v>Fertilisation</v>
      </c>
      <c r="H1691" cm="1">
        <f t="array" aca="1" ref="H1691" ca="1">ROW(INDIRECT(A1691))</f>
        <v>23</v>
      </c>
      <c r="I1691" cm="1">
        <f t="array" aca="1" ref="I1691" ca="1">COLUMN(INDIRECT(A1691))</f>
        <v>16</v>
      </c>
    </row>
    <row r="1692" spans="1:9" x14ac:dyDescent="0.25">
      <c r="A1692" s="505" t="s">
        <v>4638</v>
      </c>
      <c r="B1692" t="str" cm="1">
        <f t="array" aca="1" ref="B1692" ca="1">INDIRECT(A1692)</f>
        <v/>
      </c>
      <c r="C1692">
        <f t="shared" ca="1" si="104"/>
        <v>8</v>
      </c>
      <c r="D1692" t="str" cm="1">
        <f t="array" aca="1" ref="D1692" ca="1">CELL("nomfichier",INDIRECT(A1692))</f>
        <v>G:\SCPE\sdc\bq\6 - Mentions valorisantes\Certification environnementale\TEXTES_REGLEMENTATION_CE\Plans_contrôle et grilles\Grille audit niveau 3\Grille d'audit v1.11\[grille-audit-hvev4-v1.11-vf.xlsx]Fertilisation</v>
      </c>
      <c r="E1692">
        <f t="shared" ca="1" si="105"/>
        <v>200</v>
      </c>
      <c r="F1692">
        <f t="shared" ca="1" si="106"/>
        <v>213</v>
      </c>
      <c r="G1692" t="str">
        <f t="shared" ca="1" si="107"/>
        <v>Fertilisation</v>
      </c>
      <c r="H1692" cm="1">
        <f t="array" aca="1" ref="H1692" ca="1">ROW(INDIRECT(A1692))</f>
        <v>23</v>
      </c>
      <c r="I1692" cm="1">
        <f t="array" aca="1" ref="I1692" ca="1">COLUMN(INDIRECT(A1692))</f>
        <v>19</v>
      </c>
    </row>
    <row r="1693" spans="1:9" x14ac:dyDescent="0.25">
      <c r="A1693" s="505" t="s">
        <v>4660</v>
      </c>
      <c r="B1693" t="str" cm="1">
        <f t="array" aca="1" ref="B1693" ca="1">INDIRECT(A1693)</f>
        <v/>
      </c>
      <c r="C1693">
        <f t="shared" ca="1" si="104"/>
        <v>8</v>
      </c>
      <c r="D1693" t="str" cm="1">
        <f t="array" aca="1" ref="D1693" ca="1">CELL("nomfichier",INDIRECT(A1693))</f>
        <v>G:\SCPE\sdc\bq\6 - Mentions valorisantes\Certification environnementale\TEXTES_REGLEMENTATION_CE\Plans_contrôle et grilles\Grille audit niveau 3\Grille d'audit v1.11\[grille-audit-hvev4-v1.11-vf.xlsx]Fertilisation</v>
      </c>
      <c r="E1693">
        <f t="shared" ca="1" si="105"/>
        <v>200</v>
      </c>
      <c r="F1693">
        <f t="shared" ca="1" si="106"/>
        <v>213</v>
      </c>
      <c r="G1693" t="str">
        <f t="shared" ca="1" si="107"/>
        <v>Fertilisation</v>
      </c>
      <c r="H1693" cm="1">
        <f t="array" aca="1" ref="H1693" ca="1">ROW(INDIRECT(A1693))</f>
        <v>23</v>
      </c>
      <c r="I1693" cm="1">
        <f t="array" aca="1" ref="I1693" ca="1">COLUMN(INDIRECT(A1693))</f>
        <v>22</v>
      </c>
    </row>
    <row r="1694" spans="1:9" x14ac:dyDescent="0.25">
      <c r="A1694" s="505" t="s">
        <v>4617</v>
      </c>
      <c r="B1694" t="str" cm="1">
        <f t="array" aca="1" ref="B1694" ca="1">INDIRECT(A1694)</f>
        <v/>
      </c>
      <c r="C1694">
        <f t="shared" ca="1" si="104"/>
        <v>8</v>
      </c>
      <c r="D1694" t="str" cm="1">
        <f t="array" aca="1" ref="D1694" ca="1">CELL("nomfichier",INDIRECT(A1694))</f>
        <v>G:\SCPE\sdc\bq\6 - Mentions valorisantes\Certification environnementale\TEXTES_REGLEMENTATION_CE\Plans_contrôle et grilles\Grille audit niveau 3\Grille d'audit v1.11\[grille-audit-hvev4-v1.11-vf.xlsx]Fertilisation</v>
      </c>
      <c r="E1694">
        <f t="shared" ca="1" si="105"/>
        <v>200</v>
      </c>
      <c r="F1694">
        <f t="shared" ca="1" si="106"/>
        <v>213</v>
      </c>
      <c r="G1694" t="str">
        <f t="shared" ca="1" si="107"/>
        <v>Fertilisation</v>
      </c>
      <c r="H1694" cm="1">
        <f t="array" aca="1" ref="H1694" ca="1">ROW(INDIRECT(A1694))</f>
        <v>25</v>
      </c>
      <c r="I1694" cm="1">
        <f t="array" aca="1" ref="I1694" ca="1">COLUMN(INDIRECT(A1694))</f>
        <v>16</v>
      </c>
    </row>
    <row r="1695" spans="1:9" x14ac:dyDescent="0.25">
      <c r="A1695" s="505" t="s">
        <v>4639</v>
      </c>
      <c r="B1695" t="str" cm="1">
        <f t="array" aca="1" ref="B1695" ca="1">INDIRECT(A1695)</f>
        <v/>
      </c>
      <c r="C1695">
        <f t="shared" ca="1" si="104"/>
        <v>8</v>
      </c>
      <c r="D1695" t="str" cm="1">
        <f t="array" aca="1" ref="D1695" ca="1">CELL("nomfichier",INDIRECT(A1695))</f>
        <v>G:\SCPE\sdc\bq\6 - Mentions valorisantes\Certification environnementale\TEXTES_REGLEMENTATION_CE\Plans_contrôle et grilles\Grille audit niveau 3\Grille d'audit v1.11\[grille-audit-hvev4-v1.11-vf.xlsx]Fertilisation</v>
      </c>
      <c r="E1695">
        <f t="shared" ca="1" si="105"/>
        <v>200</v>
      </c>
      <c r="F1695">
        <f t="shared" ca="1" si="106"/>
        <v>213</v>
      </c>
      <c r="G1695" t="str">
        <f t="shared" ca="1" si="107"/>
        <v>Fertilisation</v>
      </c>
      <c r="H1695" cm="1">
        <f t="array" aca="1" ref="H1695" ca="1">ROW(INDIRECT(A1695))</f>
        <v>25</v>
      </c>
      <c r="I1695" cm="1">
        <f t="array" aca="1" ref="I1695" ca="1">COLUMN(INDIRECT(A1695))</f>
        <v>19</v>
      </c>
    </row>
    <row r="1696" spans="1:9" x14ac:dyDescent="0.25">
      <c r="A1696" s="505" t="s">
        <v>4661</v>
      </c>
      <c r="B1696" t="str" cm="1">
        <f t="array" aca="1" ref="B1696" ca="1">INDIRECT(A1696)</f>
        <v/>
      </c>
      <c r="C1696">
        <f t="shared" ca="1" si="104"/>
        <v>8</v>
      </c>
      <c r="D1696" t="str" cm="1">
        <f t="array" aca="1" ref="D1696" ca="1">CELL("nomfichier",INDIRECT(A1696))</f>
        <v>G:\SCPE\sdc\bq\6 - Mentions valorisantes\Certification environnementale\TEXTES_REGLEMENTATION_CE\Plans_contrôle et grilles\Grille audit niveau 3\Grille d'audit v1.11\[grille-audit-hvev4-v1.11-vf.xlsx]Fertilisation</v>
      </c>
      <c r="E1696">
        <f t="shared" ca="1" si="105"/>
        <v>200</v>
      </c>
      <c r="F1696">
        <f t="shared" ca="1" si="106"/>
        <v>213</v>
      </c>
      <c r="G1696" t="str">
        <f t="shared" ca="1" si="107"/>
        <v>Fertilisation</v>
      </c>
      <c r="H1696" cm="1">
        <f t="array" aca="1" ref="H1696" ca="1">ROW(INDIRECT(A1696))</f>
        <v>25</v>
      </c>
      <c r="I1696" cm="1">
        <f t="array" aca="1" ref="I1696" ca="1">COLUMN(INDIRECT(A1696))</f>
        <v>22</v>
      </c>
    </row>
    <row r="1697" spans="1:9" x14ac:dyDescent="0.25">
      <c r="A1697" s="506" t="s">
        <v>4618</v>
      </c>
      <c r="B1697" cm="1">
        <f t="array" aca="1" ref="B1697" ca="1">INDIRECT(A1697)</f>
        <v>0</v>
      </c>
      <c r="C1697">
        <f t="shared" ca="1" si="104"/>
        <v>8</v>
      </c>
      <c r="D1697" t="str" cm="1">
        <f t="array" aca="1" ref="D1697" ca="1">CELL("nomfichier",INDIRECT(A1697))</f>
        <v>G:\SCPE\sdc\bq\6 - Mentions valorisantes\Certification environnementale\TEXTES_REGLEMENTATION_CE\Plans_contrôle et grilles\Grille audit niveau 3\Grille d'audit v1.11\[grille-audit-hvev4-v1.11-vf.xlsx]Fertilisation</v>
      </c>
      <c r="E1697">
        <f t="shared" ca="1" si="105"/>
        <v>200</v>
      </c>
      <c r="F1697">
        <f t="shared" ca="1" si="106"/>
        <v>213</v>
      </c>
      <c r="G1697" t="str">
        <f t="shared" ca="1" si="107"/>
        <v>Fertilisation</v>
      </c>
      <c r="H1697" cm="1">
        <f t="array" aca="1" ref="H1697" ca="1">ROW(INDIRECT(A1697))</f>
        <v>31</v>
      </c>
      <c r="I1697" cm="1">
        <f t="array" aca="1" ref="I1697" ca="1">COLUMN(INDIRECT(A1697))</f>
        <v>16</v>
      </c>
    </row>
    <row r="1698" spans="1:9" x14ac:dyDescent="0.25">
      <c r="A1698" s="506" t="s">
        <v>4640</v>
      </c>
      <c r="B1698" cm="1">
        <f t="array" aca="1" ref="B1698" ca="1">INDIRECT(A1698)</f>
        <v>0</v>
      </c>
      <c r="C1698">
        <f t="shared" ca="1" si="104"/>
        <v>8</v>
      </c>
      <c r="D1698" t="str" cm="1">
        <f t="array" aca="1" ref="D1698" ca="1">CELL("nomfichier",INDIRECT(A1698))</f>
        <v>G:\SCPE\sdc\bq\6 - Mentions valorisantes\Certification environnementale\TEXTES_REGLEMENTATION_CE\Plans_contrôle et grilles\Grille audit niveau 3\Grille d'audit v1.11\[grille-audit-hvev4-v1.11-vf.xlsx]Fertilisation</v>
      </c>
      <c r="E1698">
        <f t="shared" ca="1" si="105"/>
        <v>200</v>
      </c>
      <c r="F1698">
        <f t="shared" ca="1" si="106"/>
        <v>213</v>
      </c>
      <c r="G1698" t="str">
        <f t="shared" ca="1" si="107"/>
        <v>Fertilisation</v>
      </c>
      <c r="H1698" cm="1">
        <f t="array" aca="1" ref="H1698" ca="1">ROW(INDIRECT(A1698))</f>
        <v>31</v>
      </c>
      <c r="I1698" cm="1">
        <f t="array" aca="1" ref="I1698" ca="1">COLUMN(INDIRECT(A1698))</f>
        <v>19</v>
      </c>
    </row>
    <row r="1699" spans="1:9" x14ac:dyDescent="0.25">
      <c r="A1699" s="506" t="s">
        <v>4662</v>
      </c>
      <c r="B1699" cm="1">
        <f t="array" aca="1" ref="B1699" ca="1">INDIRECT(A1699)</f>
        <v>0</v>
      </c>
      <c r="C1699">
        <f t="shared" ca="1" si="104"/>
        <v>8</v>
      </c>
      <c r="D1699" t="str" cm="1">
        <f t="array" aca="1" ref="D1699" ca="1">CELL("nomfichier",INDIRECT(A1699))</f>
        <v>G:\SCPE\sdc\bq\6 - Mentions valorisantes\Certification environnementale\TEXTES_REGLEMENTATION_CE\Plans_contrôle et grilles\Grille audit niveau 3\Grille d'audit v1.11\[grille-audit-hvev4-v1.11-vf.xlsx]Fertilisation</v>
      </c>
      <c r="E1699">
        <f t="shared" ca="1" si="105"/>
        <v>200</v>
      </c>
      <c r="F1699">
        <f t="shared" ca="1" si="106"/>
        <v>213</v>
      </c>
      <c r="G1699" t="str">
        <f t="shared" ca="1" si="107"/>
        <v>Fertilisation</v>
      </c>
      <c r="H1699" cm="1">
        <f t="array" aca="1" ref="H1699" ca="1">ROW(INDIRECT(A1699))</f>
        <v>31</v>
      </c>
      <c r="I1699" cm="1">
        <f t="array" aca="1" ref="I1699" ca="1">COLUMN(INDIRECT(A1699))</f>
        <v>22</v>
      </c>
    </row>
    <row r="1700" spans="1:9" x14ac:dyDescent="0.25">
      <c r="A1700" s="506" t="s">
        <v>4619</v>
      </c>
      <c r="B1700" cm="1">
        <f t="array" aca="1" ref="B1700" ca="1">INDIRECT(A1700)</f>
        <v>0</v>
      </c>
      <c r="C1700">
        <f t="shared" ca="1" si="104"/>
        <v>8</v>
      </c>
      <c r="D1700" t="str" cm="1">
        <f t="array" aca="1" ref="D1700" ca="1">CELL("nomfichier",INDIRECT(A1700))</f>
        <v>G:\SCPE\sdc\bq\6 - Mentions valorisantes\Certification environnementale\TEXTES_REGLEMENTATION_CE\Plans_contrôle et grilles\Grille audit niveau 3\Grille d'audit v1.11\[grille-audit-hvev4-v1.11-vf.xlsx]Fertilisation</v>
      </c>
      <c r="E1700">
        <f t="shared" ca="1" si="105"/>
        <v>200</v>
      </c>
      <c r="F1700">
        <f t="shared" ca="1" si="106"/>
        <v>213</v>
      </c>
      <c r="G1700" t="str">
        <f t="shared" ca="1" si="107"/>
        <v>Fertilisation</v>
      </c>
      <c r="H1700" cm="1">
        <f t="array" aca="1" ref="H1700" ca="1">ROW(INDIRECT(A1700))</f>
        <v>32</v>
      </c>
      <c r="I1700" cm="1">
        <f t="array" aca="1" ref="I1700" ca="1">COLUMN(INDIRECT(A1700))</f>
        <v>16</v>
      </c>
    </row>
    <row r="1701" spans="1:9" x14ac:dyDescent="0.25">
      <c r="A1701" s="506" t="s">
        <v>4641</v>
      </c>
      <c r="B1701" cm="1">
        <f t="array" aca="1" ref="B1701" ca="1">INDIRECT(A1701)</f>
        <v>0</v>
      </c>
      <c r="C1701">
        <f t="shared" ca="1" si="104"/>
        <v>8</v>
      </c>
      <c r="D1701" t="str" cm="1">
        <f t="array" aca="1" ref="D1701" ca="1">CELL("nomfichier",INDIRECT(A1701))</f>
        <v>G:\SCPE\sdc\bq\6 - Mentions valorisantes\Certification environnementale\TEXTES_REGLEMENTATION_CE\Plans_contrôle et grilles\Grille audit niveau 3\Grille d'audit v1.11\[grille-audit-hvev4-v1.11-vf.xlsx]Fertilisation</v>
      </c>
      <c r="E1701">
        <f t="shared" ca="1" si="105"/>
        <v>200</v>
      </c>
      <c r="F1701">
        <f t="shared" ca="1" si="106"/>
        <v>213</v>
      </c>
      <c r="G1701" t="str">
        <f t="shared" ca="1" si="107"/>
        <v>Fertilisation</v>
      </c>
      <c r="H1701" cm="1">
        <f t="array" aca="1" ref="H1701" ca="1">ROW(INDIRECT(A1701))</f>
        <v>32</v>
      </c>
      <c r="I1701" cm="1">
        <f t="array" aca="1" ref="I1701" ca="1">COLUMN(INDIRECT(A1701))</f>
        <v>19</v>
      </c>
    </row>
    <row r="1702" spans="1:9" x14ac:dyDescent="0.25">
      <c r="A1702" s="506" t="s">
        <v>4663</v>
      </c>
      <c r="B1702" cm="1">
        <f t="array" aca="1" ref="B1702" ca="1">INDIRECT(A1702)</f>
        <v>0</v>
      </c>
      <c r="C1702">
        <f t="shared" ca="1" si="104"/>
        <v>8</v>
      </c>
      <c r="D1702" t="str" cm="1">
        <f t="array" aca="1" ref="D1702" ca="1">CELL("nomfichier",INDIRECT(A1702))</f>
        <v>G:\SCPE\sdc\bq\6 - Mentions valorisantes\Certification environnementale\TEXTES_REGLEMENTATION_CE\Plans_contrôle et grilles\Grille audit niveau 3\Grille d'audit v1.11\[grille-audit-hvev4-v1.11-vf.xlsx]Fertilisation</v>
      </c>
      <c r="E1702">
        <f t="shared" ca="1" si="105"/>
        <v>200</v>
      </c>
      <c r="F1702">
        <f t="shared" ca="1" si="106"/>
        <v>213</v>
      </c>
      <c r="G1702" t="str">
        <f t="shared" ca="1" si="107"/>
        <v>Fertilisation</v>
      </c>
      <c r="H1702" cm="1">
        <f t="array" aca="1" ref="H1702" ca="1">ROW(INDIRECT(A1702))</f>
        <v>32</v>
      </c>
      <c r="I1702" cm="1">
        <f t="array" aca="1" ref="I1702" ca="1">COLUMN(INDIRECT(A1702))</f>
        <v>22</v>
      </c>
    </row>
    <row r="1703" spans="1:9" x14ac:dyDescent="0.25">
      <c r="A1703" s="506" t="s">
        <v>4620</v>
      </c>
      <c r="B1703" cm="1">
        <f t="array" aca="1" ref="B1703" ca="1">INDIRECT(A1703)</f>
        <v>0</v>
      </c>
      <c r="C1703">
        <f t="shared" ca="1" si="104"/>
        <v>8</v>
      </c>
      <c r="D1703" t="str" cm="1">
        <f t="array" aca="1" ref="D1703" ca="1">CELL("nomfichier",INDIRECT(A1703))</f>
        <v>G:\SCPE\sdc\bq\6 - Mentions valorisantes\Certification environnementale\TEXTES_REGLEMENTATION_CE\Plans_contrôle et grilles\Grille audit niveau 3\Grille d'audit v1.11\[grille-audit-hvev4-v1.11-vf.xlsx]Fertilisation</v>
      </c>
      <c r="E1703">
        <f t="shared" ca="1" si="105"/>
        <v>200</v>
      </c>
      <c r="F1703">
        <f t="shared" ca="1" si="106"/>
        <v>213</v>
      </c>
      <c r="G1703" t="str">
        <f t="shared" ca="1" si="107"/>
        <v>Fertilisation</v>
      </c>
      <c r="H1703" cm="1">
        <f t="array" aca="1" ref="H1703" ca="1">ROW(INDIRECT(A1703))</f>
        <v>33</v>
      </c>
      <c r="I1703" cm="1">
        <f t="array" aca="1" ref="I1703" ca="1">COLUMN(INDIRECT(A1703))</f>
        <v>16</v>
      </c>
    </row>
    <row r="1704" spans="1:9" x14ac:dyDescent="0.25">
      <c r="A1704" s="506" t="s">
        <v>4642</v>
      </c>
      <c r="B1704" cm="1">
        <f t="array" aca="1" ref="B1704" ca="1">INDIRECT(A1704)</f>
        <v>0</v>
      </c>
      <c r="C1704">
        <f t="shared" ca="1" si="104"/>
        <v>8</v>
      </c>
      <c r="D1704" t="str" cm="1">
        <f t="array" aca="1" ref="D1704" ca="1">CELL("nomfichier",INDIRECT(A1704))</f>
        <v>G:\SCPE\sdc\bq\6 - Mentions valorisantes\Certification environnementale\TEXTES_REGLEMENTATION_CE\Plans_contrôle et grilles\Grille audit niveau 3\Grille d'audit v1.11\[grille-audit-hvev4-v1.11-vf.xlsx]Fertilisation</v>
      </c>
      <c r="E1704">
        <f t="shared" ca="1" si="105"/>
        <v>200</v>
      </c>
      <c r="F1704">
        <f t="shared" ca="1" si="106"/>
        <v>213</v>
      </c>
      <c r="G1704" t="str">
        <f t="shared" ca="1" si="107"/>
        <v>Fertilisation</v>
      </c>
      <c r="H1704" cm="1">
        <f t="array" aca="1" ref="H1704" ca="1">ROW(INDIRECT(A1704))</f>
        <v>33</v>
      </c>
      <c r="I1704" cm="1">
        <f t="array" aca="1" ref="I1704" ca="1">COLUMN(INDIRECT(A1704))</f>
        <v>19</v>
      </c>
    </row>
    <row r="1705" spans="1:9" x14ac:dyDescent="0.25">
      <c r="A1705" s="506" t="s">
        <v>4664</v>
      </c>
      <c r="B1705" cm="1">
        <f t="array" aca="1" ref="B1705" ca="1">INDIRECT(A1705)</f>
        <v>0</v>
      </c>
      <c r="C1705">
        <f t="shared" ca="1" si="104"/>
        <v>8</v>
      </c>
      <c r="D1705" t="str" cm="1">
        <f t="array" aca="1" ref="D1705" ca="1">CELL("nomfichier",INDIRECT(A1705))</f>
        <v>G:\SCPE\sdc\bq\6 - Mentions valorisantes\Certification environnementale\TEXTES_REGLEMENTATION_CE\Plans_contrôle et grilles\Grille audit niveau 3\Grille d'audit v1.11\[grille-audit-hvev4-v1.11-vf.xlsx]Fertilisation</v>
      </c>
      <c r="E1705">
        <f t="shared" ca="1" si="105"/>
        <v>200</v>
      </c>
      <c r="F1705">
        <f t="shared" ca="1" si="106"/>
        <v>213</v>
      </c>
      <c r="G1705" t="str">
        <f t="shared" ca="1" si="107"/>
        <v>Fertilisation</v>
      </c>
      <c r="H1705" cm="1">
        <f t="array" aca="1" ref="H1705" ca="1">ROW(INDIRECT(A1705))</f>
        <v>33</v>
      </c>
      <c r="I1705" cm="1">
        <f t="array" aca="1" ref="I1705" ca="1">COLUMN(INDIRECT(A1705))</f>
        <v>22</v>
      </c>
    </row>
    <row r="1706" spans="1:9" x14ac:dyDescent="0.25">
      <c r="A1706" s="506" t="s">
        <v>4621</v>
      </c>
      <c r="B1706" cm="1">
        <f t="array" aca="1" ref="B1706" ca="1">INDIRECT(A1706)</f>
        <v>0</v>
      </c>
      <c r="C1706">
        <f t="shared" ca="1" si="104"/>
        <v>8</v>
      </c>
      <c r="D1706" t="str" cm="1">
        <f t="array" aca="1" ref="D1706" ca="1">CELL("nomfichier",INDIRECT(A1706))</f>
        <v>G:\SCPE\sdc\bq\6 - Mentions valorisantes\Certification environnementale\TEXTES_REGLEMENTATION_CE\Plans_contrôle et grilles\Grille audit niveau 3\Grille d'audit v1.11\[grille-audit-hvev4-v1.11-vf.xlsx]Fertilisation</v>
      </c>
      <c r="E1706">
        <f t="shared" ca="1" si="105"/>
        <v>200</v>
      </c>
      <c r="F1706">
        <f t="shared" ca="1" si="106"/>
        <v>213</v>
      </c>
      <c r="G1706" t="str">
        <f t="shared" ca="1" si="107"/>
        <v>Fertilisation</v>
      </c>
      <c r="H1706" cm="1">
        <f t="array" aca="1" ref="H1706" ca="1">ROW(INDIRECT(A1706))</f>
        <v>34</v>
      </c>
      <c r="I1706" cm="1">
        <f t="array" aca="1" ref="I1706" ca="1">COLUMN(INDIRECT(A1706))</f>
        <v>16</v>
      </c>
    </row>
    <row r="1707" spans="1:9" x14ac:dyDescent="0.25">
      <c r="A1707" s="506" t="s">
        <v>4643</v>
      </c>
      <c r="B1707" cm="1">
        <f t="array" aca="1" ref="B1707" ca="1">INDIRECT(A1707)</f>
        <v>0</v>
      </c>
      <c r="C1707">
        <f t="shared" ca="1" si="104"/>
        <v>8</v>
      </c>
      <c r="D1707" t="str" cm="1">
        <f t="array" aca="1" ref="D1707" ca="1">CELL("nomfichier",INDIRECT(A1707))</f>
        <v>G:\SCPE\sdc\bq\6 - Mentions valorisantes\Certification environnementale\TEXTES_REGLEMENTATION_CE\Plans_contrôle et grilles\Grille audit niveau 3\Grille d'audit v1.11\[grille-audit-hvev4-v1.11-vf.xlsx]Fertilisation</v>
      </c>
      <c r="E1707">
        <f t="shared" ca="1" si="105"/>
        <v>200</v>
      </c>
      <c r="F1707">
        <f t="shared" ca="1" si="106"/>
        <v>213</v>
      </c>
      <c r="G1707" t="str">
        <f t="shared" ca="1" si="107"/>
        <v>Fertilisation</v>
      </c>
      <c r="H1707" cm="1">
        <f t="array" aca="1" ref="H1707" ca="1">ROW(INDIRECT(A1707))</f>
        <v>34</v>
      </c>
      <c r="I1707" cm="1">
        <f t="array" aca="1" ref="I1707" ca="1">COLUMN(INDIRECT(A1707))</f>
        <v>19</v>
      </c>
    </row>
    <row r="1708" spans="1:9" x14ac:dyDescent="0.25">
      <c r="A1708" s="506" t="s">
        <v>4665</v>
      </c>
      <c r="B1708" cm="1">
        <f t="array" aca="1" ref="B1708" ca="1">INDIRECT(A1708)</f>
        <v>0</v>
      </c>
      <c r="C1708">
        <f t="shared" ca="1" si="104"/>
        <v>8</v>
      </c>
      <c r="D1708" t="str" cm="1">
        <f t="array" aca="1" ref="D1708" ca="1">CELL("nomfichier",INDIRECT(A1708))</f>
        <v>G:\SCPE\sdc\bq\6 - Mentions valorisantes\Certification environnementale\TEXTES_REGLEMENTATION_CE\Plans_contrôle et grilles\Grille audit niveau 3\Grille d'audit v1.11\[grille-audit-hvev4-v1.11-vf.xlsx]Fertilisation</v>
      </c>
      <c r="E1708">
        <f t="shared" ca="1" si="105"/>
        <v>200</v>
      </c>
      <c r="F1708">
        <f t="shared" ca="1" si="106"/>
        <v>213</v>
      </c>
      <c r="G1708" t="str">
        <f t="shared" ca="1" si="107"/>
        <v>Fertilisation</v>
      </c>
      <c r="H1708" cm="1">
        <f t="array" aca="1" ref="H1708" ca="1">ROW(INDIRECT(A1708))</f>
        <v>34</v>
      </c>
      <c r="I1708" cm="1">
        <f t="array" aca="1" ref="I1708" ca="1">COLUMN(INDIRECT(A1708))</f>
        <v>22</v>
      </c>
    </row>
    <row r="1709" spans="1:9" x14ac:dyDescent="0.25">
      <c r="A1709" s="506" t="s">
        <v>4622</v>
      </c>
      <c r="B1709" cm="1">
        <f t="array" aca="1" ref="B1709" ca="1">INDIRECT(A1709)</f>
        <v>0</v>
      </c>
      <c r="C1709">
        <f t="shared" ca="1" si="104"/>
        <v>8</v>
      </c>
      <c r="D1709" t="str" cm="1">
        <f t="array" aca="1" ref="D1709" ca="1">CELL("nomfichier",INDIRECT(A1709))</f>
        <v>G:\SCPE\sdc\bq\6 - Mentions valorisantes\Certification environnementale\TEXTES_REGLEMENTATION_CE\Plans_contrôle et grilles\Grille audit niveau 3\Grille d'audit v1.11\[grille-audit-hvev4-v1.11-vf.xlsx]Fertilisation</v>
      </c>
      <c r="E1709">
        <f t="shared" ca="1" si="105"/>
        <v>200</v>
      </c>
      <c r="F1709">
        <f t="shared" ca="1" si="106"/>
        <v>213</v>
      </c>
      <c r="G1709" t="str">
        <f t="shared" ca="1" si="107"/>
        <v>Fertilisation</v>
      </c>
      <c r="H1709" cm="1">
        <f t="array" aca="1" ref="H1709" ca="1">ROW(INDIRECT(A1709))</f>
        <v>35</v>
      </c>
      <c r="I1709" cm="1">
        <f t="array" aca="1" ref="I1709" ca="1">COLUMN(INDIRECT(A1709))</f>
        <v>16</v>
      </c>
    </row>
    <row r="1710" spans="1:9" x14ac:dyDescent="0.25">
      <c r="A1710" s="506" t="s">
        <v>4644</v>
      </c>
      <c r="B1710" cm="1">
        <f t="array" aca="1" ref="B1710" ca="1">INDIRECT(A1710)</f>
        <v>0</v>
      </c>
      <c r="C1710">
        <f t="shared" ca="1" si="104"/>
        <v>8</v>
      </c>
      <c r="D1710" t="str" cm="1">
        <f t="array" aca="1" ref="D1710" ca="1">CELL("nomfichier",INDIRECT(A1710))</f>
        <v>G:\SCPE\sdc\bq\6 - Mentions valorisantes\Certification environnementale\TEXTES_REGLEMENTATION_CE\Plans_contrôle et grilles\Grille audit niveau 3\Grille d'audit v1.11\[grille-audit-hvev4-v1.11-vf.xlsx]Fertilisation</v>
      </c>
      <c r="E1710">
        <f t="shared" ca="1" si="105"/>
        <v>200</v>
      </c>
      <c r="F1710">
        <f t="shared" ca="1" si="106"/>
        <v>213</v>
      </c>
      <c r="G1710" t="str">
        <f t="shared" ca="1" si="107"/>
        <v>Fertilisation</v>
      </c>
      <c r="H1710" cm="1">
        <f t="array" aca="1" ref="H1710" ca="1">ROW(INDIRECT(A1710))</f>
        <v>35</v>
      </c>
      <c r="I1710" cm="1">
        <f t="array" aca="1" ref="I1710" ca="1">COLUMN(INDIRECT(A1710))</f>
        <v>19</v>
      </c>
    </row>
    <row r="1711" spans="1:9" x14ac:dyDescent="0.25">
      <c r="A1711" s="506" t="s">
        <v>4666</v>
      </c>
      <c r="B1711" cm="1">
        <f t="array" aca="1" ref="B1711" ca="1">INDIRECT(A1711)</f>
        <v>0</v>
      </c>
      <c r="C1711">
        <f t="shared" ca="1" si="104"/>
        <v>8</v>
      </c>
      <c r="D1711" t="str" cm="1">
        <f t="array" aca="1" ref="D1711" ca="1">CELL("nomfichier",INDIRECT(A1711))</f>
        <v>G:\SCPE\sdc\bq\6 - Mentions valorisantes\Certification environnementale\TEXTES_REGLEMENTATION_CE\Plans_contrôle et grilles\Grille audit niveau 3\Grille d'audit v1.11\[grille-audit-hvev4-v1.11-vf.xlsx]Fertilisation</v>
      </c>
      <c r="E1711">
        <f t="shared" ca="1" si="105"/>
        <v>200</v>
      </c>
      <c r="F1711">
        <f t="shared" ca="1" si="106"/>
        <v>213</v>
      </c>
      <c r="G1711" t="str">
        <f t="shared" ca="1" si="107"/>
        <v>Fertilisation</v>
      </c>
      <c r="H1711" cm="1">
        <f t="array" aca="1" ref="H1711" ca="1">ROW(INDIRECT(A1711))</f>
        <v>35</v>
      </c>
      <c r="I1711" cm="1">
        <f t="array" aca="1" ref="I1711" ca="1">COLUMN(INDIRECT(A1711))</f>
        <v>22</v>
      </c>
    </row>
    <row r="1712" spans="1:9" x14ac:dyDescent="0.25">
      <c r="A1712" s="506" t="s">
        <v>4623</v>
      </c>
      <c r="B1712" cm="1">
        <f t="array" aca="1" ref="B1712" ca="1">INDIRECT(A1712)</f>
        <v>0</v>
      </c>
      <c r="C1712">
        <f t="shared" ca="1" si="104"/>
        <v>8</v>
      </c>
      <c r="D1712" t="str" cm="1">
        <f t="array" aca="1" ref="D1712" ca="1">CELL("nomfichier",INDIRECT(A1712))</f>
        <v>G:\SCPE\sdc\bq\6 - Mentions valorisantes\Certification environnementale\TEXTES_REGLEMENTATION_CE\Plans_contrôle et grilles\Grille audit niveau 3\Grille d'audit v1.11\[grille-audit-hvev4-v1.11-vf.xlsx]Fertilisation</v>
      </c>
      <c r="E1712">
        <f t="shared" ca="1" si="105"/>
        <v>200</v>
      </c>
      <c r="F1712">
        <f t="shared" ca="1" si="106"/>
        <v>213</v>
      </c>
      <c r="G1712" t="str">
        <f t="shared" ca="1" si="107"/>
        <v>Fertilisation</v>
      </c>
      <c r="H1712" cm="1">
        <f t="array" aca="1" ref="H1712" ca="1">ROW(INDIRECT(A1712))</f>
        <v>36</v>
      </c>
      <c r="I1712" cm="1">
        <f t="array" aca="1" ref="I1712" ca="1">COLUMN(INDIRECT(A1712))</f>
        <v>16</v>
      </c>
    </row>
    <row r="1713" spans="1:9" x14ac:dyDescent="0.25">
      <c r="A1713" s="506" t="s">
        <v>4645</v>
      </c>
      <c r="B1713" cm="1">
        <f t="array" aca="1" ref="B1713" ca="1">INDIRECT(A1713)</f>
        <v>0</v>
      </c>
      <c r="C1713">
        <f t="shared" ca="1" si="104"/>
        <v>8</v>
      </c>
      <c r="D1713" t="str" cm="1">
        <f t="array" aca="1" ref="D1713" ca="1">CELL("nomfichier",INDIRECT(A1713))</f>
        <v>G:\SCPE\sdc\bq\6 - Mentions valorisantes\Certification environnementale\TEXTES_REGLEMENTATION_CE\Plans_contrôle et grilles\Grille audit niveau 3\Grille d'audit v1.11\[grille-audit-hvev4-v1.11-vf.xlsx]Fertilisation</v>
      </c>
      <c r="E1713">
        <f t="shared" ca="1" si="105"/>
        <v>200</v>
      </c>
      <c r="F1713">
        <f t="shared" ca="1" si="106"/>
        <v>213</v>
      </c>
      <c r="G1713" t="str">
        <f t="shared" ca="1" si="107"/>
        <v>Fertilisation</v>
      </c>
      <c r="H1713" cm="1">
        <f t="array" aca="1" ref="H1713" ca="1">ROW(INDIRECT(A1713))</f>
        <v>36</v>
      </c>
      <c r="I1713" cm="1">
        <f t="array" aca="1" ref="I1713" ca="1">COLUMN(INDIRECT(A1713))</f>
        <v>19</v>
      </c>
    </row>
    <row r="1714" spans="1:9" x14ac:dyDescent="0.25">
      <c r="A1714" s="506" t="s">
        <v>4667</v>
      </c>
      <c r="B1714" cm="1">
        <f t="array" aca="1" ref="B1714" ca="1">INDIRECT(A1714)</f>
        <v>0</v>
      </c>
      <c r="C1714">
        <f t="shared" ca="1" si="104"/>
        <v>8</v>
      </c>
      <c r="D1714" t="str" cm="1">
        <f t="array" aca="1" ref="D1714" ca="1">CELL("nomfichier",INDIRECT(A1714))</f>
        <v>G:\SCPE\sdc\bq\6 - Mentions valorisantes\Certification environnementale\TEXTES_REGLEMENTATION_CE\Plans_contrôle et grilles\Grille audit niveau 3\Grille d'audit v1.11\[grille-audit-hvev4-v1.11-vf.xlsx]Fertilisation</v>
      </c>
      <c r="E1714">
        <f t="shared" ca="1" si="105"/>
        <v>200</v>
      </c>
      <c r="F1714">
        <f t="shared" ca="1" si="106"/>
        <v>213</v>
      </c>
      <c r="G1714" t="str">
        <f t="shared" ca="1" si="107"/>
        <v>Fertilisation</v>
      </c>
      <c r="H1714" cm="1">
        <f t="array" aca="1" ref="H1714" ca="1">ROW(INDIRECT(A1714))</f>
        <v>36</v>
      </c>
      <c r="I1714" cm="1">
        <f t="array" aca="1" ref="I1714" ca="1">COLUMN(INDIRECT(A1714))</f>
        <v>22</v>
      </c>
    </row>
    <row r="1715" spans="1:9" x14ac:dyDescent="0.25">
      <c r="A1715" s="506" t="s">
        <v>4624</v>
      </c>
      <c r="B1715" cm="1">
        <f t="array" aca="1" ref="B1715" ca="1">INDIRECT(A1715)</f>
        <v>0</v>
      </c>
      <c r="C1715">
        <f t="shared" ca="1" si="104"/>
        <v>8</v>
      </c>
      <c r="D1715" t="str" cm="1">
        <f t="array" aca="1" ref="D1715" ca="1">CELL("nomfichier",INDIRECT(A1715))</f>
        <v>G:\SCPE\sdc\bq\6 - Mentions valorisantes\Certification environnementale\TEXTES_REGLEMENTATION_CE\Plans_contrôle et grilles\Grille audit niveau 3\Grille d'audit v1.11\[grille-audit-hvev4-v1.11-vf.xlsx]Fertilisation</v>
      </c>
      <c r="E1715">
        <f t="shared" ca="1" si="105"/>
        <v>200</v>
      </c>
      <c r="F1715">
        <f t="shared" ca="1" si="106"/>
        <v>213</v>
      </c>
      <c r="G1715" t="str">
        <f t="shared" ca="1" si="107"/>
        <v>Fertilisation</v>
      </c>
      <c r="H1715" cm="1">
        <f t="array" aca="1" ref="H1715" ca="1">ROW(INDIRECT(A1715))</f>
        <v>39</v>
      </c>
      <c r="I1715" cm="1">
        <f t="array" aca="1" ref="I1715" ca="1">COLUMN(INDIRECT(A1715))</f>
        <v>16</v>
      </c>
    </row>
    <row r="1716" spans="1:9" x14ac:dyDescent="0.25">
      <c r="A1716" s="506" t="s">
        <v>4646</v>
      </c>
      <c r="B1716" cm="1">
        <f t="array" aca="1" ref="B1716" ca="1">INDIRECT(A1716)</f>
        <v>0</v>
      </c>
      <c r="C1716">
        <f t="shared" ca="1" si="104"/>
        <v>8</v>
      </c>
      <c r="D1716" t="str" cm="1">
        <f t="array" aca="1" ref="D1716" ca="1">CELL("nomfichier",INDIRECT(A1716))</f>
        <v>G:\SCPE\sdc\bq\6 - Mentions valorisantes\Certification environnementale\TEXTES_REGLEMENTATION_CE\Plans_contrôle et grilles\Grille audit niveau 3\Grille d'audit v1.11\[grille-audit-hvev4-v1.11-vf.xlsx]Fertilisation</v>
      </c>
      <c r="E1716">
        <f t="shared" ca="1" si="105"/>
        <v>200</v>
      </c>
      <c r="F1716">
        <f t="shared" ca="1" si="106"/>
        <v>213</v>
      </c>
      <c r="G1716" t="str">
        <f t="shared" ca="1" si="107"/>
        <v>Fertilisation</v>
      </c>
      <c r="H1716" cm="1">
        <f t="array" aca="1" ref="H1716" ca="1">ROW(INDIRECT(A1716))</f>
        <v>39</v>
      </c>
      <c r="I1716" cm="1">
        <f t="array" aca="1" ref="I1716" ca="1">COLUMN(INDIRECT(A1716))</f>
        <v>19</v>
      </c>
    </row>
    <row r="1717" spans="1:9" x14ac:dyDescent="0.25">
      <c r="A1717" s="506" t="s">
        <v>4668</v>
      </c>
      <c r="B1717" cm="1">
        <f t="array" aca="1" ref="B1717" ca="1">INDIRECT(A1717)</f>
        <v>0</v>
      </c>
      <c r="C1717">
        <f t="shared" ca="1" si="104"/>
        <v>8</v>
      </c>
      <c r="D1717" t="str" cm="1">
        <f t="array" aca="1" ref="D1717" ca="1">CELL("nomfichier",INDIRECT(A1717))</f>
        <v>G:\SCPE\sdc\bq\6 - Mentions valorisantes\Certification environnementale\TEXTES_REGLEMENTATION_CE\Plans_contrôle et grilles\Grille audit niveau 3\Grille d'audit v1.11\[grille-audit-hvev4-v1.11-vf.xlsx]Fertilisation</v>
      </c>
      <c r="E1717">
        <f t="shared" ca="1" si="105"/>
        <v>200</v>
      </c>
      <c r="F1717">
        <f t="shared" ca="1" si="106"/>
        <v>213</v>
      </c>
      <c r="G1717" t="str">
        <f t="shared" ca="1" si="107"/>
        <v>Fertilisation</v>
      </c>
      <c r="H1717" cm="1">
        <f t="array" aca="1" ref="H1717" ca="1">ROW(INDIRECT(A1717))</f>
        <v>39</v>
      </c>
      <c r="I1717" cm="1">
        <f t="array" aca="1" ref="I1717" ca="1">COLUMN(INDIRECT(A1717))</f>
        <v>22</v>
      </c>
    </row>
    <row r="1718" spans="1:9" x14ac:dyDescent="0.25">
      <c r="A1718" s="506" t="s">
        <v>4625</v>
      </c>
      <c r="B1718" cm="1">
        <f t="array" aca="1" ref="B1718" ca="1">INDIRECT(A1718)</f>
        <v>0</v>
      </c>
      <c r="C1718">
        <f t="shared" ca="1" si="104"/>
        <v>8</v>
      </c>
      <c r="D1718" t="str" cm="1">
        <f t="array" aca="1" ref="D1718" ca="1">CELL("nomfichier",INDIRECT(A1718))</f>
        <v>G:\SCPE\sdc\bq\6 - Mentions valorisantes\Certification environnementale\TEXTES_REGLEMENTATION_CE\Plans_contrôle et grilles\Grille audit niveau 3\Grille d'audit v1.11\[grille-audit-hvev4-v1.11-vf.xlsx]Fertilisation</v>
      </c>
      <c r="E1718">
        <f t="shared" ca="1" si="105"/>
        <v>200</v>
      </c>
      <c r="F1718">
        <f t="shared" ca="1" si="106"/>
        <v>213</v>
      </c>
      <c r="G1718" t="str">
        <f t="shared" ca="1" si="107"/>
        <v>Fertilisation</v>
      </c>
      <c r="H1718" cm="1">
        <f t="array" aca="1" ref="H1718" ca="1">ROW(INDIRECT(A1718))</f>
        <v>40</v>
      </c>
      <c r="I1718" cm="1">
        <f t="array" aca="1" ref="I1718" ca="1">COLUMN(INDIRECT(A1718))</f>
        <v>16</v>
      </c>
    </row>
    <row r="1719" spans="1:9" x14ac:dyDescent="0.25">
      <c r="A1719" s="506" t="s">
        <v>4647</v>
      </c>
      <c r="B1719" cm="1">
        <f t="array" aca="1" ref="B1719" ca="1">INDIRECT(A1719)</f>
        <v>0</v>
      </c>
      <c r="C1719">
        <f t="shared" ca="1" si="104"/>
        <v>8</v>
      </c>
      <c r="D1719" t="str" cm="1">
        <f t="array" aca="1" ref="D1719" ca="1">CELL("nomfichier",INDIRECT(A1719))</f>
        <v>G:\SCPE\sdc\bq\6 - Mentions valorisantes\Certification environnementale\TEXTES_REGLEMENTATION_CE\Plans_contrôle et grilles\Grille audit niveau 3\Grille d'audit v1.11\[grille-audit-hvev4-v1.11-vf.xlsx]Fertilisation</v>
      </c>
      <c r="E1719">
        <f t="shared" ca="1" si="105"/>
        <v>200</v>
      </c>
      <c r="F1719">
        <f t="shared" ca="1" si="106"/>
        <v>213</v>
      </c>
      <c r="G1719" t="str">
        <f t="shared" ca="1" si="107"/>
        <v>Fertilisation</v>
      </c>
      <c r="H1719" cm="1">
        <f t="array" aca="1" ref="H1719" ca="1">ROW(INDIRECT(A1719))</f>
        <v>40</v>
      </c>
      <c r="I1719" cm="1">
        <f t="array" aca="1" ref="I1719" ca="1">COLUMN(INDIRECT(A1719))</f>
        <v>19</v>
      </c>
    </row>
    <row r="1720" spans="1:9" x14ac:dyDescent="0.25">
      <c r="A1720" s="506" t="s">
        <v>4669</v>
      </c>
      <c r="B1720" cm="1">
        <f t="array" aca="1" ref="B1720" ca="1">INDIRECT(A1720)</f>
        <v>0</v>
      </c>
      <c r="C1720">
        <f t="shared" ca="1" si="104"/>
        <v>8</v>
      </c>
      <c r="D1720" t="str" cm="1">
        <f t="array" aca="1" ref="D1720" ca="1">CELL("nomfichier",INDIRECT(A1720))</f>
        <v>G:\SCPE\sdc\bq\6 - Mentions valorisantes\Certification environnementale\TEXTES_REGLEMENTATION_CE\Plans_contrôle et grilles\Grille audit niveau 3\Grille d'audit v1.11\[grille-audit-hvev4-v1.11-vf.xlsx]Fertilisation</v>
      </c>
      <c r="E1720">
        <f t="shared" ca="1" si="105"/>
        <v>200</v>
      </c>
      <c r="F1720">
        <f t="shared" ca="1" si="106"/>
        <v>213</v>
      </c>
      <c r="G1720" t="str">
        <f t="shared" ca="1" si="107"/>
        <v>Fertilisation</v>
      </c>
      <c r="H1720" cm="1">
        <f t="array" aca="1" ref="H1720" ca="1">ROW(INDIRECT(A1720))</f>
        <v>40</v>
      </c>
      <c r="I1720" cm="1">
        <f t="array" aca="1" ref="I1720" ca="1">COLUMN(INDIRECT(A1720))</f>
        <v>22</v>
      </c>
    </row>
    <row r="1721" spans="1:9" x14ac:dyDescent="0.25">
      <c r="A1721" s="506" t="s">
        <v>4626</v>
      </c>
      <c r="B1721" cm="1">
        <f t="array" aca="1" ref="B1721" ca="1">INDIRECT(A1721)</f>
        <v>0</v>
      </c>
      <c r="C1721">
        <f t="shared" ca="1" si="104"/>
        <v>8</v>
      </c>
      <c r="D1721" t="str" cm="1">
        <f t="array" aca="1" ref="D1721" ca="1">CELL("nomfichier",INDIRECT(A1721))</f>
        <v>G:\SCPE\sdc\bq\6 - Mentions valorisantes\Certification environnementale\TEXTES_REGLEMENTATION_CE\Plans_contrôle et grilles\Grille audit niveau 3\Grille d'audit v1.11\[grille-audit-hvev4-v1.11-vf.xlsx]Fertilisation</v>
      </c>
      <c r="E1721">
        <f t="shared" ca="1" si="105"/>
        <v>200</v>
      </c>
      <c r="F1721">
        <f t="shared" ca="1" si="106"/>
        <v>213</v>
      </c>
      <c r="G1721" t="str">
        <f t="shared" ca="1" si="107"/>
        <v>Fertilisation</v>
      </c>
      <c r="H1721" cm="1">
        <f t="array" aca="1" ref="H1721" ca="1">ROW(INDIRECT(A1721))</f>
        <v>41</v>
      </c>
      <c r="I1721" cm="1">
        <f t="array" aca="1" ref="I1721" ca="1">COLUMN(INDIRECT(A1721))</f>
        <v>16</v>
      </c>
    </row>
    <row r="1722" spans="1:9" x14ac:dyDescent="0.25">
      <c r="A1722" s="506" t="s">
        <v>4648</v>
      </c>
      <c r="B1722" cm="1">
        <f t="array" aca="1" ref="B1722" ca="1">INDIRECT(A1722)</f>
        <v>0</v>
      </c>
      <c r="C1722">
        <f t="shared" ca="1" si="104"/>
        <v>8</v>
      </c>
      <c r="D1722" t="str" cm="1">
        <f t="array" aca="1" ref="D1722" ca="1">CELL("nomfichier",INDIRECT(A1722))</f>
        <v>G:\SCPE\sdc\bq\6 - Mentions valorisantes\Certification environnementale\TEXTES_REGLEMENTATION_CE\Plans_contrôle et grilles\Grille audit niveau 3\Grille d'audit v1.11\[grille-audit-hvev4-v1.11-vf.xlsx]Fertilisation</v>
      </c>
      <c r="E1722">
        <f t="shared" ca="1" si="105"/>
        <v>200</v>
      </c>
      <c r="F1722">
        <f t="shared" ca="1" si="106"/>
        <v>213</v>
      </c>
      <c r="G1722" t="str">
        <f t="shared" ca="1" si="107"/>
        <v>Fertilisation</v>
      </c>
      <c r="H1722" cm="1">
        <f t="array" aca="1" ref="H1722" ca="1">ROW(INDIRECT(A1722))</f>
        <v>41</v>
      </c>
      <c r="I1722" cm="1">
        <f t="array" aca="1" ref="I1722" ca="1">COLUMN(INDIRECT(A1722))</f>
        <v>19</v>
      </c>
    </row>
    <row r="1723" spans="1:9" x14ac:dyDescent="0.25">
      <c r="A1723" s="506" t="s">
        <v>4670</v>
      </c>
      <c r="B1723" cm="1">
        <f t="array" aca="1" ref="B1723" ca="1">INDIRECT(A1723)</f>
        <v>0</v>
      </c>
      <c r="C1723">
        <f t="shared" ca="1" si="104"/>
        <v>8</v>
      </c>
      <c r="D1723" t="str" cm="1">
        <f t="array" aca="1" ref="D1723" ca="1">CELL("nomfichier",INDIRECT(A1723))</f>
        <v>G:\SCPE\sdc\bq\6 - Mentions valorisantes\Certification environnementale\TEXTES_REGLEMENTATION_CE\Plans_contrôle et grilles\Grille audit niveau 3\Grille d'audit v1.11\[grille-audit-hvev4-v1.11-vf.xlsx]Fertilisation</v>
      </c>
      <c r="E1723">
        <f t="shared" ca="1" si="105"/>
        <v>200</v>
      </c>
      <c r="F1723">
        <f t="shared" ca="1" si="106"/>
        <v>213</v>
      </c>
      <c r="G1723" t="str">
        <f t="shared" ca="1" si="107"/>
        <v>Fertilisation</v>
      </c>
      <c r="H1723" cm="1">
        <f t="array" aca="1" ref="H1723" ca="1">ROW(INDIRECT(A1723))</f>
        <v>41</v>
      </c>
      <c r="I1723" cm="1">
        <f t="array" aca="1" ref="I1723" ca="1">COLUMN(INDIRECT(A1723))</f>
        <v>22</v>
      </c>
    </row>
    <row r="1724" spans="1:9" x14ac:dyDescent="0.25">
      <c r="A1724" s="506" t="s">
        <v>4627</v>
      </c>
      <c r="B1724" cm="1">
        <f t="array" aca="1" ref="B1724" ca="1">INDIRECT(A1724)</f>
        <v>0</v>
      </c>
      <c r="C1724">
        <f t="shared" ca="1" si="104"/>
        <v>8</v>
      </c>
      <c r="D1724" t="str" cm="1">
        <f t="array" aca="1" ref="D1724" ca="1">CELL("nomfichier",INDIRECT(A1724))</f>
        <v>G:\SCPE\sdc\bq\6 - Mentions valorisantes\Certification environnementale\TEXTES_REGLEMENTATION_CE\Plans_contrôle et grilles\Grille audit niveau 3\Grille d'audit v1.11\[grille-audit-hvev4-v1.11-vf.xlsx]Fertilisation</v>
      </c>
      <c r="E1724">
        <f t="shared" ca="1" si="105"/>
        <v>200</v>
      </c>
      <c r="F1724">
        <f t="shared" ca="1" si="106"/>
        <v>213</v>
      </c>
      <c r="G1724" t="str">
        <f t="shared" ca="1" si="107"/>
        <v>Fertilisation</v>
      </c>
      <c r="H1724" cm="1">
        <f t="array" aca="1" ref="H1724" ca="1">ROW(INDIRECT(A1724))</f>
        <v>42</v>
      </c>
      <c r="I1724" cm="1">
        <f t="array" aca="1" ref="I1724" ca="1">COLUMN(INDIRECT(A1724))</f>
        <v>16</v>
      </c>
    </row>
    <row r="1725" spans="1:9" x14ac:dyDescent="0.25">
      <c r="A1725" s="506" t="s">
        <v>4649</v>
      </c>
      <c r="B1725" cm="1">
        <f t="array" aca="1" ref="B1725" ca="1">INDIRECT(A1725)</f>
        <v>0</v>
      </c>
      <c r="C1725">
        <f t="shared" ca="1" si="104"/>
        <v>8</v>
      </c>
      <c r="D1725" t="str" cm="1">
        <f t="array" aca="1" ref="D1725" ca="1">CELL("nomfichier",INDIRECT(A1725))</f>
        <v>G:\SCPE\sdc\bq\6 - Mentions valorisantes\Certification environnementale\TEXTES_REGLEMENTATION_CE\Plans_contrôle et grilles\Grille audit niveau 3\Grille d'audit v1.11\[grille-audit-hvev4-v1.11-vf.xlsx]Fertilisation</v>
      </c>
      <c r="E1725">
        <f t="shared" ca="1" si="105"/>
        <v>200</v>
      </c>
      <c r="F1725">
        <f t="shared" ca="1" si="106"/>
        <v>213</v>
      </c>
      <c r="G1725" t="str">
        <f t="shared" ca="1" si="107"/>
        <v>Fertilisation</v>
      </c>
      <c r="H1725" cm="1">
        <f t="array" aca="1" ref="H1725" ca="1">ROW(INDIRECT(A1725))</f>
        <v>42</v>
      </c>
      <c r="I1725" cm="1">
        <f t="array" aca="1" ref="I1725" ca="1">COLUMN(INDIRECT(A1725))</f>
        <v>19</v>
      </c>
    </row>
    <row r="1726" spans="1:9" x14ac:dyDescent="0.25">
      <c r="A1726" s="506" t="s">
        <v>4671</v>
      </c>
      <c r="B1726" cm="1">
        <f t="array" aca="1" ref="B1726" ca="1">INDIRECT(A1726)</f>
        <v>0</v>
      </c>
      <c r="C1726">
        <f t="shared" ca="1" si="104"/>
        <v>8</v>
      </c>
      <c r="D1726" t="str" cm="1">
        <f t="array" aca="1" ref="D1726" ca="1">CELL("nomfichier",INDIRECT(A1726))</f>
        <v>G:\SCPE\sdc\bq\6 - Mentions valorisantes\Certification environnementale\TEXTES_REGLEMENTATION_CE\Plans_contrôle et grilles\Grille audit niveau 3\Grille d'audit v1.11\[grille-audit-hvev4-v1.11-vf.xlsx]Fertilisation</v>
      </c>
      <c r="E1726">
        <f t="shared" ca="1" si="105"/>
        <v>200</v>
      </c>
      <c r="F1726">
        <f t="shared" ca="1" si="106"/>
        <v>213</v>
      </c>
      <c r="G1726" t="str">
        <f t="shared" ca="1" si="107"/>
        <v>Fertilisation</v>
      </c>
      <c r="H1726" cm="1">
        <f t="array" aca="1" ref="H1726" ca="1">ROW(INDIRECT(A1726))</f>
        <v>42</v>
      </c>
      <c r="I1726" cm="1">
        <f t="array" aca="1" ref="I1726" ca="1">COLUMN(INDIRECT(A1726))</f>
        <v>22</v>
      </c>
    </row>
    <row r="1727" spans="1:9" x14ac:dyDescent="0.25">
      <c r="A1727" s="505" t="s">
        <v>4628</v>
      </c>
      <c r="B1727" t="str" cm="1">
        <f t="array" aca="1" ref="B1727" ca="1">INDIRECT(A1727)</f>
        <v/>
      </c>
      <c r="C1727">
        <f t="shared" ca="1" si="104"/>
        <v>8</v>
      </c>
      <c r="D1727" t="str" cm="1">
        <f t="array" aca="1" ref="D1727" ca="1">CELL("nomfichier",INDIRECT(A1727))</f>
        <v>G:\SCPE\sdc\bq\6 - Mentions valorisantes\Certification environnementale\TEXTES_REGLEMENTATION_CE\Plans_contrôle et grilles\Grille audit niveau 3\Grille d'audit v1.11\[grille-audit-hvev4-v1.11-vf.xlsx]Fertilisation</v>
      </c>
      <c r="E1727">
        <f t="shared" ca="1" si="105"/>
        <v>200</v>
      </c>
      <c r="F1727">
        <f t="shared" ca="1" si="106"/>
        <v>213</v>
      </c>
      <c r="G1727" t="str">
        <f t="shared" ca="1" si="107"/>
        <v>Fertilisation</v>
      </c>
      <c r="H1727" cm="1">
        <f t="array" aca="1" ref="H1727" ca="1">ROW(INDIRECT(A1727))</f>
        <v>44</v>
      </c>
      <c r="I1727" cm="1">
        <f t="array" aca="1" ref="I1727" ca="1">COLUMN(INDIRECT(A1727))</f>
        <v>16</v>
      </c>
    </row>
    <row r="1728" spans="1:9" x14ac:dyDescent="0.25">
      <c r="A1728" s="505" t="s">
        <v>4650</v>
      </c>
      <c r="B1728" t="str" cm="1">
        <f t="array" aca="1" ref="B1728" ca="1">INDIRECT(A1728)</f>
        <v/>
      </c>
      <c r="C1728">
        <f t="shared" ca="1" si="104"/>
        <v>8</v>
      </c>
      <c r="D1728" t="str" cm="1">
        <f t="array" aca="1" ref="D1728" ca="1">CELL("nomfichier",INDIRECT(A1728))</f>
        <v>G:\SCPE\sdc\bq\6 - Mentions valorisantes\Certification environnementale\TEXTES_REGLEMENTATION_CE\Plans_contrôle et grilles\Grille audit niveau 3\Grille d'audit v1.11\[grille-audit-hvev4-v1.11-vf.xlsx]Fertilisation</v>
      </c>
      <c r="E1728">
        <f t="shared" ca="1" si="105"/>
        <v>200</v>
      </c>
      <c r="F1728">
        <f t="shared" ca="1" si="106"/>
        <v>213</v>
      </c>
      <c r="G1728" t="str">
        <f t="shared" ca="1" si="107"/>
        <v>Fertilisation</v>
      </c>
      <c r="H1728" cm="1">
        <f t="array" aca="1" ref="H1728" ca="1">ROW(INDIRECT(A1728))</f>
        <v>44</v>
      </c>
      <c r="I1728" cm="1">
        <f t="array" aca="1" ref="I1728" ca="1">COLUMN(INDIRECT(A1728))</f>
        <v>19</v>
      </c>
    </row>
    <row r="1729" spans="1:9" x14ac:dyDescent="0.25">
      <c r="A1729" s="505" t="s">
        <v>4672</v>
      </c>
      <c r="B1729" t="str" cm="1">
        <f t="array" aca="1" ref="B1729" ca="1">INDIRECT(A1729)</f>
        <v/>
      </c>
      <c r="C1729">
        <f t="shared" ca="1" si="104"/>
        <v>8</v>
      </c>
      <c r="D1729" t="str" cm="1">
        <f t="array" aca="1" ref="D1729" ca="1">CELL("nomfichier",INDIRECT(A1729))</f>
        <v>G:\SCPE\sdc\bq\6 - Mentions valorisantes\Certification environnementale\TEXTES_REGLEMENTATION_CE\Plans_contrôle et grilles\Grille audit niveau 3\Grille d'audit v1.11\[grille-audit-hvev4-v1.11-vf.xlsx]Fertilisation</v>
      </c>
      <c r="E1729">
        <f t="shared" ca="1" si="105"/>
        <v>200</v>
      </c>
      <c r="F1729">
        <f t="shared" ca="1" si="106"/>
        <v>213</v>
      </c>
      <c r="G1729" t="str">
        <f t="shared" ca="1" si="107"/>
        <v>Fertilisation</v>
      </c>
      <c r="H1729" cm="1">
        <f t="array" aca="1" ref="H1729" ca="1">ROW(INDIRECT(A1729))</f>
        <v>44</v>
      </c>
      <c r="I1729" cm="1">
        <f t="array" aca="1" ref="I1729" ca="1">COLUMN(INDIRECT(A1729))</f>
        <v>22</v>
      </c>
    </row>
    <row r="1730" spans="1:9" x14ac:dyDescent="0.25">
      <c r="A1730" s="505" t="s">
        <v>4629</v>
      </c>
      <c r="B1730" t="str" cm="1">
        <f t="array" aca="1" ref="B1730" ca="1">INDIRECT(A1730)</f>
        <v/>
      </c>
      <c r="C1730">
        <f t="shared" ref="C1730:C1793" ca="1" si="108">_xlfn.SHEET(INDIRECT(A1730))</f>
        <v>8</v>
      </c>
      <c r="D1730" t="str" cm="1">
        <f t="array" aca="1" ref="D1730" ca="1">CELL("nomfichier",INDIRECT(A1730))</f>
        <v>G:\SCPE\sdc\bq\6 - Mentions valorisantes\Certification environnementale\TEXTES_REGLEMENTATION_CE\Plans_contrôle et grilles\Grille audit niveau 3\Grille d'audit v1.11\[grille-audit-hvev4-v1.11-vf.xlsx]Fertilisation</v>
      </c>
      <c r="E1730">
        <f t="shared" ref="E1730:E1793" ca="1" si="109">FIND("]",D1730)</f>
        <v>200</v>
      </c>
      <c r="F1730">
        <f t="shared" ref="F1730:F1793" ca="1" si="110">LEN(D1730)</f>
        <v>213</v>
      </c>
      <c r="G1730" t="str">
        <f t="shared" ref="G1730:G1793" ca="1" si="111">RIGHT(D1730,F1730-E1730)</f>
        <v>Fertilisation</v>
      </c>
      <c r="H1730" cm="1">
        <f t="array" aca="1" ref="H1730" ca="1">ROW(INDIRECT(A1730))</f>
        <v>46</v>
      </c>
      <c r="I1730" cm="1">
        <f t="array" aca="1" ref="I1730" ca="1">COLUMN(INDIRECT(A1730))</f>
        <v>16</v>
      </c>
    </row>
    <row r="1731" spans="1:9" x14ac:dyDescent="0.25">
      <c r="A1731" s="505" t="s">
        <v>4651</v>
      </c>
      <c r="B1731" t="str" cm="1">
        <f t="array" aca="1" ref="B1731" ca="1">INDIRECT(A1731)</f>
        <v/>
      </c>
      <c r="C1731">
        <f t="shared" ca="1" si="108"/>
        <v>8</v>
      </c>
      <c r="D1731" t="str" cm="1">
        <f t="array" aca="1" ref="D1731" ca="1">CELL("nomfichier",INDIRECT(A1731))</f>
        <v>G:\SCPE\sdc\bq\6 - Mentions valorisantes\Certification environnementale\TEXTES_REGLEMENTATION_CE\Plans_contrôle et grilles\Grille audit niveau 3\Grille d'audit v1.11\[grille-audit-hvev4-v1.11-vf.xlsx]Fertilisation</v>
      </c>
      <c r="E1731">
        <f t="shared" ca="1" si="109"/>
        <v>200</v>
      </c>
      <c r="F1731">
        <f t="shared" ca="1" si="110"/>
        <v>213</v>
      </c>
      <c r="G1731" t="str">
        <f t="shared" ca="1" si="111"/>
        <v>Fertilisation</v>
      </c>
      <c r="H1731" cm="1">
        <f t="array" aca="1" ref="H1731" ca="1">ROW(INDIRECT(A1731))</f>
        <v>46</v>
      </c>
      <c r="I1731" cm="1">
        <f t="array" aca="1" ref="I1731" ca="1">COLUMN(INDIRECT(A1731))</f>
        <v>19</v>
      </c>
    </row>
    <row r="1732" spans="1:9" x14ac:dyDescent="0.25">
      <c r="A1732" s="505" t="s">
        <v>4673</v>
      </c>
      <c r="B1732" t="str" cm="1">
        <f t="array" aca="1" ref="B1732" ca="1">INDIRECT(A1732)</f>
        <v/>
      </c>
      <c r="C1732">
        <f t="shared" ca="1" si="108"/>
        <v>8</v>
      </c>
      <c r="D1732" t="str" cm="1">
        <f t="array" aca="1" ref="D1732" ca="1">CELL("nomfichier",INDIRECT(A1732))</f>
        <v>G:\SCPE\sdc\bq\6 - Mentions valorisantes\Certification environnementale\TEXTES_REGLEMENTATION_CE\Plans_contrôle et grilles\Grille audit niveau 3\Grille d'audit v1.11\[grille-audit-hvev4-v1.11-vf.xlsx]Fertilisation</v>
      </c>
      <c r="E1732">
        <f t="shared" ca="1" si="109"/>
        <v>200</v>
      </c>
      <c r="F1732">
        <f t="shared" ca="1" si="110"/>
        <v>213</v>
      </c>
      <c r="G1732" t="str">
        <f t="shared" ca="1" si="111"/>
        <v>Fertilisation</v>
      </c>
      <c r="H1732" cm="1">
        <f t="array" aca="1" ref="H1732" ca="1">ROW(INDIRECT(A1732))</f>
        <v>46</v>
      </c>
      <c r="I1732" cm="1">
        <f t="array" aca="1" ref="I1732" ca="1">COLUMN(INDIRECT(A1732))</f>
        <v>22</v>
      </c>
    </row>
    <row r="1733" spans="1:9" x14ac:dyDescent="0.25">
      <c r="A1733" s="505" t="s">
        <v>4683</v>
      </c>
      <c r="B1733" t="str" cm="1">
        <f t="array" aca="1" ref="B1733" ca="1">INDIRECT(A1733)</f>
        <v/>
      </c>
      <c r="C1733">
        <f t="shared" ca="1" si="108"/>
        <v>8</v>
      </c>
      <c r="D1733" t="str" cm="1">
        <f t="array" aca="1" ref="D1733" ca="1">CELL("nomfichier",INDIRECT(A1733))</f>
        <v>G:\SCPE\sdc\bq\6 - Mentions valorisantes\Certification environnementale\TEXTES_REGLEMENTATION_CE\Plans_contrôle et grilles\Grille audit niveau 3\Grille d'audit v1.11\[grille-audit-hvev4-v1.11-vf.xlsx]Fertilisation</v>
      </c>
      <c r="E1733">
        <f t="shared" ca="1" si="109"/>
        <v>200</v>
      </c>
      <c r="F1733">
        <f t="shared" ca="1" si="110"/>
        <v>213</v>
      </c>
      <c r="G1733" t="str">
        <f t="shared" ca="1" si="111"/>
        <v>Fertilisation</v>
      </c>
      <c r="H1733" cm="1">
        <f t="array" aca="1" ref="H1733" ca="1">ROW(INDIRECT(A1733))</f>
        <v>51</v>
      </c>
      <c r="I1733" cm="1">
        <f t="array" aca="1" ref="I1733" ca="1">COLUMN(INDIRECT(A1733))</f>
        <v>13</v>
      </c>
    </row>
    <row r="1734" spans="1:9" x14ac:dyDescent="0.25">
      <c r="A1734" s="503" t="s">
        <v>4684</v>
      </c>
      <c r="B1734" cm="1">
        <f t="array" aca="1" ref="B1734" ca="1">INDIRECT(A1734)</f>
        <v>0</v>
      </c>
      <c r="C1734">
        <f t="shared" ca="1" si="108"/>
        <v>8</v>
      </c>
      <c r="D1734" t="str" cm="1">
        <f t="array" aca="1" ref="D1734" ca="1">CELL("nomfichier",INDIRECT(A1734))</f>
        <v>G:\SCPE\sdc\bq\6 - Mentions valorisantes\Certification environnementale\TEXTES_REGLEMENTATION_CE\Plans_contrôle et grilles\Grille audit niveau 3\Grille d'audit v1.11\[grille-audit-hvev4-v1.11-vf.xlsx]Fertilisation</v>
      </c>
      <c r="E1734">
        <f t="shared" ca="1" si="109"/>
        <v>200</v>
      </c>
      <c r="F1734">
        <f t="shared" ca="1" si="110"/>
        <v>213</v>
      </c>
      <c r="G1734" t="str">
        <f t="shared" ca="1" si="111"/>
        <v>Fertilisation</v>
      </c>
      <c r="H1734" cm="1">
        <f t="array" aca="1" ref="H1734" ca="1">ROW(INDIRECT(A1734))</f>
        <v>52</v>
      </c>
      <c r="I1734" cm="1">
        <f t="array" aca="1" ref="I1734" ca="1">COLUMN(INDIRECT(A1734))</f>
        <v>13</v>
      </c>
    </row>
    <row r="1735" spans="1:9" x14ac:dyDescent="0.25">
      <c r="A1735" s="503" t="s">
        <v>4685</v>
      </c>
      <c r="B1735" cm="1">
        <f t="array" aca="1" ref="B1735" ca="1">INDIRECT(A1735)</f>
        <v>0</v>
      </c>
      <c r="C1735">
        <f t="shared" ca="1" si="108"/>
        <v>8</v>
      </c>
      <c r="D1735" t="str" cm="1">
        <f t="array" aca="1" ref="D1735" ca="1">CELL("nomfichier",INDIRECT(A1735))</f>
        <v>G:\SCPE\sdc\bq\6 - Mentions valorisantes\Certification environnementale\TEXTES_REGLEMENTATION_CE\Plans_contrôle et grilles\Grille audit niveau 3\Grille d'audit v1.11\[grille-audit-hvev4-v1.11-vf.xlsx]Fertilisation</v>
      </c>
      <c r="E1735">
        <f t="shared" ca="1" si="109"/>
        <v>200</v>
      </c>
      <c r="F1735">
        <f t="shared" ca="1" si="110"/>
        <v>213</v>
      </c>
      <c r="G1735" t="str">
        <f t="shared" ca="1" si="111"/>
        <v>Fertilisation</v>
      </c>
      <c r="H1735" cm="1">
        <f t="array" aca="1" ref="H1735" ca="1">ROW(INDIRECT(A1735))</f>
        <v>54</v>
      </c>
      <c r="I1735" cm="1">
        <f t="array" aca="1" ref="I1735" ca="1">COLUMN(INDIRECT(A1735))</f>
        <v>13</v>
      </c>
    </row>
    <row r="1736" spans="1:9" x14ac:dyDescent="0.25">
      <c r="A1736" s="503" t="s">
        <v>4686</v>
      </c>
      <c r="B1736" t="str" cm="1">
        <f t="array" aca="1" ref="B1736" ca="1">INDIRECT(A1736)</f>
        <v/>
      </c>
      <c r="C1736">
        <f t="shared" ca="1" si="108"/>
        <v>8</v>
      </c>
      <c r="D1736" t="str" cm="1">
        <f t="array" aca="1" ref="D1736" ca="1">CELL("nomfichier",INDIRECT(A1736))</f>
        <v>G:\SCPE\sdc\bq\6 - Mentions valorisantes\Certification environnementale\TEXTES_REGLEMENTATION_CE\Plans_contrôle et grilles\Grille audit niveau 3\Grille d'audit v1.11\[grille-audit-hvev4-v1.11-vf.xlsx]Fertilisation</v>
      </c>
      <c r="E1736">
        <f t="shared" ca="1" si="109"/>
        <v>200</v>
      </c>
      <c r="F1736">
        <f t="shared" ca="1" si="110"/>
        <v>213</v>
      </c>
      <c r="G1736" t="str">
        <f t="shared" ca="1" si="111"/>
        <v>Fertilisation</v>
      </c>
      <c r="H1736" cm="1">
        <f t="array" aca="1" ref="H1736" ca="1">ROW(INDIRECT(A1736))</f>
        <v>55</v>
      </c>
      <c r="I1736" cm="1">
        <f t="array" aca="1" ref="I1736" ca="1">COLUMN(INDIRECT(A1736))</f>
        <v>13</v>
      </c>
    </row>
    <row r="1737" spans="1:9" x14ac:dyDescent="0.25">
      <c r="A1737" s="503" t="s">
        <v>4687</v>
      </c>
      <c r="B1737" cm="1">
        <f t="array" aca="1" ref="B1737" ca="1">INDIRECT(A1737)</f>
        <v>0</v>
      </c>
      <c r="C1737">
        <f t="shared" ca="1" si="108"/>
        <v>8</v>
      </c>
      <c r="D1737" t="str" cm="1">
        <f t="array" aca="1" ref="D1737" ca="1">CELL("nomfichier",INDIRECT(A1737))</f>
        <v>G:\SCPE\sdc\bq\6 - Mentions valorisantes\Certification environnementale\TEXTES_REGLEMENTATION_CE\Plans_contrôle et grilles\Grille audit niveau 3\Grille d'audit v1.11\[grille-audit-hvev4-v1.11-vf.xlsx]Fertilisation</v>
      </c>
      <c r="E1737">
        <f t="shared" ca="1" si="109"/>
        <v>200</v>
      </c>
      <c r="F1737">
        <f t="shared" ca="1" si="110"/>
        <v>213</v>
      </c>
      <c r="G1737" t="str">
        <f t="shared" ca="1" si="111"/>
        <v>Fertilisation</v>
      </c>
      <c r="H1737" cm="1">
        <f t="array" aca="1" ref="H1737" ca="1">ROW(INDIRECT(A1737))</f>
        <v>55</v>
      </c>
      <c r="I1737" cm="1">
        <f t="array" aca="1" ref="I1737" ca="1">COLUMN(INDIRECT(A1737))</f>
        <v>16</v>
      </c>
    </row>
    <row r="1738" spans="1:9" x14ac:dyDescent="0.25">
      <c r="A1738" s="503" t="s">
        <v>4688</v>
      </c>
      <c r="B1738" cm="1">
        <f t="array" aca="1" ref="B1738" ca="1">INDIRECT(A1738)</f>
        <v>0</v>
      </c>
      <c r="C1738">
        <f t="shared" ca="1" si="108"/>
        <v>8</v>
      </c>
      <c r="D1738" t="str" cm="1">
        <f t="array" aca="1" ref="D1738" ca="1">CELL("nomfichier",INDIRECT(A1738))</f>
        <v>G:\SCPE\sdc\bq\6 - Mentions valorisantes\Certification environnementale\TEXTES_REGLEMENTATION_CE\Plans_contrôle et grilles\Grille audit niveau 3\Grille d'audit v1.11\[grille-audit-hvev4-v1.11-vf.xlsx]Fertilisation</v>
      </c>
      <c r="E1738">
        <f t="shared" ca="1" si="109"/>
        <v>200</v>
      </c>
      <c r="F1738">
        <f t="shared" ca="1" si="110"/>
        <v>213</v>
      </c>
      <c r="G1738" t="str">
        <f t="shared" ca="1" si="111"/>
        <v>Fertilisation</v>
      </c>
      <c r="H1738" cm="1">
        <f t="array" aca="1" ref="H1738" ca="1">ROW(INDIRECT(A1738))</f>
        <v>57</v>
      </c>
      <c r="I1738" cm="1">
        <f t="array" aca="1" ref="I1738" ca="1">COLUMN(INDIRECT(A1738))</f>
        <v>13</v>
      </c>
    </row>
    <row r="1739" spans="1:9" x14ac:dyDescent="0.25">
      <c r="A1739" s="503" t="s">
        <v>4689</v>
      </c>
      <c r="B1739" cm="1">
        <f t="array" aca="1" ref="B1739" ca="1">INDIRECT(A1739)</f>
        <v>0</v>
      </c>
      <c r="C1739">
        <f t="shared" ca="1" si="108"/>
        <v>8</v>
      </c>
      <c r="D1739" t="str" cm="1">
        <f t="array" aca="1" ref="D1739" ca="1">CELL("nomfichier",INDIRECT(A1739))</f>
        <v>G:\SCPE\sdc\bq\6 - Mentions valorisantes\Certification environnementale\TEXTES_REGLEMENTATION_CE\Plans_contrôle et grilles\Grille audit niveau 3\Grille d'audit v1.11\[grille-audit-hvev4-v1.11-vf.xlsx]Fertilisation</v>
      </c>
      <c r="E1739">
        <f t="shared" ca="1" si="109"/>
        <v>200</v>
      </c>
      <c r="F1739">
        <f t="shared" ca="1" si="110"/>
        <v>213</v>
      </c>
      <c r="G1739" t="str">
        <f t="shared" ca="1" si="111"/>
        <v>Fertilisation</v>
      </c>
      <c r="H1739" cm="1">
        <f t="array" aca="1" ref="H1739" ca="1">ROW(INDIRECT(A1739))</f>
        <v>58</v>
      </c>
      <c r="I1739" cm="1">
        <f t="array" aca="1" ref="I1739" ca="1">COLUMN(INDIRECT(A1739))</f>
        <v>13</v>
      </c>
    </row>
    <row r="1740" spans="1:9" x14ac:dyDescent="0.25">
      <c r="A1740" s="503" t="s">
        <v>4818</v>
      </c>
      <c r="B1740" cm="1">
        <f t="array" aca="1" ref="B1740" ca="1">INDIRECT(A1740)</f>
        <v>0</v>
      </c>
      <c r="C1740">
        <f t="shared" ca="1" si="108"/>
        <v>8</v>
      </c>
      <c r="D1740" t="str" cm="1">
        <f t="array" aca="1" ref="D1740" ca="1">CELL("nomfichier",INDIRECT(A1740))</f>
        <v>G:\SCPE\sdc\bq\6 - Mentions valorisantes\Certification environnementale\TEXTES_REGLEMENTATION_CE\Plans_contrôle et grilles\Grille audit niveau 3\Grille d'audit v1.11\[grille-audit-hvev4-v1.11-vf.xlsx]Fertilisation</v>
      </c>
      <c r="E1740">
        <f t="shared" ca="1" si="109"/>
        <v>200</v>
      </c>
      <c r="F1740">
        <f t="shared" ca="1" si="110"/>
        <v>213</v>
      </c>
      <c r="G1740" t="str">
        <f t="shared" ca="1" si="111"/>
        <v>Fertilisation</v>
      </c>
      <c r="H1740" cm="1">
        <f t="array" aca="1" ref="H1740" ca="1">ROW(INDIRECT(A1740))</f>
        <v>60</v>
      </c>
      <c r="I1740" cm="1">
        <f t="array" aca="1" ref="I1740" ca="1">COLUMN(INDIRECT(A1740))</f>
        <v>13</v>
      </c>
    </row>
    <row r="1741" spans="1:9" x14ac:dyDescent="0.25">
      <c r="A1741" s="503" t="s">
        <v>4690</v>
      </c>
      <c r="B1741" t="str" cm="1">
        <f t="array" aca="1" ref="B1741" ca="1">INDIRECT(A1741)</f>
        <v>Non</v>
      </c>
      <c r="C1741">
        <f t="shared" ca="1" si="108"/>
        <v>8</v>
      </c>
      <c r="D1741" t="str" cm="1">
        <f t="array" aca="1" ref="D1741" ca="1">CELL("nomfichier",INDIRECT(A1741))</f>
        <v>G:\SCPE\sdc\bq\6 - Mentions valorisantes\Certification environnementale\TEXTES_REGLEMENTATION_CE\Plans_contrôle et grilles\Grille audit niveau 3\Grille d'audit v1.11\[grille-audit-hvev4-v1.11-vf.xlsx]Fertilisation</v>
      </c>
      <c r="E1741">
        <f t="shared" ca="1" si="109"/>
        <v>200</v>
      </c>
      <c r="F1741">
        <f t="shared" ca="1" si="110"/>
        <v>213</v>
      </c>
      <c r="G1741" t="str">
        <f t="shared" ca="1" si="111"/>
        <v>Fertilisation</v>
      </c>
      <c r="H1741" cm="1">
        <f t="array" aca="1" ref="H1741" ca="1">ROW(INDIRECT(A1741))</f>
        <v>62</v>
      </c>
      <c r="I1741" cm="1">
        <f t="array" aca="1" ref="I1741" ca="1">COLUMN(INDIRECT(A1741))</f>
        <v>13</v>
      </c>
    </row>
    <row r="1742" spans="1:9" x14ac:dyDescent="0.25">
      <c r="A1742" s="503" t="s">
        <v>4691</v>
      </c>
      <c r="B1742" cm="1">
        <f t="array" aca="1" ref="B1742" ca="1">INDIRECT(A1742)</f>
        <v>0</v>
      </c>
      <c r="C1742">
        <f t="shared" ca="1" si="108"/>
        <v>8</v>
      </c>
      <c r="D1742" t="str" cm="1">
        <f t="array" aca="1" ref="D1742" ca="1">CELL("nomfichier",INDIRECT(A1742))</f>
        <v>G:\SCPE\sdc\bq\6 - Mentions valorisantes\Certification environnementale\TEXTES_REGLEMENTATION_CE\Plans_contrôle et grilles\Grille audit niveau 3\Grille d'audit v1.11\[grille-audit-hvev4-v1.11-vf.xlsx]Fertilisation</v>
      </c>
      <c r="E1742">
        <f t="shared" ca="1" si="109"/>
        <v>200</v>
      </c>
      <c r="F1742">
        <f t="shared" ca="1" si="110"/>
        <v>213</v>
      </c>
      <c r="G1742" t="str">
        <f t="shared" ca="1" si="111"/>
        <v>Fertilisation</v>
      </c>
      <c r="H1742" cm="1">
        <f t="array" aca="1" ref="H1742" ca="1">ROW(INDIRECT(A1742))</f>
        <v>64</v>
      </c>
      <c r="I1742" cm="1">
        <f t="array" aca="1" ref="I1742" ca="1">COLUMN(INDIRECT(A1742))</f>
        <v>16</v>
      </c>
    </row>
    <row r="1743" spans="1:9" x14ac:dyDescent="0.25">
      <c r="A1743" s="503" t="s">
        <v>4692</v>
      </c>
      <c r="B1743" cm="1">
        <f t="array" aca="1" ref="B1743" ca="1">INDIRECT(A1743)</f>
        <v>8</v>
      </c>
      <c r="C1743">
        <f t="shared" ca="1" si="108"/>
        <v>8</v>
      </c>
      <c r="D1743" t="str" cm="1">
        <f t="array" aca="1" ref="D1743" ca="1">CELL("nomfichier",INDIRECT(A1743))</f>
        <v>G:\SCPE\sdc\bq\6 - Mentions valorisantes\Certification environnementale\TEXTES_REGLEMENTATION_CE\Plans_contrôle et grilles\Grille audit niveau 3\Grille d'audit v1.11\[grille-audit-hvev4-v1.11-vf.xlsx]Fertilisation</v>
      </c>
      <c r="E1743">
        <f t="shared" ca="1" si="109"/>
        <v>200</v>
      </c>
      <c r="F1743">
        <f t="shared" ca="1" si="110"/>
        <v>213</v>
      </c>
      <c r="G1743" t="str">
        <f t="shared" ca="1" si="111"/>
        <v>Fertilisation</v>
      </c>
      <c r="H1743" cm="1">
        <f t="array" aca="1" ref="H1743" ca="1">ROW(INDIRECT(A1743))</f>
        <v>64</v>
      </c>
      <c r="I1743" cm="1">
        <f t="array" aca="1" ref="I1743" ca="1">COLUMN(INDIRECT(A1743))</f>
        <v>23</v>
      </c>
    </row>
    <row r="1744" spans="1:9" x14ac:dyDescent="0.25">
      <c r="A1744" s="505" t="s">
        <v>4674</v>
      </c>
      <c r="B1744" cm="1">
        <f t="array" aca="1" ref="B1744" ca="1">INDIRECT(A1744)</f>
        <v>0</v>
      </c>
      <c r="C1744">
        <f t="shared" ca="1" si="108"/>
        <v>8</v>
      </c>
      <c r="D1744" t="str" cm="1">
        <f t="array" aca="1" ref="D1744" ca="1">CELL("nomfichier",INDIRECT(A1744))</f>
        <v>G:\SCPE\sdc\bq\6 - Mentions valorisantes\Certification environnementale\TEXTES_REGLEMENTATION_CE\Plans_contrôle et grilles\Grille audit niveau 3\Grille d'audit v1.11\[grille-audit-hvev4-v1.11-vf.xlsx]Fertilisation</v>
      </c>
      <c r="E1744">
        <f t="shared" ca="1" si="109"/>
        <v>200</v>
      </c>
      <c r="F1744">
        <f t="shared" ca="1" si="110"/>
        <v>213</v>
      </c>
      <c r="G1744" t="str">
        <f t="shared" ca="1" si="111"/>
        <v>Fertilisation</v>
      </c>
      <c r="H1744" cm="1">
        <f t="array" aca="1" ref="H1744" ca="1">ROW(INDIRECT(A1744))</f>
        <v>87</v>
      </c>
      <c r="I1744" cm="1">
        <f t="array" aca="1" ref="I1744" ca="1">COLUMN(INDIRECT(A1744))</f>
        <v>17</v>
      </c>
    </row>
    <row r="1745" spans="1:9" x14ac:dyDescent="0.25">
      <c r="A1745" s="505" t="s">
        <v>4677</v>
      </c>
      <c r="B1745" cm="1">
        <f t="array" aca="1" ref="B1745" ca="1">INDIRECT(A1745)</f>
        <v>0</v>
      </c>
      <c r="C1745">
        <f t="shared" ca="1" si="108"/>
        <v>8</v>
      </c>
      <c r="D1745" t="str" cm="1">
        <f t="array" aca="1" ref="D1745" ca="1">CELL("nomfichier",INDIRECT(A1745))</f>
        <v>G:\SCPE\sdc\bq\6 - Mentions valorisantes\Certification environnementale\TEXTES_REGLEMENTATION_CE\Plans_contrôle et grilles\Grille audit niveau 3\Grille d'audit v1.11\[grille-audit-hvev4-v1.11-vf.xlsx]Fertilisation</v>
      </c>
      <c r="E1745">
        <f t="shared" ca="1" si="109"/>
        <v>200</v>
      </c>
      <c r="F1745">
        <f t="shared" ca="1" si="110"/>
        <v>213</v>
      </c>
      <c r="G1745" t="str">
        <f t="shared" ca="1" si="111"/>
        <v>Fertilisation</v>
      </c>
      <c r="H1745" cm="1">
        <f t="array" aca="1" ref="H1745" ca="1">ROW(INDIRECT(A1745))</f>
        <v>87</v>
      </c>
      <c r="I1745" cm="1">
        <f t="array" aca="1" ref="I1745" ca="1">COLUMN(INDIRECT(A1745))</f>
        <v>19</v>
      </c>
    </row>
    <row r="1746" spans="1:9" x14ac:dyDescent="0.25">
      <c r="A1746" s="505" t="s">
        <v>4680</v>
      </c>
      <c r="B1746" cm="1">
        <f t="array" aca="1" ref="B1746" ca="1">INDIRECT(A1746)</f>
        <v>0</v>
      </c>
      <c r="C1746">
        <f t="shared" ca="1" si="108"/>
        <v>8</v>
      </c>
      <c r="D1746" t="str" cm="1">
        <f t="array" aca="1" ref="D1746" ca="1">CELL("nomfichier",INDIRECT(A1746))</f>
        <v>G:\SCPE\sdc\bq\6 - Mentions valorisantes\Certification environnementale\TEXTES_REGLEMENTATION_CE\Plans_contrôle et grilles\Grille audit niveau 3\Grille d'audit v1.11\[grille-audit-hvev4-v1.11-vf.xlsx]Fertilisation</v>
      </c>
      <c r="E1746">
        <f t="shared" ca="1" si="109"/>
        <v>200</v>
      </c>
      <c r="F1746">
        <f t="shared" ca="1" si="110"/>
        <v>213</v>
      </c>
      <c r="G1746" t="str">
        <f t="shared" ca="1" si="111"/>
        <v>Fertilisation</v>
      </c>
      <c r="H1746" cm="1">
        <f t="array" aca="1" ref="H1746" ca="1">ROW(INDIRECT(A1746))</f>
        <v>87</v>
      </c>
      <c r="I1746" cm="1">
        <f t="array" aca="1" ref="I1746" ca="1">COLUMN(INDIRECT(A1746))</f>
        <v>21</v>
      </c>
    </row>
    <row r="1747" spans="1:9" x14ac:dyDescent="0.25">
      <c r="A1747" s="505" t="s">
        <v>4675</v>
      </c>
      <c r="B1747" cm="1">
        <f t="array" aca="1" ref="B1747" ca="1">INDIRECT(A1747)</f>
        <v>0</v>
      </c>
      <c r="C1747">
        <f t="shared" ca="1" si="108"/>
        <v>8</v>
      </c>
      <c r="D1747" t="str" cm="1">
        <f t="array" aca="1" ref="D1747" ca="1">CELL("nomfichier",INDIRECT(A1747))</f>
        <v>G:\SCPE\sdc\bq\6 - Mentions valorisantes\Certification environnementale\TEXTES_REGLEMENTATION_CE\Plans_contrôle et grilles\Grille audit niveau 3\Grille d'audit v1.11\[grille-audit-hvev4-v1.11-vf.xlsx]Fertilisation</v>
      </c>
      <c r="E1747">
        <f t="shared" ca="1" si="109"/>
        <v>200</v>
      </c>
      <c r="F1747">
        <f t="shared" ca="1" si="110"/>
        <v>213</v>
      </c>
      <c r="G1747" t="str">
        <f t="shared" ca="1" si="111"/>
        <v>Fertilisation</v>
      </c>
      <c r="H1747" cm="1">
        <f t="array" aca="1" ref="H1747" ca="1">ROW(INDIRECT(A1747))</f>
        <v>88</v>
      </c>
      <c r="I1747" cm="1">
        <f t="array" aca="1" ref="I1747" ca="1">COLUMN(INDIRECT(A1747))</f>
        <v>17</v>
      </c>
    </row>
    <row r="1748" spans="1:9" x14ac:dyDescent="0.25">
      <c r="A1748" s="505" t="s">
        <v>4678</v>
      </c>
      <c r="B1748" cm="1">
        <f t="array" aca="1" ref="B1748" ca="1">INDIRECT(A1748)</f>
        <v>0</v>
      </c>
      <c r="C1748">
        <f t="shared" ca="1" si="108"/>
        <v>8</v>
      </c>
      <c r="D1748" t="str" cm="1">
        <f t="array" aca="1" ref="D1748" ca="1">CELL("nomfichier",INDIRECT(A1748))</f>
        <v>G:\SCPE\sdc\bq\6 - Mentions valorisantes\Certification environnementale\TEXTES_REGLEMENTATION_CE\Plans_contrôle et grilles\Grille audit niveau 3\Grille d'audit v1.11\[grille-audit-hvev4-v1.11-vf.xlsx]Fertilisation</v>
      </c>
      <c r="E1748">
        <f t="shared" ca="1" si="109"/>
        <v>200</v>
      </c>
      <c r="F1748">
        <f t="shared" ca="1" si="110"/>
        <v>213</v>
      </c>
      <c r="G1748" t="str">
        <f t="shared" ca="1" si="111"/>
        <v>Fertilisation</v>
      </c>
      <c r="H1748" cm="1">
        <f t="array" aca="1" ref="H1748" ca="1">ROW(INDIRECT(A1748))</f>
        <v>88</v>
      </c>
      <c r="I1748" cm="1">
        <f t="array" aca="1" ref="I1748" ca="1">COLUMN(INDIRECT(A1748))</f>
        <v>19</v>
      </c>
    </row>
    <row r="1749" spans="1:9" x14ac:dyDescent="0.25">
      <c r="A1749" s="505" t="s">
        <v>4681</v>
      </c>
      <c r="B1749" cm="1">
        <f t="array" aca="1" ref="B1749" ca="1">INDIRECT(A1749)</f>
        <v>0</v>
      </c>
      <c r="C1749">
        <f t="shared" ca="1" si="108"/>
        <v>8</v>
      </c>
      <c r="D1749" t="str" cm="1">
        <f t="array" aca="1" ref="D1749" ca="1">CELL("nomfichier",INDIRECT(A1749))</f>
        <v>G:\SCPE\sdc\bq\6 - Mentions valorisantes\Certification environnementale\TEXTES_REGLEMENTATION_CE\Plans_contrôle et grilles\Grille audit niveau 3\Grille d'audit v1.11\[grille-audit-hvev4-v1.11-vf.xlsx]Fertilisation</v>
      </c>
      <c r="E1749">
        <f t="shared" ca="1" si="109"/>
        <v>200</v>
      </c>
      <c r="F1749">
        <f t="shared" ca="1" si="110"/>
        <v>213</v>
      </c>
      <c r="G1749" t="str">
        <f t="shared" ca="1" si="111"/>
        <v>Fertilisation</v>
      </c>
      <c r="H1749" cm="1">
        <f t="array" aca="1" ref="H1749" ca="1">ROW(INDIRECT(A1749))</f>
        <v>88</v>
      </c>
      <c r="I1749" cm="1">
        <f t="array" aca="1" ref="I1749" ca="1">COLUMN(INDIRECT(A1749))</f>
        <v>21</v>
      </c>
    </row>
    <row r="1750" spans="1:9" x14ac:dyDescent="0.25">
      <c r="A1750" s="505" t="s">
        <v>4676</v>
      </c>
      <c r="B1750" cm="1">
        <f t="array" aca="1" ref="B1750" ca="1">INDIRECT(A1750)</f>
        <v>0</v>
      </c>
      <c r="C1750">
        <f t="shared" ca="1" si="108"/>
        <v>8</v>
      </c>
      <c r="D1750" t="str" cm="1">
        <f t="array" aca="1" ref="D1750" ca="1">CELL("nomfichier",INDIRECT(A1750))</f>
        <v>G:\SCPE\sdc\bq\6 - Mentions valorisantes\Certification environnementale\TEXTES_REGLEMENTATION_CE\Plans_contrôle et grilles\Grille audit niveau 3\Grille d'audit v1.11\[grille-audit-hvev4-v1.11-vf.xlsx]Fertilisation</v>
      </c>
      <c r="E1750">
        <f t="shared" ca="1" si="109"/>
        <v>200</v>
      </c>
      <c r="F1750">
        <f t="shared" ca="1" si="110"/>
        <v>213</v>
      </c>
      <c r="G1750" t="str">
        <f t="shared" ca="1" si="111"/>
        <v>Fertilisation</v>
      </c>
      <c r="H1750" cm="1">
        <f t="array" aca="1" ref="H1750" ca="1">ROW(INDIRECT(A1750))</f>
        <v>89</v>
      </c>
      <c r="I1750" cm="1">
        <f t="array" aca="1" ref="I1750" ca="1">COLUMN(INDIRECT(A1750))</f>
        <v>17</v>
      </c>
    </row>
    <row r="1751" spans="1:9" x14ac:dyDescent="0.25">
      <c r="A1751" s="505" t="s">
        <v>4679</v>
      </c>
      <c r="B1751" cm="1">
        <f t="array" aca="1" ref="B1751" ca="1">INDIRECT(A1751)</f>
        <v>0</v>
      </c>
      <c r="C1751">
        <f t="shared" ca="1" si="108"/>
        <v>8</v>
      </c>
      <c r="D1751" t="str" cm="1">
        <f t="array" aca="1" ref="D1751" ca="1">CELL("nomfichier",INDIRECT(A1751))</f>
        <v>G:\SCPE\sdc\bq\6 - Mentions valorisantes\Certification environnementale\TEXTES_REGLEMENTATION_CE\Plans_contrôle et grilles\Grille audit niveau 3\Grille d'audit v1.11\[grille-audit-hvev4-v1.11-vf.xlsx]Fertilisation</v>
      </c>
      <c r="E1751">
        <f t="shared" ca="1" si="109"/>
        <v>200</v>
      </c>
      <c r="F1751">
        <f t="shared" ca="1" si="110"/>
        <v>213</v>
      </c>
      <c r="G1751" t="str">
        <f t="shared" ca="1" si="111"/>
        <v>Fertilisation</v>
      </c>
      <c r="H1751" cm="1">
        <f t="array" aca="1" ref="H1751" ca="1">ROW(INDIRECT(A1751))</f>
        <v>89</v>
      </c>
      <c r="I1751" cm="1">
        <f t="array" aca="1" ref="I1751" ca="1">COLUMN(INDIRECT(A1751))</f>
        <v>19</v>
      </c>
    </row>
    <row r="1752" spans="1:9" x14ac:dyDescent="0.25">
      <c r="A1752" s="505" t="s">
        <v>4682</v>
      </c>
      <c r="B1752" cm="1">
        <f t="array" aca="1" ref="B1752" ca="1">INDIRECT(A1752)</f>
        <v>0</v>
      </c>
      <c r="C1752">
        <f t="shared" ca="1" si="108"/>
        <v>8</v>
      </c>
      <c r="D1752" t="str" cm="1">
        <f t="array" aca="1" ref="D1752" ca="1">CELL("nomfichier",INDIRECT(A1752))</f>
        <v>G:\SCPE\sdc\bq\6 - Mentions valorisantes\Certification environnementale\TEXTES_REGLEMENTATION_CE\Plans_contrôle et grilles\Grille audit niveau 3\Grille d'audit v1.11\[grille-audit-hvev4-v1.11-vf.xlsx]Fertilisation</v>
      </c>
      <c r="E1752">
        <f t="shared" ca="1" si="109"/>
        <v>200</v>
      </c>
      <c r="F1752">
        <f t="shared" ca="1" si="110"/>
        <v>213</v>
      </c>
      <c r="G1752" t="str">
        <f t="shared" ca="1" si="111"/>
        <v>Fertilisation</v>
      </c>
      <c r="H1752" cm="1">
        <f t="array" aca="1" ref="H1752" ca="1">ROW(INDIRECT(A1752))</f>
        <v>89</v>
      </c>
      <c r="I1752" cm="1">
        <f t="array" aca="1" ref="I1752" ca="1">COLUMN(INDIRECT(A1752))</f>
        <v>21</v>
      </c>
    </row>
    <row r="1753" spans="1:9" x14ac:dyDescent="0.25">
      <c r="A1753" s="503" t="s">
        <v>4693</v>
      </c>
      <c r="B1753" t="str" cm="1">
        <f t="array" aca="1" ref="B1753" ca="1">INDIRECT(A1753)</f>
        <v/>
      </c>
      <c r="C1753">
        <f t="shared" ca="1" si="108"/>
        <v>8</v>
      </c>
      <c r="D1753" t="str" cm="1">
        <f t="array" aca="1" ref="D1753" ca="1">CELL("nomfichier",INDIRECT(A1753))</f>
        <v>G:\SCPE\sdc\bq\6 - Mentions valorisantes\Certification environnementale\TEXTES_REGLEMENTATION_CE\Plans_contrôle et grilles\Grille audit niveau 3\Grille d'audit v1.11\[grille-audit-hvev4-v1.11-vf.xlsx]Fertilisation</v>
      </c>
      <c r="E1753">
        <f t="shared" ca="1" si="109"/>
        <v>200</v>
      </c>
      <c r="F1753">
        <f t="shared" ca="1" si="110"/>
        <v>213</v>
      </c>
      <c r="G1753" t="str">
        <f t="shared" ca="1" si="111"/>
        <v>Fertilisation</v>
      </c>
      <c r="H1753" cm="1">
        <f t="array" aca="1" ref="H1753" ca="1">ROW(INDIRECT(A1753))</f>
        <v>93</v>
      </c>
      <c r="I1753" cm="1">
        <f t="array" aca="1" ref="I1753" ca="1">COLUMN(INDIRECT(A1753))</f>
        <v>17</v>
      </c>
    </row>
    <row r="1754" spans="1:9" x14ac:dyDescent="0.25">
      <c r="A1754" s="503" t="s">
        <v>4694</v>
      </c>
      <c r="B1754" cm="1">
        <f t="array" aca="1" ref="B1754" ca="1">INDIRECT(A1754)</f>
        <v>0</v>
      </c>
      <c r="C1754">
        <f t="shared" ca="1" si="108"/>
        <v>8</v>
      </c>
      <c r="D1754" t="str" cm="1">
        <f t="array" aca="1" ref="D1754" ca="1">CELL("nomfichier",INDIRECT(A1754))</f>
        <v>G:\SCPE\sdc\bq\6 - Mentions valorisantes\Certification environnementale\TEXTES_REGLEMENTATION_CE\Plans_contrôle et grilles\Grille audit niveau 3\Grille d'audit v1.11\[grille-audit-hvev4-v1.11-vf.xlsx]Fertilisation</v>
      </c>
      <c r="E1754">
        <f t="shared" ca="1" si="109"/>
        <v>200</v>
      </c>
      <c r="F1754">
        <f t="shared" ca="1" si="110"/>
        <v>213</v>
      </c>
      <c r="G1754" t="str">
        <f t="shared" ca="1" si="111"/>
        <v>Fertilisation</v>
      </c>
      <c r="H1754" cm="1">
        <f t="array" aca="1" ref="H1754" ca="1">ROW(INDIRECT(A1754))</f>
        <v>94</v>
      </c>
      <c r="I1754" cm="1">
        <f t="array" aca="1" ref="I1754" ca="1">COLUMN(INDIRECT(A1754))</f>
        <v>17</v>
      </c>
    </row>
    <row r="1755" spans="1:9" x14ac:dyDescent="0.25">
      <c r="A1755" s="503" t="s">
        <v>4695</v>
      </c>
      <c r="B1755" cm="1">
        <f t="array" aca="1" ref="B1755" ca="1">INDIRECT(A1755)</f>
        <v>0</v>
      </c>
      <c r="C1755">
        <f t="shared" ca="1" si="108"/>
        <v>8</v>
      </c>
      <c r="D1755" t="str" cm="1">
        <f t="array" aca="1" ref="D1755" ca="1">CELL("nomfichier",INDIRECT(A1755))</f>
        <v>G:\SCPE\sdc\bq\6 - Mentions valorisantes\Certification environnementale\TEXTES_REGLEMENTATION_CE\Plans_contrôle et grilles\Grille audit niveau 3\Grille d'audit v1.11\[grille-audit-hvev4-v1.11-vf.xlsx]Fertilisation</v>
      </c>
      <c r="E1755">
        <f t="shared" ca="1" si="109"/>
        <v>200</v>
      </c>
      <c r="F1755">
        <f t="shared" ca="1" si="110"/>
        <v>213</v>
      </c>
      <c r="G1755" t="str">
        <f t="shared" ca="1" si="111"/>
        <v>Fertilisation</v>
      </c>
      <c r="H1755" cm="1">
        <f t="array" aca="1" ref="H1755" ca="1">ROW(INDIRECT(A1755))</f>
        <v>95</v>
      </c>
      <c r="I1755" cm="1">
        <f t="array" aca="1" ref="I1755" ca="1">COLUMN(INDIRECT(A1755))</f>
        <v>17</v>
      </c>
    </row>
    <row r="1756" spans="1:9" x14ac:dyDescent="0.25">
      <c r="A1756" s="503" t="s">
        <v>4696</v>
      </c>
      <c r="B1756" cm="1">
        <f t="array" aca="1" ref="B1756" ca="1">INDIRECT(A1756)</f>
        <v>0</v>
      </c>
      <c r="C1756">
        <f t="shared" ca="1" si="108"/>
        <v>8</v>
      </c>
      <c r="D1756" t="str" cm="1">
        <f t="array" aca="1" ref="D1756" ca="1">CELL("nomfichier",INDIRECT(A1756))</f>
        <v>G:\SCPE\sdc\bq\6 - Mentions valorisantes\Certification environnementale\TEXTES_REGLEMENTATION_CE\Plans_contrôle et grilles\Grille audit niveau 3\Grille d'audit v1.11\[grille-audit-hvev4-v1.11-vf.xlsx]Fertilisation</v>
      </c>
      <c r="E1756">
        <f t="shared" ca="1" si="109"/>
        <v>200</v>
      </c>
      <c r="F1756">
        <f t="shared" ca="1" si="110"/>
        <v>213</v>
      </c>
      <c r="G1756" t="str">
        <f t="shared" ca="1" si="111"/>
        <v>Fertilisation</v>
      </c>
      <c r="H1756" cm="1">
        <f t="array" aca="1" ref="H1756" ca="1">ROW(INDIRECT(A1756))</f>
        <v>96</v>
      </c>
      <c r="I1756" cm="1">
        <f t="array" aca="1" ref="I1756" ca="1">COLUMN(INDIRECT(A1756))</f>
        <v>17</v>
      </c>
    </row>
    <row r="1757" spans="1:9" x14ac:dyDescent="0.25">
      <c r="A1757" s="503" t="s">
        <v>4697</v>
      </c>
      <c r="B1757" cm="1">
        <f t="array" aca="1" ref="B1757" ca="1">INDIRECT(A1757)</f>
        <v>0</v>
      </c>
      <c r="C1757">
        <f t="shared" ca="1" si="108"/>
        <v>8</v>
      </c>
      <c r="D1757" t="str" cm="1">
        <f t="array" aca="1" ref="D1757" ca="1">CELL("nomfichier",INDIRECT(A1757))</f>
        <v>G:\SCPE\sdc\bq\6 - Mentions valorisantes\Certification environnementale\TEXTES_REGLEMENTATION_CE\Plans_contrôle et grilles\Grille audit niveau 3\Grille d'audit v1.11\[grille-audit-hvev4-v1.11-vf.xlsx]Fertilisation</v>
      </c>
      <c r="E1757">
        <f t="shared" ca="1" si="109"/>
        <v>200</v>
      </c>
      <c r="F1757">
        <f t="shared" ca="1" si="110"/>
        <v>213</v>
      </c>
      <c r="G1757" t="str">
        <f t="shared" ca="1" si="111"/>
        <v>Fertilisation</v>
      </c>
      <c r="H1757" cm="1">
        <f t="array" aca="1" ref="H1757" ca="1">ROW(INDIRECT(A1757))</f>
        <v>97</v>
      </c>
      <c r="I1757" cm="1">
        <f t="array" aca="1" ref="I1757" ca="1">COLUMN(INDIRECT(A1757))</f>
        <v>19</v>
      </c>
    </row>
    <row r="1758" spans="1:9" x14ac:dyDescent="0.25">
      <c r="A1758" s="503" t="s">
        <v>4698</v>
      </c>
      <c r="B1758" cm="1">
        <f t="array" aca="1" ref="B1758" ca="1">INDIRECT(A1758)</f>
        <v>0</v>
      </c>
      <c r="C1758">
        <f t="shared" ca="1" si="108"/>
        <v>8</v>
      </c>
      <c r="D1758" t="str" cm="1">
        <f t="array" aca="1" ref="D1758" ca="1">CELL("nomfichier",INDIRECT(A1758))</f>
        <v>G:\SCPE\sdc\bq\6 - Mentions valorisantes\Certification environnementale\TEXTES_REGLEMENTATION_CE\Plans_contrôle et grilles\Grille audit niveau 3\Grille d'audit v1.11\[grille-audit-hvev4-v1.11-vf.xlsx]Fertilisation</v>
      </c>
      <c r="E1758">
        <f t="shared" ca="1" si="109"/>
        <v>200</v>
      </c>
      <c r="F1758">
        <f t="shared" ca="1" si="110"/>
        <v>213</v>
      </c>
      <c r="G1758" t="str">
        <f t="shared" ca="1" si="111"/>
        <v>Fertilisation</v>
      </c>
      <c r="H1758" cm="1">
        <f t="array" aca="1" ref="H1758" ca="1">ROW(INDIRECT(A1758))</f>
        <v>100</v>
      </c>
      <c r="I1758" cm="1">
        <f t="array" aca="1" ref="I1758" ca="1">COLUMN(INDIRECT(A1758))</f>
        <v>19</v>
      </c>
    </row>
    <row r="1759" spans="1:9" x14ac:dyDescent="0.25">
      <c r="A1759" s="503" t="s">
        <v>4699</v>
      </c>
      <c r="B1759" cm="1">
        <f t="array" aca="1" ref="B1759" ca="1">INDIRECT(A1759)</f>
        <v>5</v>
      </c>
      <c r="C1759">
        <f t="shared" ca="1" si="108"/>
        <v>8</v>
      </c>
      <c r="D1759" t="str" cm="1">
        <f t="array" aca="1" ref="D1759" ca="1">CELL("nomfichier",INDIRECT(A1759))</f>
        <v>G:\SCPE\sdc\bq\6 - Mentions valorisantes\Certification environnementale\TEXTES_REGLEMENTATION_CE\Plans_contrôle et grilles\Grille audit niveau 3\Grille d'audit v1.11\[grille-audit-hvev4-v1.11-vf.xlsx]Fertilisation</v>
      </c>
      <c r="E1759">
        <f t="shared" ca="1" si="109"/>
        <v>200</v>
      </c>
      <c r="F1759">
        <f t="shared" ca="1" si="110"/>
        <v>213</v>
      </c>
      <c r="G1759" t="str">
        <f t="shared" ca="1" si="111"/>
        <v>Fertilisation</v>
      </c>
      <c r="H1759" cm="1">
        <f t="array" aca="1" ref="H1759" ca="1">ROW(INDIRECT(A1759))</f>
        <v>100</v>
      </c>
      <c r="I1759" cm="1">
        <f t="array" aca="1" ref="I1759" ca="1">COLUMN(INDIRECT(A1759))</f>
        <v>23</v>
      </c>
    </row>
    <row r="1760" spans="1:9" x14ac:dyDescent="0.25">
      <c r="A1760" s="503" t="s">
        <v>4700</v>
      </c>
      <c r="B1760" cm="1">
        <f t="array" aca="1" ref="B1760" ca="1">INDIRECT(A1760)</f>
        <v>0</v>
      </c>
      <c r="C1760">
        <f t="shared" ca="1" si="108"/>
        <v>8</v>
      </c>
      <c r="D1760" t="str" cm="1">
        <f t="array" aca="1" ref="D1760" ca="1">CELL("nomfichier",INDIRECT(A1760))</f>
        <v>G:\SCPE\sdc\bq\6 - Mentions valorisantes\Certification environnementale\TEXTES_REGLEMENTATION_CE\Plans_contrôle et grilles\Grille audit niveau 3\Grille d'audit v1.11\[grille-audit-hvev4-v1.11-vf.xlsx]Fertilisation</v>
      </c>
      <c r="E1760">
        <f t="shared" ca="1" si="109"/>
        <v>200</v>
      </c>
      <c r="F1760">
        <f t="shared" ca="1" si="110"/>
        <v>213</v>
      </c>
      <c r="G1760" t="str">
        <f t="shared" ca="1" si="111"/>
        <v>Fertilisation</v>
      </c>
      <c r="H1760" cm="1">
        <f t="array" aca="1" ref="H1760" ca="1">ROW(INDIRECT(A1760))</f>
        <v>116</v>
      </c>
      <c r="I1760" cm="1">
        <f t="array" aca="1" ref="I1760" ca="1">COLUMN(INDIRECT(A1760))</f>
        <v>14</v>
      </c>
    </row>
    <row r="1761" spans="1:9" x14ac:dyDescent="0.25">
      <c r="A1761" s="503" t="s">
        <v>4701</v>
      </c>
      <c r="B1761" cm="1">
        <f t="array" aca="1" ref="B1761" ca="1">INDIRECT(A1761)</f>
        <v>0</v>
      </c>
      <c r="C1761">
        <f t="shared" ca="1" si="108"/>
        <v>8</v>
      </c>
      <c r="D1761" t="str" cm="1">
        <f t="array" aca="1" ref="D1761" ca="1">CELL("nomfichier",INDIRECT(A1761))</f>
        <v>G:\SCPE\sdc\bq\6 - Mentions valorisantes\Certification environnementale\TEXTES_REGLEMENTATION_CE\Plans_contrôle et grilles\Grille audit niveau 3\Grille d'audit v1.11\[grille-audit-hvev4-v1.11-vf.xlsx]Fertilisation</v>
      </c>
      <c r="E1761">
        <f t="shared" ca="1" si="109"/>
        <v>200</v>
      </c>
      <c r="F1761">
        <f t="shared" ca="1" si="110"/>
        <v>213</v>
      </c>
      <c r="G1761" t="str">
        <f t="shared" ca="1" si="111"/>
        <v>Fertilisation</v>
      </c>
      <c r="H1761" cm="1">
        <f t="array" aca="1" ref="H1761" ca="1">ROW(INDIRECT(A1761))</f>
        <v>117</v>
      </c>
      <c r="I1761" cm="1">
        <f t="array" aca="1" ref="I1761" ca="1">COLUMN(INDIRECT(A1761))</f>
        <v>14</v>
      </c>
    </row>
    <row r="1762" spans="1:9" x14ac:dyDescent="0.25">
      <c r="A1762" s="503" t="s">
        <v>4702</v>
      </c>
      <c r="B1762" cm="1">
        <f t="array" aca="1" ref="B1762" ca="1">INDIRECT(A1762)</f>
        <v>0</v>
      </c>
      <c r="C1762">
        <f t="shared" ca="1" si="108"/>
        <v>8</v>
      </c>
      <c r="D1762" t="str" cm="1">
        <f t="array" aca="1" ref="D1762" ca="1">CELL("nomfichier",INDIRECT(A1762))</f>
        <v>G:\SCPE\sdc\bq\6 - Mentions valorisantes\Certification environnementale\TEXTES_REGLEMENTATION_CE\Plans_contrôle et grilles\Grille audit niveau 3\Grille d'audit v1.11\[grille-audit-hvev4-v1.11-vf.xlsx]Fertilisation</v>
      </c>
      <c r="E1762">
        <f t="shared" ca="1" si="109"/>
        <v>200</v>
      </c>
      <c r="F1762">
        <f t="shared" ca="1" si="110"/>
        <v>213</v>
      </c>
      <c r="G1762" t="str">
        <f t="shared" ca="1" si="111"/>
        <v>Fertilisation</v>
      </c>
      <c r="H1762" cm="1">
        <f t="array" aca="1" ref="H1762" ca="1">ROW(INDIRECT(A1762))</f>
        <v>121</v>
      </c>
      <c r="I1762" cm="1">
        <f t="array" aca="1" ref="I1762" ca="1">COLUMN(INDIRECT(A1762))</f>
        <v>14</v>
      </c>
    </row>
    <row r="1763" spans="1:9" x14ac:dyDescent="0.25">
      <c r="A1763" s="503" t="s">
        <v>4703</v>
      </c>
      <c r="B1763" cm="1">
        <f t="array" aca="1" ref="B1763" ca="1">INDIRECT(A1763)</f>
        <v>0</v>
      </c>
      <c r="C1763">
        <f t="shared" ca="1" si="108"/>
        <v>8</v>
      </c>
      <c r="D1763" t="str" cm="1">
        <f t="array" aca="1" ref="D1763" ca="1">CELL("nomfichier",INDIRECT(A1763))</f>
        <v>G:\SCPE\sdc\bq\6 - Mentions valorisantes\Certification environnementale\TEXTES_REGLEMENTATION_CE\Plans_contrôle et grilles\Grille audit niveau 3\Grille d'audit v1.11\[grille-audit-hvev4-v1.11-vf.xlsx]Fertilisation</v>
      </c>
      <c r="E1763">
        <f t="shared" ca="1" si="109"/>
        <v>200</v>
      </c>
      <c r="F1763">
        <f t="shared" ca="1" si="110"/>
        <v>213</v>
      </c>
      <c r="G1763" t="str">
        <f t="shared" ca="1" si="111"/>
        <v>Fertilisation</v>
      </c>
      <c r="H1763" cm="1">
        <f t="array" aca="1" ref="H1763" ca="1">ROW(INDIRECT(A1763))</f>
        <v>122</v>
      </c>
      <c r="I1763" cm="1">
        <f t="array" aca="1" ref="I1763" ca="1">COLUMN(INDIRECT(A1763))</f>
        <v>14</v>
      </c>
    </row>
    <row r="1764" spans="1:9" x14ac:dyDescent="0.25">
      <c r="A1764" s="503" t="s">
        <v>4704</v>
      </c>
      <c r="B1764" cm="1">
        <f t="array" aca="1" ref="B1764" ca="1">INDIRECT(A1764)</f>
        <v>0</v>
      </c>
      <c r="C1764">
        <f t="shared" ca="1" si="108"/>
        <v>8</v>
      </c>
      <c r="D1764" t="str" cm="1">
        <f t="array" aca="1" ref="D1764" ca="1">CELL("nomfichier",INDIRECT(A1764))</f>
        <v>G:\SCPE\sdc\bq\6 - Mentions valorisantes\Certification environnementale\TEXTES_REGLEMENTATION_CE\Plans_contrôle et grilles\Grille audit niveau 3\Grille d'audit v1.11\[grille-audit-hvev4-v1.11-vf.xlsx]Fertilisation</v>
      </c>
      <c r="E1764">
        <f t="shared" ca="1" si="109"/>
        <v>200</v>
      </c>
      <c r="F1764">
        <f t="shared" ca="1" si="110"/>
        <v>213</v>
      </c>
      <c r="G1764" t="str">
        <f t="shared" ca="1" si="111"/>
        <v>Fertilisation</v>
      </c>
      <c r="H1764" cm="1">
        <f t="array" aca="1" ref="H1764" ca="1">ROW(INDIRECT(A1764))</f>
        <v>122</v>
      </c>
      <c r="I1764" cm="1">
        <f t="array" aca="1" ref="I1764" ca="1">COLUMN(INDIRECT(A1764))</f>
        <v>16</v>
      </c>
    </row>
    <row r="1765" spans="1:9" x14ac:dyDescent="0.25">
      <c r="A1765" s="503" t="s">
        <v>4705</v>
      </c>
      <c r="B1765" cm="1">
        <f t="array" aca="1" ref="B1765" ca="1">INDIRECT(A1765)</f>
        <v>4</v>
      </c>
      <c r="C1765">
        <f t="shared" ca="1" si="108"/>
        <v>8</v>
      </c>
      <c r="D1765" t="str" cm="1">
        <f t="array" aca="1" ref="D1765" ca="1">CELL("nomfichier",INDIRECT(A1765))</f>
        <v>G:\SCPE\sdc\bq\6 - Mentions valorisantes\Certification environnementale\TEXTES_REGLEMENTATION_CE\Plans_contrôle et grilles\Grille audit niveau 3\Grille d'audit v1.11\[grille-audit-hvev4-v1.11-vf.xlsx]Fertilisation</v>
      </c>
      <c r="E1765">
        <f t="shared" ca="1" si="109"/>
        <v>200</v>
      </c>
      <c r="F1765">
        <f t="shared" ca="1" si="110"/>
        <v>213</v>
      </c>
      <c r="G1765" t="str">
        <f t="shared" ca="1" si="111"/>
        <v>Fertilisation</v>
      </c>
      <c r="H1765" cm="1">
        <f t="array" aca="1" ref="H1765" ca="1">ROW(INDIRECT(A1765))</f>
        <v>122</v>
      </c>
      <c r="I1765" cm="1">
        <f t="array" aca="1" ref="I1765" ca="1">COLUMN(INDIRECT(A1765))</f>
        <v>23</v>
      </c>
    </row>
    <row r="1766" spans="1:9" x14ac:dyDescent="0.25">
      <c r="A1766" s="503" t="s">
        <v>4706</v>
      </c>
      <c r="B1766" cm="1">
        <f t="array" aca="1" ref="B1766" ca="1">INDIRECT(A1766)</f>
        <v>0</v>
      </c>
      <c r="C1766">
        <f t="shared" ca="1" si="108"/>
        <v>8</v>
      </c>
      <c r="D1766" t="str" cm="1">
        <f t="array" aca="1" ref="D1766" ca="1">CELL("nomfichier",INDIRECT(A1766))</f>
        <v>G:\SCPE\sdc\bq\6 - Mentions valorisantes\Certification environnementale\TEXTES_REGLEMENTATION_CE\Plans_contrôle et grilles\Grille audit niveau 3\Grille d'audit v1.11\[grille-audit-hvev4-v1.11-vf.xlsx]Fertilisation</v>
      </c>
      <c r="E1766">
        <f t="shared" ca="1" si="109"/>
        <v>200</v>
      </c>
      <c r="F1766">
        <f t="shared" ca="1" si="110"/>
        <v>213</v>
      </c>
      <c r="G1766" t="str">
        <f t="shared" ca="1" si="111"/>
        <v>Fertilisation</v>
      </c>
      <c r="H1766" cm="1">
        <f t="array" aca="1" ref="H1766" ca="1">ROW(INDIRECT(A1766))</f>
        <v>140</v>
      </c>
      <c r="I1766" cm="1">
        <f t="array" aca="1" ref="I1766" ca="1">COLUMN(INDIRECT(A1766))</f>
        <v>12</v>
      </c>
    </row>
    <row r="1767" spans="1:9" x14ac:dyDescent="0.25">
      <c r="A1767" s="503" t="s">
        <v>4707</v>
      </c>
      <c r="B1767" cm="1">
        <f t="array" aca="1" ref="B1767" ca="1">INDIRECT(A1767)</f>
        <v>0</v>
      </c>
      <c r="C1767">
        <f t="shared" ca="1" si="108"/>
        <v>8</v>
      </c>
      <c r="D1767" t="str" cm="1">
        <f t="array" aca="1" ref="D1767" ca="1">CELL("nomfichier",INDIRECT(A1767))</f>
        <v>G:\SCPE\sdc\bq\6 - Mentions valorisantes\Certification environnementale\TEXTES_REGLEMENTATION_CE\Plans_contrôle et grilles\Grille audit niveau 3\Grille d'audit v1.11\[grille-audit-hvev4-v1.11-vf.xlsx]Fertilisation</v>
      </c>
      <c r="E1767">
        <f t="shared" ca="1" si="109"/>
        <v>200</v>
      </c>
      <c r="F1767">
        <f t="shared" ca="1" si="110"/>
        <v>213</v>
      </c>
      <c r="G1767" t="str">
        <f t="shared" ca="1" si="111"/>
        <v>Fertilisation</v>
      </c>
      <c r="H1767" cm="1">
        <f t="array" aca="1" ref="H1767" ca="1">ROW(INDIRECT(A1767))</f>
        <v>141</v>
      </c>
      <c r="I1767" cm="1">
        <f t="array" aca="1" ref="I1767" ca="1">COLUMN(INDIRECT(A1767))</f>
        <v>12</v>
      </c>
    </row>
    <row r="1768" spans="1:9" x14ac:dyDescent="0.25">
      <c r="A1768" s="503" t="s">
        <v>4708</v>
      </c>
      <c r="B1768" cm="1">
        <f t="array" aca="1" ref="B1768" ca="1">INDIRECT(A1768)</f>
        <v>0</v>
      </c>
      <c r="C1768">
        <f t="shared" ca="1" si="108"/>
        <v>8</v>
      </c>
      <c r="D1768" t="str" cm="1">
        <f t="array" aca="1" ref="D1768" ca="1">CELL("nomfichier",INDIRECT(A1768))</f>
        <v>G:\SCPE\sdc\bq\6 - Mentions valorisantes\Certification environnementale\TEXTES_REGLEMENTATION_CE\Plans_contrôle et grilles\Grille audit niveau 3\Grille d'audit v1.11\[grille-audit-hvev4-v1.11-vf.xlsx]Fertilisation</v>
      </c>
      <c r="E1768">
        <f t="shared" ca="1" si="109"/>
        <v>200</v>
      </c>
      <c r="F1768">
        <f t="shared" ca="1" si="110"/>
        <v>213</v>
      </c>
      <c r="G1768" t="str">
        <f t="shared" ca="1" si="111"/>
        <v>Fertilisation</v>
      </c>
      <c r="H1768" cm="1">
        <f t="array" aca="1" ref="H1768" ca="1">ROW(INDIRECT(A1768))</f>
        <v>142</v>
      </c>
      <c r="I1768" cm="1">
        <f t="array" aca="1" ref="I1768" ca="1">COLUMN(INDIRECT(A1768))</f>
        <v>12</v>
      </c>
    </row>
    <row r="1769" spans="1:9" x14ac:dyDescent="0.25">
      <c r="A1769" s="503" t="s">
        <v>4709</v>
      </c>
      <c r="B1769" cm="1">
        <f t="array" aca="1" ref="B1769" ca="1">INDIRECT(A1769)</f>
        <v>0</v>
      </c>
      <c r="C1769">
        <f t="shared" ca="1" si="108"/>
        <v>8</v>
      </c>
      <c r="D1769" t="str" cm="1">
        <f t="array" aca="1" ref="D1769" ca="1">CELL("nomfichier",INDIRECT(A1769))</f>
        <v>G:\SCPE\sdc\bq\6 - Mentions valorisantes\Certification environnementale\TEXTES_REGLEMENTATION_CE\Plans_contrôle et grilles\Grille audit niveau 3\Grille d'audit v1.11\[grille-audit-hvev4-v1.11-vf.xlsx]Fertilisation</v>
      </c>
      <c r="E1769">
        <f t="shared" ca="1" si="109"/>
        <v>200</v>
      </c>
      <c r="F1769">
        <f t="shared" ca="1" si="110"/>
        <v>213</v>
      </c>
      <c r="G1769" t="str">
        <f t="shared" ca="1" si="111"/>
        <v>Fertilisation</v>
      </c>
      <c r="H1769" cm="1">
        <f t="array" aca="1" ref="H1769" ca="1">ROW(INDIRECT(A1769))</f>
        <v>143</v>
      </c>
      <c r="I1769" cm="1">
        <f t="array" aca="1" ref="I1769" ca="1">COLUMN(INDIRECT(A1769))</f>
        <v>12</v>
      </c>
    </row>
    <row r="1770" spans="1:9" x14ac:dyDescent="0.25">
      <c r="A1770" s="503" t="s">
        <v>4710</v>
      </c>
      <c r="B1770" cm="1">
        <f t="array" aca="1" ref="B1770" ca="1">INDIRECT(A1770)</f>
        <v>0</v>
      </c>
      <c r="C1770">
        <f t="shared" ca="1" si="108"/>
        <v>8</v>
      </c>
      <c r="D1770" t="str" cm="1">
        <f t="array" aca="1" ref="D1770" ca="1">CELL("nomfichier",INDIRECT(A1770))</f>
        <v>G:\SCPE\sdc\bq\6 - Mentions valorisantes\Certification environnementale\TEXTES_REGLEMENTATION_CE\Plans_contrôle et grilles\Grille audit niveau 3\Grille d'audit v1.11\[grille-audit-hvev4-v1.11-vf.xlsx]Fertilisation</v>
      </c>
      <c r="E1770">
        <f t="shared" ca="1" si="109"/>
        <v>200</v>
      </c>
      <c r="F1770">
        <f t="shared" ca="1" si="110"/>
        <v>213</v>
      </c>
      <c r="G1770" t="str">
        <f t="shared" ca="1" si="111"/>
        <v>Fertilisation</v>
      </c>
      <c r="H1770" cm="1">
        <f t="array" aca="1" ref="H1770" ca="1">ROW(INDIRECT(A1770))</f>
        <v>146</v>
      </c>
      <c r="I1770" cm="1">
        <f t="array" aca="1" ref="I1770" ca="1">COLUMN(INDIRECT(A1770))</f>
        <v>12</v>
      </c>
    </row>
    <row r="1771" spans="1:9" x14ac:dyDescent="0.25">
      <c r="A1771" s="503" t="s">
        <v>4711</v>
      </c>
      <c r="B1771" cm="1">
        <f t="array" aca="1" ref="B1771" ca="1">INDIRECT(A1771)</f>
        <v>0</v>
      </c>
      <c r="C1771">
        <f t="shared" ca="1" si="108"/>
        <v>8</v>
      </c>
      <c r="D1771" t="str" cm="1">
        <f t="array" aca="1" ref="D1771" ca="1">CELL("nomfichier",INDIRECT(A1771))</f>
        <v>G:\SCPE\sdc\bq\6 - Mentions valorisantes\Certification environnementale\TEXTES_REGLEMENTATION_CE\Plans_contrôle et grilles\Grille audit niveau 3\Grille d'audit v1.11\[grille-audit-hvev4-v1.11-vf.xlsx]Fertilisation</v>
      </c>
      <c r="E1771">
        <f t="shared" ca="1" si="109"/>
        <v>200</v>
      </c>
      <c r="F1771">
        <f t="shared" ca="1" si="110"/>
        <v>213</v>
      </c>
      <c r="G1771" t="str">
        <f t="shared" ca="1" si="111"/>
        <v>Fertilisation</v>
      </c>
      <c r="H1771" cm="1">
        <f t="array" aca="1" ref="H1771" ca="1">ROW(INDIRECT(A1771))</f>
        <v>147</v>
      </c>
      <c r="I1771" cm="1">
        <f t="array" aca="1" ref="I1771" ca="1">COLUMN(INDIRECT(A1771))</f>
        <v>12</v>
      </c>
    </row>
    <row r="1772" spans="1:9" x14ac:dyDescent="0.25">
      <c r="A1772" s="503" t="s">
        <v>4712</v>
      </c>
      <c r="B1772" cm="1">
        <f t="array" aca="1" ref="B1772" ca="1">INDIRECT(A1772)</f>
        <v>0</v>
      </c>
      <c r="C1772">
        <f t="shared" ca="1" si="108"/>
        <v>8</v>
      </c>
      <c r="D1772" t="str" cm="1">
        <f t="array" aca="1" ref="D1772" ca="1">CELL("nomfichier",INDIRECT(A1772))</f>
        <v>G:\SCPE\sdc\bq\6 - Mentions valorisantes\Certification environnementale\TEXTES_REGLEMENTATION_CE\Plans_contrôle et grilles\Grille audit niveau 3\Grille d'audit v1.11\[grille-audit-hvev4-v1.11-vf.xlsx]Fertilisation</v>
      </c>
      <c r="E1772">
        <f t="shared" ca="1" si="109"/>
        <v>200</v>
      </c>
      <c r="F1772">
        <f t="shared" ca="1" si="110"/>
        <v>213</v>
      </c>
      <c r="G1772" t="str">
        <f t="shared" ca="1" si="111"/>
        <v>Fertilisation</v>
      </c>
      <c r="H1772" cm="1">
        <f t="array" aca="1" ref="H1772" ca="1">ROW(INDIRECT(A1772))</f>
        <v>148</v>
      </c>
      <c r="I1772" cm="1">
        <f t="array" aca="1" ref="I1772" ca="1">COLUMN(INDIRECT(A1772))</f>
        <v>12</v>
      </c>
    </row>
    <row r="1773" spans="1:9" x14ac:dyDescent="0.25">
      <c r="A1773" s="503" t="s">
        <v>4713</v>
      </c>
      <c r="B1773" cm="1">
        <f t="array" aca="1" ref="B1773" ca="1">INDIRECT(A1773)</f>
        <v>0</v>
      </c>
      <c r="C1773">
        <f t="shared" ca="1" si="108"/>
        <v>8</v>
      </c>
      <c r="D1773" t="str" cm="1">
        <f t="array" aca="1" ref="D1773" ca="1">CELL("nomfichier",INDIRECT(A1773))</f>
        <v>G:\SCPE\sdc\bq\6 - Mentions valorisantes\Certification environnementale\TEXTES_REGLEMENTATION_CE\Plans_contrôle et grilles\Grille audit niveau 3\Grille d'audit v1.11\[grille-audit-hvev4-v1.11-vf.xlsx]Fertilisation</v>
      </c>
      <c r="E1773">
        <f t="shared" ca="1" si="109"/>
        <v>200</v>
      </c>
      <c r="F1773">
        <f t="shared" ca="1" si="110"/>
        <v>213</v>
      </c>
      <c r="G1773" t="str">
        <f t="shared" ca="1" si="111"/>
        <v>Fertilisation</v>
      </c>
      <c r="H1773" cm="1">
        <f t="array" aca="1" ref="H1773" ca="1">ROW(INDIRECT(A1773))</f>
        <v>151</v>
      </c>
      <c r="I1773" cm="1">
        <f t="array" aca="1" ref="I1773" ca="1">COLUMN(INDIRECT(A1773))</f>
        <v>12</v>
      </c>
    </row>
    <row r="1774" spans="1:9" x14ac:dyDescent="0.25">
      <c r="A1774" s="503" t="s">
        <v>4714</v>
      </c>
      <c r="B1774" cm="1">
        <f t="array" aca="1" ref="B1774" ca="1">INDIRECT(A1774)</f>
        <v>0</v>
      </c>
      <c r="C1774">
        <f t="shared" ca="1" si="108"/>
        <v>8</v>
      </c>
      <c r="D1774" t="str" cm="1">
        <f t="array" aca="1" ref="D1774" ca="1">CELL("nomfichier",INDIRECT(A1774))</f>
        <v>G:\SCPE\sdc\bq\6 - Mentions valorisantes\Certification environnementale\TEXTES_REGLEMENTATION_CE\Plans_contrôle et grilles\Grille audit niveau 3\Grille d'audit v1.11\[grille-audit-hvev4-v1.11-vf.xlsx]Fertilisation</v>
      </c>
      <c r="E1774">
        <f t="shared" ca="1" si="109"/>
        <v>200</v>
      </c>
      <c r="F1774">
        <f t="shared" ca="1" si="110"/>
        <v>213</v>
      </c>
      <c r="G1774" t="str">
        <f t="shared" ca="1" si="111"/>
        <v>Fertilisation</v>
      </c>
      <c r="H1774" cm="1">
        <f t="array" aca="1" ref="H1774" ca="1">ROW(INDIRECT(A1774))</f>
        <v>152</v>
      </c>
      <c r="I1774" cm="1">
        <f t="array" aca="1" ref="I1774" ca="1">COLUMN(INDIRECT(A1774))</f>
        <v>12</v>
      </c>
    </row>
    <row r="1775" spans="1:9" x14ac:dyDescent="0.25">
      <c r="A1775" s="503" t="s">
        <v>4715</v>
      </c>
      <c r="B1775" cm="1">
        <f t="array" aca="1" ref="B1775" ca="1">INDIRECT(A1775)</f>
        <v>0</v>
      </c>
      <c r="C1775">
        <f t="shared" ca="1" si="108"/>
        <v>8</v>
      </c>
      <c r="D1775" t="str" cm="1">
        <f t="array" aca="1" ref="D1775" ca="1">CELL("nomfichier",INDIRECT(A1775))</f>
        <v>G:\SCPE\sdc\bq\6 - Mentions valorisantes\Certification environnementale\TEXTES_REGLEMENTATION_CE\Plans_contrôle et grilles\Grille audit niveau 3\Grille d'audit v1.11\[grille-audit-hvev4-v1.11-vf.xlsx]Fertilisation</v>
      </c>
      <c r="E1775">
        <f t="shared" ca="1" si="109"/>
        <v>200</v>
      </c>
      <c r="F1775">
        <f t="shared" ca="1" si="110"/>
        <v>213</v>
      </c>
      <c r="G1775" t="str">
        <f t="shared" ca="1" si="111"/>
        <v>Fertilisation</v>
      </c>
      <c r="H1775" cm="1">
        <f t="array" aca="1" ref="H1775" ca="1">ROW(INDIRECT(A1775))</f>
        <v>160</v>
      </c>
      <c r="I1775" cm="1">
        <f t="array" aca="1" ref="I1775" ca="1">COLUMN(INDIRECT(A1775))</f>
        <v>14</v>
      </c>
    </row>
    <row r="1776" spans="1:9" x14ac:dyDescent="0.25">
      <c r="A1776" s="503" t="s">
        <v>4716</v>
      </c>
      <c r="B1776" cm="1">
        <f t="array" aca="1" ref="B1776" ca="1">INDIRECT(A1776)</f>
        <v>0</v>
      </c>
      <c r="C1776">
        <f t="shared" ca="1" si="108"/>
        <v>8</v>
      </c>
      <c r="D1776" t="str" cm="1">
        <f t="array" aca="1" ref="D1776" ca="1">CELL("nomfichier",INDIRECT(A1776))</f>
        <v>G:\SCPE\sdc\bq\6 - Mentions valorisantes\Certification environnementale\TEXTES_REGLEMENTATION_CE\Plans_contrôle et grilles\Grille audit niveau 3\Grille d'audit v1.11\[grille-audit-hvev4-v1.11-vf.xlsx]Fertilisation</v>
      </c>
      <c r="E1776">
        <f t="shared" ca="1" si="109"/>
        <v>200</v>
      </c>
      <c r="F1776">
        <f t="shared" ca="1" si="110"/>
        <v>213</v>
      </c>
      <c r="G1776" t="str">
        <f t="shared" ca="1" si="111"/>
        <v>Fertilisation</v>
      </c>
      <c r="H1776" cm="1">
        <f t="array" aca="1" ref="H1776" ca="1">ROW(INDIRECT(A1776))</f>
        <v>161</v>
      </c>
      <c r="I1776" cm="1">
        <f t="array" aca="1" ref="I1776" ca="1">COLUMN(INDIRECT(A1776))</f>
        <v>14</v>
      </c>
    </row>
    <row r="1777" spans="1:9" x14ac:dyDescent="0.25">
      <c r="A1777" s="503" t="s">
        <v>4717</v>
      </c>
      <c r="B1777" cm="1">
        <f t="array" aca="1" ref="B1777" ca="1">INDIRECT(A1777)</f>
        <v>0</v>
      </c>
      <c r="C1777">
        <f t="shared" ca="1" si="108"/>
        <v>8</v>
      </c>
      <c r="D1777" t="str" cm="1">
        <f t="array" aca="1" ref="D1777" ca="1">CELL("nomfichier",INDIRECT(A1777))</f>
        <v>G:\SCPE\sdc\bq\6 - Mentions valorisantes\Certification environnementale\TEXTES_REGLEMENTATION_CE\Plans_contrôle et grilles\Grille audit niveau 3\Grille d'audit v1.11\[grille-audit-hvev4-v1.11-vf.xlsx]Fertilisation</v>
      </c>
      <c r="E1777">
        <f t="shared" ca="1" si="109"/>
        <v>200</v>
      </c>
      <c r="F1777">
        <f t="shared" ca="1" si="110"/>
        <v>213</v>
      </c>
      <c r="G1777" t="str">
        <f t="shared" ca="1" si="111"/>
        <v>Fertilisation</v>
      </c>
      <c r="H1777" cm="1">
        <f t="array" aca="1" ref="H1777" ca="1">ROW(INDIRECT(A1777))</f>
        <v>162</v>
      </c>
      <c r="I1777" cm="1">
        <f t="array" aca="1" ref="I1777" ca="1">COLUMN(INDIRECT(A1777))</f>
        <v>14</v>
      </c>
    </row>
    <row r="1778" spans="1:9" x14ac:dyDescent="0.25">
      <c r="A1778" s="503" t="s">
        <v>4718</v>
      </c>
      <c r="B1778" t="str" cm="1">
        <f t="array" aca="1" ref="B1778" ca="1">INDIRECT(A1778)</f>
        <v>Non</v>
      </c>
      <c r="C1778">
        <f t="shared" ca="1" si="108"/>
        <v>8</v>
      </c>
      <c r="D1778" t="str" cm="1">
        <f t="array" aca="1" ref="D1778" ca="1">CELL("nomfichier",INDIRECT(A1778))</f>
        <v>G:\SCPE\sdc\bq\6 - Mentions valorisantes\Certification environnementale\TEXTES_REGLEMENTATION_CE\Plans_contrôle et grilles\Grille audit niveau 3\Grille d'audit v1.11\[grille-audit-hvev4-v1.11-vf.xlsx]Fertilisation</v>
      </c>
      <c r="E1778">
        <f t="shared" ca="1" si="109"/>
        <v>200</v>
      </c>
      <c r="F1778">
        <f t="shared" ca="1" si="110"/>
        <v>213</v>
      </c>
      <c r="G1778" t="str">
        <f t="shared" ca="1" si="111"/>
        <v>Fertilisation</v>
      </c>
      <c r="H1778" cm="1">
        <f t="array" aca="1" ref="H1778" ca="1">ROW(INDIRECT(A1778))</f>
        <v>168</v>
      </c>
      <c r="I1778" cm="1">
        <f t="array" aca="1" ref="I1778" ca="1">COLUMN(INDIRECT(A1778))</f>
        <v>14</v>
      </c>
    </row>
    <row r="1779" spans="1:9" x14ac:dyDescent="0.25">
      <c r="A1779" s="503" t="s">
        <v>4719</v>
      </c>
      <c r="B1779" cm="1">
        <f t="array" aca="1" ref="B1779" ca="1">INDIRECT(A1779)</f>
        <v>0</v>
      </c>
      <c r="C1779">
        <f t="shared" ca="1" si="108"/>
        <v>8</v>
      </c>
      <c r="D1779" t="str" cm="1">
        <f t="array" aca="1" ref="D1779" ca="1">CELL("nomfichier",INDIRECT(A1779))</f>
        <v>G:\SCPE\sdc\bq\6 - Mentions valorisantes\Certification environnementale\TEXTES_REGLEMENTATION_CE\Plans_contrôle et grilles\Grille audit niveau 3\Grille d'audit v1.11\[grille-audit-hvev4-v1.11-vf.xlsx]Fertilisation</v>
      </c>
      <c r="E1779">
        <f t="shared" ca="1" si="109"/>
        <v>200</v>
      </c>
      <c r="F1779">
        <f t="shared" ca="1" si="110"/>
        <v>213</v>
      </c>
      <c r="G1779" t="str">
        <f t="shared" ca="1" si="111"/>
        <v>Fertilisation</v>
      </c>
      <c r="H1779" cm="1">
        <f t="array" aca="1" ref="H1779" ca="1">ROW(INDIRECT(A1779))</f>
        <v>168</v>
      </c>
      <c r="I1779" cm="1">
        <f t="array" aca="1" ref="I1779" ca="1">COLUMN(INDIRECT(A1779))</f>
        <v>16</v>
      </c>
    </row>
    <row r="1780" spans="1:9" x14ac:dyDescent="0.25">
      <c r="A1780" s="503" t="s">
        <v>4720</v>
      </c>
      <c r="B1780" cm="1">
        <f t="array" aca="1" ref="B1780" ca="1">INDIRECT(A1780)</f>
        <v>0</v>
      </c>
      <c r="C1780">
        <f t="shared" ca="1" si="108"/>
        <v>8</v>
      </c>
      <c r="D1780" t="str" cm="1">
        <f t="array" aca="1" ref="D1780" ca="1">CELL("nomfichier",INDIRECT(A1780))</f>
        <v>G:\SCPE\sdc\bq\6 - Mentions valorisantes\Certification environnementale\TEXTES_REGLEMENTATION_CE\Plans_contrôle et grilles\Grille audit niveau 3\Grille d'audit v1.11\[grille-audit-hvev4-v1.11-vf.xlsx]Fertilisation</v>
      </c>
      <c r="E1780">
        <f t="shared" ca="1" si="109"/>
        <v>200</v>
      </c>
      <c r="F1780">
        <f t="shared" ca="1" si="110"/>
        <v>213</v>
      </c>
      <c r="G1780" t="str">
        <f t="shared" ca="1" si="111"/>
        <v>Fertilisation</v>
      </c>
      <c r="H1780" cm="1">
        <f t="array" aca="1" ref="H1780" ca="1">ROW(INDIRECT(A1780))</f>
        <v>169</v>
      </c>
      <c r="I1780" cm="1">
        <f t="array" aca="1" ref="I1780" ca="1">COLUMN(INDIRECT(A1780))</f>
        <v>14</v>
      </c>
    </row>
    <row r="1781" spans="1:9" x14ac:dyDescent="0.25">
      <c r="A1781" s="503" t="s">
        <v>4721</v>
      </c>
      <c r="B1781" cm="1">
        <f t="array" aca="1" ref="B1781" ca="1">INDIRECT(A1781)</f>
        <v>0</v>
      </c>
      <c r="C1781">
        <f t="shared" ca="1" si="108"/>
        <v>8</v>
      </c>
      <c r="D1781" t="str" cm="1">
        <f t="array" aca="1" ref="D1781" ca="1">CELL("nomfichier",INDIRECT(A1781))</f>
        <v>G:\SCPE\sdc\bq\6 - Mentions valorisantes\Certification environnementale\TEXTES_REGLEMENTATION_CE\Plans_contrôle et grilles\Grille audit niveau 3\Grille d'audit v1.11\[grille-audit-hvev4-v1.11-vf.xlsx]Fertilisation</v>
      </c>
      <c r="E1781">
        <f t="shared" ca="1" si="109"/>
        <v>200</v>
      </c>
      <c r="F1781">
        <f t="shared" ca="1" si="110"/>
        <v>213</v>
      </c>
      <c r="G1781" t="str">
        <f t="shared" ca="1" si="111"/>
        <v>Fertilisation</v>
      </c>
      <c r="H1781" cm="1">
        <f t="array" aca="1" ref="H1781" ca="1">ROW(INDIRECT(A1781))</f>
        <v>169</v>
      </c>
      <c r="I1781" cm="1">
        <f t="array" aca="1" ref="I1781" ca="1">COLUMN(INDIRECT(A1781))</f>
        <v>16</v>
      </c>
    </row>
    <row r="1782" spans="1:9" x14ac:dyDescent="0.25">
      <c r="A1782" s="503" t="s">
        <v>4722</v>
      </c>
      <c r="B1782" cm="1">
        <f t="array" aca="1" ref="B1782" ca="1">INDIRECT(A1782)</f>
        <v>0</v>
      </c>
      <c r="C1782">
        <f t="shared" ca="1" si="108"/>
        <v>8</v>
      </c>
      <c r="D1782" t="str" cm="1">
        <f t="array" aca="1" ref="D1782" ca="1">CELL("nomfichier",INDIRECT(A1782))</f>
        <v>G:\SCPE\sdc\bq\6 - Mentions valorisantes\Certification environnementale\TEXTES_REGLEMENTATION_CE\Plans_contrôle et grilles\Grille audit niveau 3\Grille d'audit v1.11\[grille-audit-hvev4-v1.11-vf.xlsx]Fertilisation</v>
      </c>
      <c r="E1782">
        <f t="shared" ca="1" si="109"/>
        <v>200</v>
      </c>
      <c r="F1782">
        <f t="shared" ca="1" si="110"/>
        <v>213</v>
      </c>
      <c r="G1782" t="str">
        <f t="shared" ca="1" si="111"/>
        <v>Fertilisation</v>
      </c>
      <c r="H1782" cm="1">
        <f t="array" aca="1" ref="H1782" ca="1">ROW(INDIRECT(A1782))</f>
        <v>170</v>
      </c>
      <c r="I1782" cm="1">
        <f t="array" aca="1" ref="I1782" ca="1">COLUMN(INDIRECT(A1782))</f>
        <v>14</v>
      </c>
    </row>
    <row r="1783" spans="1:9" x14ac:dyDescent="0.25">
      <c r="A1783" s="503" t="s">
        <v>4723</v>
      </c>
      <c r="B1783" cm="1">
        <f t="array" aca="1" ref="B1783" ca="1">INDIRECT(A1783)</f>
        <v>0</v>
      </c>
      <c r="C1783">
        <f t="shared" ca="1" si="108"/>
        <v>8</v>
      </c>
      <c r="D1783" t="str" cm="1">
        <f t="array" aca="1" ref="D1783" ca="1">CELL("nomfichier",INDIRECT(A1783))</f>
        <v>G:\SCPE\sdc\bq\6 - Mentions valorisantes\Certification environnementale\TEXTES_REGLEMENTATION_CE\Plans_contrôle et grilles\Grille audit niveau 3\Grille d'audit v1.11\[grille-audit-hvev4-v1.11-vf.xlsx]Fertilisation</v>
      </c>
      <c r="E1783">
        <f t="shared" ca="1" si="109"/>
        <v>200</v>
      </c>
      <c r="F1783">
        <f t="shared" ca="1" si="110"/>
        <v>213</v>
      </c>
      <c r="G1783" t="str">
        <f t="shared" ca="1" si="111"/>
        <v>Fertilisation</v>
      </c>
      <c r="H1783" cm="1">
        <f t="array" aca="1" ref="H1783" ca="1">ROW(INDIRECT(A1783))</f>
        <v>170</v>
      </c>
      <c r="I1783" cm="1">
        <f t="array" aca="1" ref="I1783" ca="1">COLUMN(INDIRECT(A1783))</f>
        <v>16</v>
      </c>
    </row>
    <row r="1784" spans="1:9" x14ac:dyDescent="0.25">
      <c r="A1784" s="503" t="s">
        <v>4724</v>
      </c>
      <c r="B1784" cm="1">
        <f t="array" aca="1" ref="B1784" ca="1">INDIRECT(A1784)</f>
        <v>0</v>
      </c>
      <c r="C1784">
        <f t="shared" ca="1" si="108"/>
        <v>8</v>
      </c>
      <c r="D1784" t="str" cm="1">
        <f t="array" aca="1" ref="D1784" ca="1">CELL("nomfichier",INDIRECT(A1784))</f>
        <v>G:\SCPE\sdc\bq\6 - Mentions valorisantes\Certification environnementale\TEXTES_REGLEMENTATION_CE\Plans_contrôle et grilles\Grille audit niveau 3\Grille d'audit v1.11\[grille-audit-hvev4-v1.11-vf.xlsx]Fertilisation</v>
      </c>
      <c r="E1784">
        <f t="shared" ca="1" si="109"/>
        <v>200</v>
      </c>
      <c r="F1784">
        <f t="shared" ca="1" si="110"/>
        <v>213</v>
      </c>
      <c r="G1784" t="str">
        <f t="shared" ca="1" si="111"/>
        <v>Fertilisation</v>
      </c>
      <c r="H1784" cm="1">
        <f t="array" aca="1" ref="H1784" ca="1">ROW(INDIRECT(A1784))</f>
        <v>171</v>
      </c>
      <c r="I1784" cm="1">
        <f t="array" aca="1" ref="I1784" ca="1">COLUMN(INDIRECT(A1784))</f>
        <v>14</v>
      </c>
    </row>
    <row r="1785" spans="1:9" x14ac:dyDescent="0.25">
      <c r="A1785" s="503" t="s">
        <v>4725</v>
      </c>
      <c r="B1785" cm="1">
        <f t="array" aca="1" ref="B1785" ca="1">INDIRECT(A1785)</f>
        <v>0</v>
      </c>
      <c r="C1785">
        <f t="shared" ca="1" si="108"/>
        <v>8</v>
      </c>
      <c r="D1785" t="str" cm="1">
        <f t="array" aca="1" ref="D1785" ca="1">CELL("nomfichier",INDIRECT(A1785))</f>
        <v>G:\SCPE\sdc\bq\6 - Mentions valorisantes\Certification environnementale\TEXTES_REGLEMENTATION_CE\Plans_contrôle et grilles\Grille audit niveau 3\Grille d'audit v1.11\[grille-audit-hvev4-v1.11-vf.xlsx]Fertilisation</v>
      </c>
      <c r="E1785">
        <f t="shared" ca="1" si="109"/>
        <v>200</v>
      </c>
      <c r="F1785">
        <f t="shared" ca="1" si="110"/>
        <v>213</v>
      </c>
      <c r="G1785" t="str">
        <f t="shared" ca="1" si="111"/>
        <v>Fertilisation</v>
      </c>
      <c r="H1785" cm="1">
        <f t="array" aca="1" ref="H1785" ca="1">ROW(INDIRECT(A1785))</f>
        <v>171</v>
      </c>
      <c r="I1785" cm="1">
        <f t="array" aca="1" ref="I1785" ca="1">COLUMN(INDIRECT(A1785))</f>
        <v>16</v>
      </c>
    </row>
    <row r="1786" spans="1:9" x14ac:dyDescent="0.25">
      <c r="A1786" s="503" t="s">
        <v>4726</v>
      </c>
      <c r="B1786" cm="1">
        <f t="array" aca="1" ref="B1786" ca="1">INDIRECT(A1786)</f>
        <v>0</v>
      </c>
      <c r="C1786">
        <f t="shared" ca="1" si="108"/>
        <v>8</v>
      </c>
      <c r="D1786" t="str" cm="1">
        <f t="array" aca="1" ref="D1786" ca="1">CELL("nomfichier",INDIRECT(A1786))</f>
        <v>G:\SCPE\sdc\bq\6 - Mentions valorisantes\Certification environnementale\TEXTES_REGLEMENTATION_CE\Plans_contrôle et grilles\Grille audit niveau 3\Grille d'audit v1.11\[grille-audit-hvev4-v1.11-vf.xlsx]Fertilisation</v>
      </c>
      <c r="E1786">
        <f t="shared" ca="1" si="109"/>
        <v>200</v>
      </c>
      <c r="F1786">
        <f t="shared" ca="1" si="110"/>
        <v>213</v>
      </c>
      <c r="G1786" t="str">
        <f t="shared" ca="1" si="111"/>
        <v>Fertilisation</v>
      </c>
      <c r="H1786" cm="1">
        <f t="array" aca="1" ref="H1786" ca="1">ROW(INDIRECT(A1786))</f>
        <v>176</v>
      </c>
      <c r="I1786" cm="1">
        <f t="array" aca="1" ref="I1786" ca="1">COLUMN(INDIRECT(A1786))</f>
        <v>14</v>
      </c>
    </row>
    <row r="1787" spans="1:9" x14ac:dyDescent="0.25">
      <c r="A1787" s="503" t="s">
        <v>4727</v>
      </c>
      <c r="B1787" cm="1">
        <f t="array" aca="1" ref="B1787" ca="1">INDIRECT(A1787)</f>
        <v>0</v>
      </c>
      <c r="C1787">
        <f t="shared" ca="1" si="108"/>
        <v>8</v>
      </c>
      <c r="D1787" t="str" cm="1">
        <f t="array" aca="1" ref="D1787" ca="1">CELL("nomfichier",INDIRECT(A1787))</f>
        <v>G:\SCPE\sdc\bq\6 - Mentions valorisantes\Certification environnementale\TEXTES_REGLEMENTATION_CE\Plans_contrôle et grilles\Grille audit niveau 3\Grille d'audit v1.11\[grille-audit-hvev4-v1.11-vf.xlsx]Fertilisation</v>
      </c>
      <c r="E1787">
        <f t="shared" ca="1" si="109"/>
        <v>200</v>
      </c>
      <c r="F1787">
        <f t="shared" ca="1" si="110"/>
        <v>213</v>
      </c>
      <c r="G1787" t="str">
        <f t="shared" ca="1" si="111"/>
        <v>Fertilisation</v>
      </c>
      <c r="H1787" cm="1">
        <f t="array" aca="1" ref="H1787" ca="1">ROW(INDIRECT(A1787))</f>
        <v>176</v>
      </c>
      <c r="I1787" cm="1">
        <f t="array" aca="1" ref="I1787" ca="1">COLUMN(INDIRECT(A1787))</f>
        <v>16</v>
      </c>
    </row>
    <row r="1788" spans="1:9" x14ac:dyDescent="0.25">
      <c r="A1788" s="503" t="s">
        <v>4728</v>
      </c>
      <c r="B1788" cm="1">
        <f t="array" aca="1" ref="B1788" ca="1">INDIRECT(A1788)</f>
        <v>0</v>
      </c>
      <c r="C1788">
        <f t="shared" ca="1" si="108"/>
        <v>8</v>
      </c>
      <c r="D1788" t="str" cm="1">
        <f t="array" aca="1" ref="D1788" ca="1">CELL("nomfichier",INDIRECT(A1788))</f>
        <v>G:\SCPE\sdc\bq\6 - Mentions valorisantes\Certification environnementale\TEXTES_REGLEMENTATION_CE\Plans_contrôle et grilles\Grille audit niveau 3\Grille d'audit v1.11\[grille-audit-hvev4-v1.11-vf.xlsx]Fertilisation</v>
      </c>
      <c r="E1788">
        <f t="shared" ca="1" si="109"/>
        <v>200</v>
      </c>
      <c r="F1788">
        <f t="shared" ca="1" si="110"/>
        <v>213</v>
      </c>
      <c r="G1788" t="str">
        <f t="shared" ca="1" si="111"/>
        <v>Fertilisation</v>
      </c>
      <c r="H1788" cm="1">
        <f t="array" aca="1" ref="H1788" ca="1">ROW(INDIRECT(A1788))</f>
        <v>177</v>
      </c>
      <c r="I1788" cm="1">
        <f t="array" aca="1" ref="I1788" ca="1">COLUMN(INDIRECT(A1788))</f>
        <v>14</v>
      </c>
    </row>
    <row r="1789" spans="1:9" x14ac:dyDescent="0.25">
      <c r="A1789" s="503" t="s">
        <v>4729</v>
      </c>
      <c r="B1789" cm="1">
        <f t="array" aca="1" ref="B1789" ca="1">INDIRECT(A1789)</f>
        <v>0</v>
      </c>
      <c r="C1789">
        <f t="shared" ca="1" si="108"/>
        <v>8</v>
      </c>
      <c r="D1789" t="str" cm="1">
        <f t="array" aca="1" ref="D1789" ca="1">CELL("nomfichier",INDIRECT(A1789))</f>
        <v>G:\SCPE\sdc\bq\6 - Mentions valorisantes\Certification environnementale\TEXTES_REGLEMENTATION_CE\Plans_contrôle et grilles\Grille audit niveau 3\Grille d'audit v1.11\[grille-audit-hvev4-v1.11-vf.xlsx]Fertilisation</v>
      </c>
      <c r="E1789">
        <f t="shared" ca="1" si="109"/>
        <v>200</v>
      </c>
      <c r="F1789">
        <f t="shared" ca="1" si="110"/>
        <v>213</v>
      </c>
      <c r="G1789" t="str">
        <f t="shared" ca="1" si="111"/>
        <v>Fertilisation</v>
      </c>
      <c r="H1789" cm="1">
        <f t="array" aca="1" ref="H1789" ca="1">ROW(INDIRECT(A1789))</f>
        <v>177</v>
      </c>
      <c r="I1789" cm="1">
        <f t="array" aca="1" ref="I1789" ca="1">COLUMN(INDIRECT(A1789))</f>
        <v>16</v>
      </c>
    </row>
    <row r="1790" spans="1:9" x14ac:dyDescent="0.25">
      <c r="A1790" s="503" t="s">
        <v>4730</v>
      </c>
      <c r="B1790" cm="1">
        <f t="array" aca="1" ref="B1790" ca="1">INDIRECT(A1790)</f>
        <v>0</v>
      </c>
      <c r="C1790">
        <f t="shared" ca="1" si="108"/>
        <v>8</v>
      </c>
      <c r="D1790" t="str" cm="1">
        <f t="array" aca="1" ref="D1790" ca="1">CELL("nomfichier",INDIRECT(A1790))</f>
        <v>G:\SCPE\sdc\bq\6 - Mentions valorisantes\Certification environnementale\TEXTES_REGLEMENTATION_CE\Plans_contrôle et grilles\Grille audit niveau 3\Grille d'audit v1.11\[grille-audit-hvev4-v1.11-vf.xlsx]Fertilisation</v>
      </c>
      <c r="E1790">
        <f t="shared" ca="1" si="109"/>
        <v>200</v>
      </c>
      <c r="F1790">
        <f t="shared" ca="1" si="110"/>
        <v>213</v>
      </c>
      <c r="G1790" t="str">
        <f t="shared" ca="1" si="111"/>
        <v>Fertilisation</v>
      </c>
      <c r="H1790" cm="1">
        <f t="array" aca="1" ref="H1790" ca="1">ROW(INDIRECT(A1790))</f>
        <v>181</v>
      </c>
      <c r="I1790" cm="1">
        <f t="array" aca="1" ref="I1790" ca="1">COLUMN(INDIRECT(A1790))</f>
        <v>16</v>
      </c>
    </row>
    <row r="1791" spans="1:9" x14ac:dyDescent="0.25">
      <c r="A1791" s="503" t="s">
        <v>4731</v>
      </c>
      <c r="B1791" cm="1">
        <f t="array" aca="1" ref="B1791" ca="1">INDIRECT(A1791)</f>
        <v>0</v>
      </c>
      <c r="C1791">
        <f t="shared" ca="1" si="108"/>
        <v>8</v>
      </c>
      <c r="D1791" t="str" cm="1">
        <f t="array" aca="1" ref="D1791" ca="1">CELL("nomfichier",INDIRECT(A1791))</f>
        <v>G:\SCPE\sdc\bq\6 - Mentions valorisantes\Certification environnementale\TEXTES_REGLEMENTATION_CE\Plans_contrôle et grilles\Grille audit niveau 3\Grille d'audit v1.11\[grille-audit-hvev4-v1.11-vf.xlsx]Fertilisation</v>
      </c>
      <c r="E1791">
        <f t="shared" ca="1" si="109"/>
        <v>200</v>
      </c>
      <c r="F1791">
        <f t="shared" ca="1" si="110"/>
        <v>213</v>
      </c>
      <c r="G1791" t="str">
        <f t="shared" ca="1" si="111"/>
        <v>Fertilisation</v>
      </c>
      <c r="H1791" cm="1">
        <f t="array" aca="1" ref="H1791" ca="1">ROW(INDIRECT(A1791))</f>
        <v>184</v>
      </c>
      <c r="I1791" cm="1">
        <f t="array" aca="1" ref="I1791" ca="1">COLUMN(INDIRECT(A1791))</f>
        <v>14</v>
      </c>
    </row>
    <row r="1792" spans="1:9" x14ac:dyDescent="0.25">
      <c r="A1792" s="503" t="s">
        <v>4732</v>
      </c>
      <c r="B1792" cm="1">
        <f t="array" aca="1" ref="B1792" ca="1">INDIRECT(A1792)</f>
        <v>0</v>
      </c>
      <c r="C1792">
        <f t="shared" ca="1" si="108"/>
        <v>8</v>
      </c>
      <c r="D1792" t="str" cm="1">
        <f t="array" aca="1" ref="D1792" ca="1">CELL("nomfichier",INDIRECT(A1792))</f>
        <v>G:\SCPE\sdc\bq\6 - Mentions valorisantes\Certification environnementale\TEXTES_REGLEMENTATION_CE\Plans_contrôle et grilles\Grille audit niveau 3\Grille d'audit v1.11\[grille-audit-hvev4-v1.11-vf.xlsx]Fertilisation</v>
      </c>
      <c r="E1792">
        <f t="shared" ca="1" si="109"/>
        <v>200</v>
      </c>
      <c r="F1792">
        <f t="shared" ca="1" si="110"/>
        <v>213</v>
      </c>
      <c r="G1792" t="str">
        <f t="shared" ca="1" si="111"/>
        <v>Fertilisation</v>
      </c>
      <c r="H1792" cm="1">
        <f t="array" aca="1" ref="H1792" ca="1">ROW(INDIRECT(A1792))</f>
        <v>184</v>
      </c>
      <c r="I1792" cm="1">
        <f t="array" aca="1" ref="I1792" ca="1">COLUMN(INDIRECT(A1792))</f>
        <v>16</v>
      </c>
    </row>
    <row r="1793" spans="1:9" x14ac:dyDescent="0.25">
      <c r="A1793" s="503" t="s">
        <v>4733</v>
      </c>
      <c r="B1793" cm="1">
        <f t="array" aca="1" ref="B1793" ca="1">INDIRECT(A1793)</f>
        <v>0</v>
      </c>
      <c r="C1793">
        <f t="shared" ca="1" si="108"/>
        <v>8</v>
      </c>
      <c r="D1793" t="str" cm="1">
        <f t="array" aca="1" ref="D1793" ca="1">CELL("nomfichier",INDIRECT(A1793))</f>
        <v>G:\SCPE\sdc\bq\6 - Mentions valorisantes\Certification environnementale\TEXTES_REGLEMENTATION_CE\Plans_contrôle et grilles\Grille audit niveau 3\Grille d'audit v1.11\[grille-audit-hvev4-v1.11-vf.xlsx]Fertilisation</v>
      </c>
      <c r="E1793">
        <f t="shared" ca="1" si="109"/>
        <v>200</v>
      </c>
      <c r="F1793">
        <f t="shared" ca="1" si="110"/>
        <v>213</v>
      </c>
      <c r="G1793" t="str">
        <f t="shared" ca="1" si="111"/>
        <v>Fertilisation</v>
      </c>
      <c r="H1793" cm="1">
        <f t="array" aca="1" ref="H1793" ca="1">ROW(INDIRECT(A1793))</f>
        <v>185</v>
      </c>
      <c r="I1793" cm="1">
        <f t="array" aca="1" ref="I1793" ca="1">COLUMN(INDIRECT(A1793))</f>
        <v>14</v>
      </c>
    </row>
    <row r="1794" spans="1:9" x14ac:dyDescent="0.25">
      <c r="A1794" s="503" t="s">
        <v>4734</v>
      </c>
      <c r="B1794" cm="1">
        <f t="array" aca="1" ref="B1794" ca="1">INDIRECT(A1794)</f>
        <v>0</v>
      </c>
      <c r="C1794">
        <f t="shared" ref="C1794:C1857" ca="1" si="112">_xlfn.SHEET(INDIRECT(A1794))</f>
        <v>8</v>
      </c>
      <c r="D1794" t="str" cm="1">
        <f t="array" aca="1" ref="D1794" ca="1">CELL("nomfichier",INDIRECT(A1794))</f>
        <v>G:\SCPE\sdc\bq\6 - Mentions valorisantes\Certification environnementale\TEXTES_REGLEMENTATION_CE\Plans_contrôle et grilles\Grille audit niveau 3\Grille d'audit v1.11\[grille-audit-hvev4-v1.11-vf.xlsx]Fertilisation</v>
      </c>
      <c r="E1794">
        <f t="shared" ref="E1794:E1857" ca="1" si="113">FIND("]",D1794)</f>
        <v>200</v>
      </c>
      <c r="F1794">
        <f t="shared" ref="F1794:F1857" ca="1" si="114">LEN(D1794)</f>
        <v>213</v>
      </c>
      <c r="G1794" t="str">
        <f t="shared" ref="G1794:G1857" ca="1" si="115">RIGHT(D1794,F1794-E1794)</f>
        <v>Fertilisation</v>
      </c>
      <c r="H1794" cm="1">
        <f t="array" aca="1" ref="H1794" ca="1">ROW(INDIRECT(A1794))</f>
        <v>185</v>
      </c>
      <c r="I1794" cm="1">
        <f t="array" aca="1" ref="I1794" ca="1">COLUMN(INDIRECT(A1794))</f>
        <v>16</v>
      </c>
    </row>
    <row r="1795" spans="1:9" x14ac:dyDescent="0.25">
      <c r="A1795" s="503" t="s">
        <v>4735</v>
      </c>
      <c r="B1795" cm="1">
        <f t="array" aca="1" ref="B1795" ca="1">INDIRECT(A1795)</f>
        <v>0</v>
      </c>
      <c r="C1795">
        <f t="shared" ca="1" si="112"/>
        <v>8</v>
      </c>
      <c r="D1795" t="str" cm="1">
        <f t="array" aca="1" ref="D1795" ca="1">CELL("nomfichier",INDIRECT(A1795))</f>
        <v>G:\SCPE\sdc\bq\6 - Mentions valorisantes\Certification environnementale\TEXTES_REGLEMENTATION_CE\Plans_contrôle et grilles\Grille audit niveau 3\Grille d'audit v1.11\[grille-audit-hvev4-v1.11-vf.xlsx]Fertilisation</v>
      </c>
      <c r="E1795">
        <f t="shared" ca="1" si="113"/>
        <v>200</v>
      </c>
      <c r="F1795">
        <f t="shared" ca="1" si="114"/>
        <v>213</v>
      </c>
      <c r="G1795" t="str">
        <f t="shared" ca="1" si="115"/>
        <v>Fertilisation</v>
      </c>
      <c r="H1795" cm="1">
        <f t="array" aca="1" ref="H1795" ca="1">ROW(INDIRECT(A1795))</f>
        <v>187</v>
      </c>
      <c r="I1795" cm="1">
        <f t="array" aca="1" ref="I1795" ca="1">COLUMN(INDIRECT(A1795))</f>
        <v>16</v>
      </c>
    </row>
    <row r="1796" spans="1:9" x14ac:dyDescent="0.25">
      <c r="A1796" s="503" t="s">
        <v>4736</v>
      </c>
      <c r="B1796" cm="1">
        <f t="array" aca="1" ref="B1796" ca="1">INDIRECT(A1796)</f>
        <v>0</v>
      </c>
      <c r="C1796">
        <f t="shared" ca="1" si="112"/>
        <v>8</v>
      </c>
      <c r="D1796" t="str" cm="1">
        <f t="array" aca="1" ref="D1796" ca="1">CELL("nomfichier",INDIRECT(A1796))</f>
        <v>G:\SCPE\sdc\bq\6 - Mentions valorisantes\Certification environnementale\TEXTES_REGLEMENTATION_CE\Plans_contrôle et grilles\Grille audit niveau 3\Grille d'audit v1.11\[grille-audit-hvev4-v1.11-vf.xlsx]Fertilisation</v>
      </c>
      <c r="E1796">
        <f t="shared" ca="1" si="113"/>
        <v>200</v>
      </c>
      <c r="F1796">
        <f t="shared" ca="1" si="114"/>
        <v>213</v>
      </c>
      <c r="G1796" t="str">
        <f t="shared" ca="1" si="115"/>
        <v>Fertilisation</v>
      </c>
      <c r="H1796" cm="1">
        <f t="array" aca="1" ref="H1796" ca="1">ROW(INDIRECT(A1796))</f>
        <v>191</v>
      </c>
      <c r="I1796" cm="1">
        <f t="array" aca="1" ref="I1796" ca="1">COLUMN(INDIRECT(A1796))</f>
        <v>16</v>
      </c>
    </row>
    <row r="1797" spans="1:9" x14ac:dyDescent="0.25">
      <c r="A1797" s="503" t="s">
        <v>4737</v>
      </c>
      <c r="B1797" cm="1">
        <f t="array" aca="1" ref="B1797" ca="1">INDIRECT(A1797)</f>
        <v>3</v>
      </c>
      <c r="C1797">
        <f t="shared" ca="1" si="112"/>
        <v>8</v>
      </c>
      <c r="D1797" t="str" cm="1">
        <f t="array" aca="1" ref="D1797" ca="1">CELL("nomfichier",INDIRECT(A1797))</f>
        <v>G:\SCPE\sdc\bq\6 - Mentions valorisantes\Certification environnementale\TEXTES_REGLEMENTATION_CE\Plans_contrôle et grilles\Grille audit niveau 3\Grille d'audit v1.11\[grille-audit-hvev4-v1.11-vf.xlsx]Fertilisation</v>
      </c>
      <c r="E1797">
        <f t="shared" ca="1" si="113"/>
        <v>200</v>
      </c>
      <c r="F1797">
        <f t="shared" ca="1" si="114"/>
        <v>213</v>
      </c>
      <c r="G1797" t="str">
        <f t="shared" ca="1" si="115"/>
        <v>Fertilisation</v>
      </c>
      <c r="H1797" cm="1">
        <f t="array" aca="1" ref="H1797" ca="1">ROW(INDIRECT(A1797))</f>
        <v>191</v>
      </c>
      <c r="I1797" cm="1">
        <f t="array" aca="1" ref="I1797" ca="1">COLUMN(INDIRECT(A1797))</f>
        <v>23</v>
      </c>
    </row>
    <row r="1798" spans="1:9" x14ac:dyDescent="0.25">
      <c r="A1798" s="503" t="s">
        <v>4738</v>
      </c>
      <c r="B1798" cm="1">
        <f t="array" aca="1" ref="B1798" ca="1">INDIRECT(A1798)</f>
        <v>0</v>
      </c>
      <c r="C1798">
        <f t="shared" ca="1" si="112"/>
        <v>8</v>
      </c>
      <c r="D1798" t="str" cm="1">
        <f t="array" aca="1" ref="D1798" ca="1">CELL("nomfichier",INDIRECT(A1798))</f>
        <v>G:\SCPE\sdc\bq\6 - Mentions valorisantes\Certification environnementale\TEXTES_REGLEMENTATION_CE\Plans_contrôle et grilles\Grille audit niveau 3\Grille d'audit v1.11\[grille-audit-hvev4-v1.11-vf.xlsx]Fertilisation</v>
      </c>
      <c r="E1798">
        <f t="shared" ca="1" si="113"/>
        <v>200</v>
      </c>
      <c r="F1798">
        <f t="shared" ca="1" si="114"/>
        <v>213</v>
      </c>
      <c r="G1798" t="str">
        <f t="shared" ca="1" si="115"/>
        <v>Fertilisation</v>
      </c>
      <c r="H1798" cm="1">
        <f t="array" aca="1" ref="H1798" ca="1">ROW(INDIRECT(A1798))</f>
        <v>208</v>
      </c>
      <c r="I1798" cm="1">
        <f t="array" aca="1" ref="I1798" ca="1">COLUMN(INDIRECT(A1798))</f>
        <v>10</v>
      </c>
    </row>
    <row r="1799" spans="1:9" x14ac:dyDescent="0.25">
      <c r="A1799" s="503" t="s">
        <v>4739</v>
      </c>
      <c r="B1799" cm="1">
        <f t="array" aca="1" ref="B1799" ca="1">INDIRECT(A1799)</f>
        <v>0</v>
      </c>
      <c r="C1799">
        <f t="shared" ca="1" si="112"/>
        <v>8</v>
      </c>
      <c r="D1799" t="str" cm="1">
        <f t="array" aca="1" ref="D1799" ca="1">CELL("nomfichier",INDIRECT(A1799))</f>
        <v>G:\SCPE\sdc\bq\6 - Mentions valorisantes\Certification environnementale\TEXTES_REGLEMENTATION_CE\Plans_contrôle et grilles\Grille audit niveau 3\Grille d'audit v1.11\[grille-audit-hvev4-v1.11-vf.xlsx]Fertilisation</v>
      </c>
      <c r="E1799">
        <f t="shared" ca="1" si="113"/>
        <v>200</v>
      </c>
      <c r="F1799">
        <f t="shared" ca="1" si="114"/>
        <v>213</v>
      </c>
      <c r="G1799" t="str">
        <f t="shared" ca="1" si="115"/>
        <v>Fertilisation</v>
      </c>
      <c r="H1799" cm="1">
        <f t="array" aca="1" ref="H1799" ca="1">ROW(INDIRECT(A1799))</f>
        <v>214</v>
      </c>
      <c r="I1799" cm="1">
        <f t="array" aca="1" ref="I1799" ca="1">COLUMN(INDIRECT(A1799))</f>
        <v>10</v>
      </c>
    </row>
    <row r="1800" spans="1:9" x14ac:dyDescent="0.25">
      <c r="A1800" s="503" t="s">
        <v>4740</v>
      </c>
      <c r="B1800" cm="1">
        <f t="array" aca="1" ref="B1800" ca="1">INDIRECT(A1800)</f>
        <v>0</v>
      </c>
      <c r="C1800">
        <f t="shared" ca="1" si="112"/>
        <v>8</v>
      </c>
      <c r="D1800" t="str" cm="1">
        <f t="array" aca="1" ref="D1800" ca="1">CELL("nomfichier",INDIRECT(A1800))</f>
        <v>G:\SCPE\sdc\bq\6 - Mentions valorisantes\Certification environnementale\TEXTES_REGLEMENTATION_CE\Plans_contrôle et grilles\Grille audit niveau 3\Grille d'audit v1.11\[grille-audit-hvev4-v1.11-vf.xlsx]Fertilisation</v>
      </c>
      <c r="E1800">
        <f t="shared" ca="1" si="113"/>
        <v>200</v>
      </c>
      <c r="F1800">
        <f t="shared" ca="1" si="114"/>
        <v>213</v>
      </c>
      <c r="G1800" t="str">
        <f t="shared" ca="1" si="115"/>
        <v>Fertilisation</v>
      </c>
      <c r="H1800" cm="1">
        <f t="array" aca="1" ref="H1800" ca="1">ROW(INDIRECT(A1800))</f>
        <v>215</v>
      </c>
      <c r="I1800" cm="1">
        <f t="array" aca="1" ref="I1800" ca="1">COLUMN(INDIRECT(A1800))</f>
        <v>10</v>
      </c>
    </row>
    <row r="1801" spans="1:9" x14ac:dyDescent="0.25">
      <c r="A1801" s="503" t="s">
        <v>4741</v>
      </c>
      <c r="B1801" cm="1">
        <f t="array" aca="1" ref="B1801" ca="1">INDIRECT(A1801)</f>
        <v>0</v>
      </c>
      <c r="C1801">
        <f t="shared" ca="1" si="112"/>
        <v>8</v>
      </c>
      <c r="D1801" t="str" cm="1">
        <f t="array" aca="1" ref="D1801" ca="1">CELL("nomfichier",INDIRECT(A1801))</f>
        <v>G:\SCPE\sdc\bq\6 - Mentions valorisantes\Certification environnementale\TEXTES_REGLEMENTATION_CE\Plans_contrôle et grilles\Grille audit niveau 3\Grille d'audit v1.11\[grille-audit-hvev4-v1.11-vf.xlsx]Fertilisation</v>
      </c>
      <c r="E1801">
        <f t="shared" ca="1" si="113"/>
        <v>200</v>
      </c>
      <c r="F1801">
        <f t="shared" ca="1" si="114"/>
        <v>213</v>
      </c>
      <c r="G1801" t="str">
        <f t="shared" ca="1" si="115"/>
        <v>Fertilisation</v>
      </c>
      <c r="H1801" cm="1">
        <f t="array" aca="1" ref="H1801" ca="1">ROW(INDIRECT(A1801))</f>
        <v>215</v>
      </c>
      <c r="I1801" cm="1">
        <f t="array" aca="1" ref="I1801" ca="1">COLUMN(INDIRECT(A1801))</f>
        <v>12</v>
      </c>
    </row>
    <row r="1802" spans="1:9" x14ac:dyDescent="0.25">
      <c r="A1802" s="503" t="s">
        <v>4742</v>
      </c>
      <c r="B1802" cm="1">
        <f t="array" aca="1" ref="B1802" ca="1">INDIRECT(A1802)</f>
        <v>10</v>
      </c>
      <c r="C1802">
        <f t="shared" ca="1" si="112"/>
        <v>8</v>
      </c>
      <c r="D1802" t="str" cm="1">
        <f t="array" aca="1" ref="D1802" ca="1">CELL("nomfichier",INDIRECT(A1802))</f>
        <v>G:\SCPE\sdc\bq\6 - Mentions valorisantes\Certification environnementale\TEXTES_REGLEMENTATION_CE\Plans_contrôle et grilles\Grille audit niveau 3\Grille d'audit v1.11\[grille-audit-hvev4-v1.11-vf.xlsx]Fertilisation</v>
      </c>
      <c r="E1802">
        <f t="shared" ca="1" si="113"/>
        <v>200</v>
      </c>
      <c r="F1802">
        <f t="shared" ca="1" si="114"/>
        <v>213</v>
      </c>
      <c r="G1802" t="str">
        <f t="shared" ca="1" si="115"/>
        <v>Fertilisation</v>
      </c>
      <c r="H1802" cm="1">
        <f t="array" aca="1" ref="H1802" ca="1">ROW(INDIRECT(A1802))</f>
        <v>215</v>
      </c>
      <c r="I1802" cm="1">
        <f t="array" aca="1" ref="I1802" ca="1">COLUMN(INDIRECT(A1802))</f>
        <v>23</v>
      </c>
    </row>
    <row r="1803" spans="1:9" x14ac:dyDescent="0.25">
      <c r="A1803" s="503" t="s">
        <v>4743</v>
      </c>
      <c r="B1803" cm="1">
        <f t="array" aca="1" ref="B1803" ca="1">INDIRECT(A1803)</f>
        <v>0</v>
      </c>
      <c r="C1803">
        <f t="shared" ca="1" si="112"/>
        <v>8</v>
      </c>
      <c r="D1803" t="str" cm="1">
        <f t="array" aca="1" ref="D1803" ca="1">CELL("nomfichier",INDIRECT(A1803))</f>
        <v>G:\SCPE\sdc\bq\6 - Mentions valorisantes\Certification environnementale\TEXTES_REGLEMENTATION_CE\Plans_contrôle et grilles\Grille audit niveau 3\Grille d'audit v1.11\[grille-audit-hvev4-v1.11-vf.xlsx]Fertilisation</v>
      </c>
      <c r="E1803">
        <f t="shared" ca="1" si="113"/>
        <v>200</v>
      </c>
      <c r="F1803">
        <f t="shared" ca="1" si="114"/>
        <v>213</v>
      </c>
      <c r="G1803" t="str">
        <f t="shared" ca="1" si="115"/>
        <v>Fertilisation</v>
      </c>
      <c r="H1803" cm="1">
        <f t="array" aca="1" ref="H1803" ca="1">ROW(INDIRECT(A1803))</f>
        <v>233</v>
      </c>
      <c r="I1803" cm="1">
        <f t="array" aca="1" ref="I1803" ca="1">COLUMN(INDIRECT(A1803))</f>
        <v>14</v>
      </c>
    </row>
    <row r="1804" spans="1:9" x14ac:dyDescent="0.25">
      <c r="A1804" s="503" t="s">
        <v>4744</v>
      </c>
      <c r="B1804" cm="1">
        <f t="array" aca="1" ref="B1804" ca="1">INDIRECT(A1804)</f>
        <v>0</v>
      </c>
      <c r="C1804">
        <f t="shared" ca="1" si="112"/>
        <v>8</v>
      </c>
      <c r="D1804" t="str" cm="1">
        <f t="array" aca="1" ref="D1804" ca="1">CELL("nomfichier",INDIRECT(A1804))</f>
        <v>G:\SCPE\sdc\bq\6 - Mentions valorisantes\Certification environnementale\TEXTES_REGLEMENTATION_CE\Plans_contrôle et grilles\Grille audit niveau 3\Grille d'audit v1.11\[grille-audit-hvev4-v1.11-vf.xlsx]Fertilisation</v>
      </c>
      <c r="E1804">
        <f t="shared" ca="1" si="113"/>
        <v>200</v>
      </c>
      <c r="F1804">
        <f t="shared" ca="1" si="114"/>
        <v>213</v>
      </c>
      <c r="G1804" t="str">
        <f t="shared" ca="1" si="115"/>
        <v>Fertilisation</v>
      </c>
      <c r="H1804" cm="1">
        <f t="array" aca="1" ref="H1804" ca="1">ROW(INDIRECT(A1804))</f>
        <v>236</v>
      </c>
      <c r="I1804" cm="1">
        <f t="array" aca="1" ref="I1804" ca="1">COLUMN(INDIRECT(A1804))</f>
        <v>14</v>
      </c>
    </row>
    <row r="1805" spans="1:9" x14ac:dyDescent="0.25">
      <c r="A1805" s="503" t="s">
        <v>4745</v>
      </c>
      <c r="B1805" cm="1">
        <f t="array" aca="1" ref="B1805" ca="1">INDIRECT(A1805)</f>
        <v>0</v>
      </c>
      <c r="C1805">
        <f t="shared" ca="1" si="112"/>
        <v>8</v>
      </c>
      <c r="D1805" t="str" cm="1">
        <f t="array" aca="1" ref="D1805" ca="1">CELL("nomfichier",INDIRECT(A1805))</f>
        <v>G:\SCPE\sdc\bq\6 - Mentions valorisantes\Certification environnementale\TEXTES_REGLEMENTATION_CE\Plans_contrôle et grilles\Grille audit niveau 3\Grille d'audit v1.11\[grille-audit-hvev4-v1.11-vf.xlsx]Fertilisation</v>
      </c>
      <c r="E1805">
        <f t="shared" ca="1" si="113"/>
        <v>200</v>
      </c>
      <c r="F1805">
        <f t="shared" ca="1" si="114"/>
        <v>213</v>
      </c>
      <c r="G1805" t="str">
        <f t="shared" ca="1" si="115"/>
        <v>Fertilisation</v>
      </c>
      <c r="H1805" cm="1">
        <f t="array" aca="1" ref="H1805" ca="1">ROW(INDIRECT(A1805))</f>
        <v>238</v>
      </c>
      <c r="I1805" cm="1">
        <f t="array" aca="1" ref="I1805" ca="1">COLUMN(INDIRECT(A1805))</f>
        <v>14</v>
      </c>
    </row>
    <row r="1806" spans="1:9" x14ac:dyDescent="0.25">
      <c r="A1806" s="503" t="s">
        <v>4746</v>
      </c>
      <c r="B1806" cm="1">
        <f t="array" aca="1" ref="B1806" ca="1">INDIRECT(A1806)</f>
        <v>0</v>
      </c>
      <c r="C1806">
        <f t="shared" ca="1" si="112"/>
        <v>8</v>
      </c>
      <c r="D1806" t="str" cm="1">
        <f t="array" aca="1" ref="D1806" ca="1">CELL("nomfichier",INDIRECT(A1806))</f>
        <v>G:\SCPE\sdc\bq\6 - Mentions valorisantes\Certification environnementale\TEXTES_REGLEMENTATION_CE\Plans_contrôle et grilles\Grille audit niveau 3\Grille d'audit v1.11\[grille-audit-hvev4-v1.11-vf.xlsx]Fertilisation</v>
      </c>
      <c r="E1806">
        <f t="shared" ca="1" si="113"/>
        <v>200</v>
      </c>
      <c r="F1806">
        <f t="shared" ca="1" si="114"/>
        <v>213</v>
      </c>
      <c r="G1806" t="str">
        <f t="shared" ca="1" si="115"/>
        <v>Fertilisation</v>
      </c>
      <c r="H1806" cm="1">
        <f t="array" aca="1" ref="H1806" ca="1">ROW(INDIRECT(A1806))</f>
        <v>242</v>
      </c>
      <c r="I1806" cm="1">
        <f t="array" aca="1" ref="I1806" ca="1">COLUMN(INDIRECT(A1806))</f>
        <v>14</v>
      </c>
    </row>
    <row r="1807" spans="1:9" x14ac:dyDescent="0.25">
      <c r="A1807" s="503" t="s">
        <v>4747</v>
      </c>
      <c r="B1807" cm="1">
        <f t="array" aca="1" ref="B1807" ca="1">INDIRECT(A1807)</f>
        <v>0</v>
      </c>
      <c r="C1807">
        <f t="shared" ca="1" si="112"/>
        <v>8</v>
      </c>
      <c r="D1807" t="str" cm="1">
        <f t="array" aca="1" ref="D1807" ca="1">CELL("nomfichier",INDIRECT(A1807))</f>
        <v>G:\SCPE\sdc\bq\6 - Mentions valorisantes\Certification environnementale\TEXTES_REGLEMENTATION_CE\Plans_contrôle et grilles\Grille audit niveau 3\Grille d'audit v1.11\[grille-audit-hvev4-v1.11-vf.xlsx]Fertilisation</v>
      </c>
      <c r="E1807">
        <f t="shared" ca="1" si="113"/>
        <v>200</v>
      </c>
      <c r="F1807">
        <f t="shared" ca="1" si="114"/>
        <v>213</v>
      </c>
      <c r="G1807" t="str">
        <f t="shared" ca="1" si="115"/>
        <v>Fertilisation</v>
      </c>
      <c r="H1807" cm="1">
        <f t="array" aca="1" ref="H1807" ca="1">ROW(INDIRECT(A1807))</f>
        <v>243</v>
      </c>
      <c r="I1807" cm="1">
        <f t="array" aca="1" ref="I1807" ca="1">COLUMN(INDIRECT(A1807))</f>
        <v>14</v>
      </c>
    </row>
    <row r="1808" spans="1:9" x14ac:dyDescent="0.25">
      <c r="A1808" s="503" t="s">
        <v>4748</v>
      </c>
      <c r="B1808" cm="1">
        <f t="array" aca="1" ref="B1808" ca="1">INDIRECT(A1808)</f>
        <v>0</v>
      </c>
      <c r="C1808">
        <f t="shared" ca="1" si="112"/>
        <v>8</v>
      </c>
      <c r="D1808" t="str" cm="1">
        <f t="array" aca="1" ref="D1808" ca="1">CELL("nomfichier",INDIRECT(A1808))</f>
        <v>G:\SCPE\sdc\bq\6 - Mentions valorisantes\Certification environnementale\TEXTES_REGLEMENTATION_CE\Plans_contrôle et grilles\Grille audit niveau 3\Grille d'audit v1.11\[grille-audit-hvev4-v1.11-vf.xlsx]Fertilisation</v>
      </c>
      <c r="E1808">
        <f t="shared" ca="1" si="113"/>
        <v>200</v>
      </c>
      <c r="F1808">
        <f t="shared" ca="1" si="114"/>
        <v>213</v>
      </c>
      <c r="G1808" t="str">
        <f t="shared" ca="1" si="115"/>
        <v>Fertilisation</v>
      </c>
      <c r="H1808" cm="1">
        <f t="array" aca="1" ref="H1808" ca="1">ROW(INDIRECT(A1808))</f>
        <v>243</v>
      </c>
      <c r="I1808" cm="1">
        <f t="array" aca="1" ref="I1808" ca="1">COLUMN(INDIRECT(A1808))</f>
        <v>16</v>
      </c>
    </row>
    <row r="1809" spans="1:9" x14ac:dyDescent="0.25">
      <c r="A1809" s="503" t="s">
        <v>4749</v>
      </c>
      <c r="B1809" cm="1">
        <f t="array" aca="1" ref="B1809" ca="1">INDIRECT(A1809)</f>
        <v>4</v>
      </c>
      <c r="C1809">
        <f t="shared" ca="1" si="112"/>
        <v>8</v>
      </c>
      <c r="D1809" t="str" cm="1">
        <f t="array" aca="1" ref="D1809" ca="1">CELL("nomfichier",INDIRECT(A1809))</f>
        <v>G:\SCPE\sdc\bq\6 - Mentions valorisantes\Certification environnementale\TEXTES_REGLEMENTATION_CE\Plans_contrôle et grilles\Grille audit niveau 3\Grille d'audit v1.11\[grille-audit-hvev4-v1.11-vf.xlsx]Fertilisation</v>
      </c>
      <c r="E1809">
        <f t="shared" ca="1" si="113"/>
        <v>200</v>
      </c>
      <c r="F1809">
        <f t="shared" ca="1" si="114"/>
        <v>213</v>
      </c>
      <c r="G1809" t="str">
        <f t="shared" ca="1" si="115"/>
        <v>Fertilisation</v>
      </c>
      <c r="H1809" cm="1">
        <f t="array" aca="1" ref="H1809" ca="1">ROW(INDIRECT(A1809))</f>
        <v>243</v>
      </c>
      <c r="I1809" cm="1">
        <f t="array" aca="1" ref="I1809" ca="1">COLUMN(INDIRECT(A1809))</f>
        <v>23</v>
      </c>
    </row>
    <row r="1810" spans="1:9" x14ac:dyDescent="0.25">
      <c r="A1810" s="503" t="s">
        <v>4750</v>
      </c>
      <c r="B1810" cm="1">
        <f t="array" aca="1" ref="B1810" ca="1">INDIRECT(A1810)</f>
        <v>0</v>
      </c>
      <c r="C1810">
        <f t="shared" ca="1" si="112"/>
        <v>8</v>
      </c>
      <c r="D1810" t="str" cm="1">
        <f t="array" aca="1" ref="D1810" ca="1">CELL("nomfichier",INDIRECT(A1810))</f>
        <v>G:\SCPE\sdc\bq\6 - Mentions valorisantes\Certification environnementale\TEXTES_REGLEMENTATION_CE\Plans_contrôle et grilles\Grille audit niveau 3\Grille d'audit v1.11\[grille-audit-hvev4-v1.11-vf.xlsx]Fertilisation</v>
      </c>
      <c r="E1810">
        <f t="shared" ca="1" si="113"/>
        <v>200</v>
      </c>
      <c r="F1810">
        <f t="shared" ca="1" si="114"/>
        <v>213</v>
      </c>
      <c r="G1810" t="str">
        <f t="shared" ca="1" si="115"/>
        <v>Fertilisation</v>
      </c>
      <c r="H1810" cm="1">
        <f t="array" aca="1" ref="H1810" ca="1">ROW(INDIRECT(A1810))</f>
        <v>262</v>
      </c>
      <c r="I1810" cm="1">
        <f t="array" aca="1" ref="I1810" ca="1">COLUMN(INDIRECT(A1810))</f>
        <v>15</v>
      </c>
    </row>
    <row r="1811" spans="1:9" x14ac:dyDescent="0.25">
      <c r="A1811" s="503" t="s">
        <v>4751</v>
      </c>
      <c r="B1811" cm="1">
        <f t="array" aca="1" ref="B1811" ca="1">INDIRECT(A1811)</f>
        <v>0</v>
      </c>
      <c r="C1811">
        <f t="shared" ca="1" si="112"/>
        <v>8</v>
      </c>
      <c r="D1811" t="str" cm="1">
        <f t="array" aca="1" ref="D1811" ca="1">CELL("nomfichier",INDIRECT(A1811))</f>
        <v>G:\SCPE\sdc\bq\6 - Mentions valorisantes\Certification environnementale\TEXTES_REGLEMENTATION_CE\Plans_contrôle et grilles\Grille audit niveau 3\Grille d'audit v1.11\[grille-audit-hvev4-v1.11-vf.xlsx]Fertilisation</v>
      </c>
      <c r="E1811">
        <f t="shared" ca="1" si="113"/>
        <v>200</v>
      </c>
      <c r="F1811">
        <f t="shared" ca="1" si="114"/>
        <v>213</v>
      </c>
      <c r="G1811" t="str">
        <f t="shared" ca="1" si="115"/>
        <v>Fertilisation</v>
      </c>
      <c r="H1811" cm="1">
        <f t="array" aca="1" ref="H1811" ca="1">ROW(INDIRECT(A1811))</f>
        <v>266</v>
      </c>
      <c r="I1811" cm="1">
        <f t="array" aca="1" ref="I1811" ca="1">COLUMN(INDIRECT(A1811))</f>
        <v>15</v>
      </c>
    </row>
    <row r="1812" spans="1:9" ht="30" x14ac:dyDescent="0.25">
      <c r="A1812" s="503" t="s">
        <v>4752</v>
      </c>
      <c r="B1812" cm="1">
        <f t="array" aca="1" ref="B1812" ca="1">INDIRECT(A1812)</f>
        <v>0</v>
      </c>
      <c r="C1812">
        <f t="shared" ca="1" si="112"/>
        <v>8</v>
      </c>
      <c r="D1812" t="str" cm="1">
        <f t="array" aca="1" ref="D1812" ca="1">CELL("nomfichier",INDIRECT(A1812))</f>
        <v>G:\SCPE\sdc\bq\6 - Mentions valorisantes\Certification environnementale\TEXTES_REGLEMENTATION_CE\Plans_contrôle et grilles\Grille audit niveau 3\Grille d'audit v1.11\[grille-audit-hvev4-v1.11-vf.xlsx]Fertilisation</v>
      </c>
      <c r="E1812">
        <f t="shared" ca="1" si="113"/>
        <v>200</v>
      </c>
      <c r="F1812">
        <f t="shared" ca="1" si="114"/>
        <v>213</v>
      </c>
      <c r="G1812" t="str">
        <f t="shared" ca="1" si="115"/>
        <v>Fertilisation</v>
      </c>
      <c r="H1812" cm="1">
        <f t="array" aca="1" ref="H1812" ca="1">ROW(INDIRECT(A1812))</f>
        <v>269</v>
      </c>
      <c r="I1812" cm="1">
        <f t="array" aca="1" ref="I1812" ca="1">COLUMN(INDIRECT(A1812))</f>
        <v>15</v>
      </c>
    </row>
    <row r="1813" spans="1:9" x14ac:dyDescent="0.25">
      <c r="A1813" s="503" t="s">
        <v>4753</v>
      </c>
      <c r="B1813" cm="1">
        <f t="array" aca="1" ref="B1813" ca="1">INDIRECT(A1813)</f>
        <v>0</v>
      </c>
      <c r="C1813">
        <f t="shared" ca="1" si="112"/>
        <v>8</v>
      </c>
      <c r="D1813" t="str" cm="1">
        <f t="array" aca="1" ref="D1813" ca="1">CELL("nomfichier",INDIRECT(A1813))</f>
        <v>G:\SCPE\sdc\bq\6 - Mentions valorisantes\Certification environnementale\TEXTES_REGLEMENTATION_CE\Plans_contrôle et grilles\Grille audit niveau 3\Grille d'audit v1.11\[grille-audit-hvev4-v1.11-vf.xlsx]Fertilisation</v>
      </c>
      <c r="E1813">
        <f t="shared" ca="1" si="113"/>
        <v>200</v>
      </c>
      <c r="F1813">
        <f t="shared" ca="1" si="114"/>
        <v>213</v>
      </c>
      <c r="G1813" t="str">
        <f t="shared" ca="1" si="115"/>
        <v>Fertilisation</v>
      </c>
      <c r="H1813" cm="1">
        <f t="array" aca="1" ref="H1813" ca="1">ROW(INDIRECT(A1813))</f>
        <v>272</v>
      </c>
      <c r="I1813" cm="1">
        <f t="array" aca="1" ref="I1813" ca="1">COLUMN(INDIRECT(A1813))</f>
        <v>15</v>
      </c>
    </row>
    <row r="1814" spans="1:9" x14ac:dyDescent="0.25">
      <c r="A1814" s="503" t="s">
        <v>4754</v>
      </c>
      <c r="B1814" cm="1">
        <f t="array" aca="1" ref="B1814" ca="1">INDIRECT(A1814)</f>
        <v>0</v>
      </c>
      <c r="C1814">
        <f t="shared" ca="1" si="112"/>
        <v>8</v>
      </c>
      <c r="D1814" t="str" cm="1">
        <f t="array" aca="1" ref="D1814" ca="1">CELL("nomfichier",INDIRECT(A1814))</f>
        <v>G:\SCPE\sdc\bq\6 - Mentions valorisantes\Certification environnementale\TEXTES_REGLEMENTATION_CE\Plans_contrôle et grilles\Grille audit niveau 3\Grille d'audit v1.11\[grille-audit-hvev4-v1.11-vf.xlsx]Fertilisation</v>
      </c>
      <c r="E1814">
        <f t="shared" ca="1" si="113"/>
        <v>200</v>
      </c>
      <c r="F1814">
        <f t="shared" ca="1" si="114"/>
        <v>213</v>
      </c>
      <c r="G1814" t="str">
        <f t="shared" ca="1" si="115"/>
        <v>Fertilisation</v>
      </c>
      <c r="H1814" cm="1">
        <f t="array" aca="1" ref="H1814" ca="1">ROW(INDIRECT(A1814))</f>
        <v>273</v>
      </c>
      <c r="I1814" cm="1">
        <f t="array" aca="1" ref="I1814" ca="1">COLUMN(INDIRECT(A1814))</f>
        <v>15</v>
      </c>
    </row>
    <row r="1815" spans="1:9" x14ac:dyDescent="0.25">
      <c r="A1815" s="503" t="s">
        <v>4755</v>
      </c>
      <c r="B1815" cm="1">
        <f t="array" aca="1" ref="B1815" ca="1">INDIRECT(A1815)</f>
        <v>0</v>
      </c>
      <c r="C1815">
        <f t="shared" ca="1" si="112"/>
        <v>8</v>
      </c>
      <c r="D1815" t="str" cm="1">
        <f t="array" aca="1" ref="D1815" ca="1">CELL("nomfichier",INDIRECT(A1815))</f>
        <v>G:\SCPE\sdc\bq\6 - Mentions valorisantes\Certification environnementale\TEXTES_REGLEMENTATION_CE\Plans_contrôle et grilles\Grille audit niveau 3\Grille d'audit v1.11\[grille-audit-hvev4-v1.11-vf.xlsx]Fertilisation</v>
      </c>
      <c r="E1815">
        <f t="shared" ca="1" si="113"/>
        <v>200</v>
      </c>
      <c r="F1815">
        <f t="shared" ca="1" si="114"/>
        <v>213</v>
      </c>
      <c r="G1815" t="str">
        <f t="shared" ca="1" si="115"/>
        <v>Fertilisation</v>
      </c>
      <c r="H1815" cm="1">
        <f t="array" aca="1" ref="H1815" ca="1">ROW(INDIRECT(A1815))</f>
        <v>274</v>
      </c>
      <c r="I1815" cm="1">
        <f t="array" aca="1" ref="I1815" ca="1">COLUMN(INDIRECT(A1815))</f>
        <v>15</v>
      </c>
    </row>
    <row r="1816" spans="1:9" x14ac:dyDescent="0.25">
      <c r="A1816" s="503" t="s">
        <v>4756</v>
      </c>
      <c r="B1816" cm="1">
        <f t="array" aca="1" ref="B1816" ca="1">INDIRECT(A1816)</f>
        <v>0</v>
      </c>
      <c r="C1816">
        <f t="shared" ca="1" si="112"/>
        <v>8</v>
      </c>
      <c r="D1816" t="str" cm="1">
        <f t="array" aca="1" ref="D1816" ca="1">CELL("nomfichier",INDIRECT(A1816))</f>
        <v>G:\SCPE\sdc\bq\6 - Mentions valorisantes\Certification environnementale\TEXTES_REGLEMENTATION_CE\Plans_contrôle et grilles\Grille audit niveau 3\Grille d'audit v1.11\[grille-audit-hvev4-v1.11-vf.xlsx]Fertilisation</v>
      </c>
      <c r="E1816">
        <f t="shared" ca="1" si="113"/>
        <v>200</v>
      </c>
      <c r="F1816">
        <f t="shared" ca="1" si="114"/>
        <v>213</v>
      </c>
      <c r="G1816" t="str">
        <f t="shared" ca="1" si="115"/>
        <v>Fertilisation</v>
      </c>
      <c r="H1816" cm="1">
        <f t="array" aca="1" ref="H1816" ca="1">ROW(INDIRECT(A1816))</f>
        <v>276</v>
      </c>
      <c r="I1816" cm="1">
        <f t="array" aca="1" ref="I1816" ca="1">COLUMN(INDIRECT(A1816))</f>
        <v>15</v>
      </c>
    </row>
    <row r="1817" spans="1:9" x14ac:dyDescent="0.25">
      <c r="A1817" s="503" t="s">
        <v>4757</v>
      </c>
      <c r="B1817" cm="1">
        <f t="array" aca="1" ref="B1817" ca="1">INDIRECT(A1817)</f>
        <v>0</v>
      </c>
      <c r="C1817">
        <f t="shared" ca="1" si="112"/>
        <v>8</v>
      </c>
      <c r="D1817" t="str" cm="1">
        <f t="array" aca="1" ref="D1817" ca="1">CELL("nomfichier",INDIRECT(A1817))</f>
        <v>G:\SCPE\sdc\bq\6 - Mentions valorisantes\Certification environnementale\TEXTES_REGLEMENTATION_CE\Plans_contrôle et grilles\Grille audit niveau 3\Grille d'audit v1.11\[grille-audit-hvev4-v1.11-vf.xlsx]Fertilisation</v>
      </c>
      <c r="E1817">
        <f t="shared" ca="1" si="113"/>
        <v>200</v>
      </c>
      <c r="F1817">
        <f t="shared" ca="1" si="114"/>
        <v>213</v>
      </c>
      <c r="G1817" t="str">
        <f t="shared" ca="1" si="115"/>
        <v>Fertilisation</v>
      </c>
      <c r="H1817" cm="1">
        <f t="array" aca="1" ref="H1817" ca="1">ROW(INDIRECT(A1817))</f>
        <v>277</v>
      </c>
      <c r="I1817" cm="1">
        <f t="array" aca="1" ref="I1817" ca="1">COLUMN(INDIRECT(A1817))</f>
        <v>15</v>
      </c>
    </row>
    <row r="1818" spans="1:9" x14ac:dyDescent="0.25">
      <c r="A1818" s="503" t="s">
        <v>4758</v>
      </c>
      <c r="B1818" cm="1">
        <f t="array" aca="1" ref="B1818" ca="1">INDIRECT(A1818)</f>
        <v>0</v>
      </c>
      <c r="C1818">
        <f t="shared" ca="1" si="112"/>
        <v>8</v>
      </c>
      <c r="D1818" t="str" cm="1">
        <f t="array" aca="1" ref="D1818" ca="1">CELL("nomfichier",INDIRECT(A1818))</f>
        <v>G:\SCPE\sdc\bq\6 - Mentions valorisantes\Certification environnementale\TEXTES_REGLEMENTATION_CE\Plans_contrôle et grilles\Grille audit niveau 3\Grille d'audit v1.11\[grille-audit-hvev4-v1.11-vf.xlsx]Fertilisation</v>
      </c>
      <c r="E1818">
        <f t="shared" ca="1" si="113"/>
        <v>200</v>
      </c>
      <c r="F1818">
        <f t="shared" ca="1" si="114"/>
        <v>213</v>
      </c>
      <c r="G1818" t="str">
        <f t="shared" ca="1" si="115"/>
        <v>Fertilisation</v>
      </c>
      <c r="H1818" cm="1">
        <f t="array" aca="1" ref="H1818" ca="1">ROW(INDIRECT(A1818))</f>
        <v>278</v>
      </c>
      <c r="I1818" cm="1">
        <f t="array" aca="1" ref="I1818" ca="1">COLUMN(INDIRECT(A1818))</f>
        <v>15</v>
      </c>
    </row>
    <row r="1819" spans="1:9" x14ac:dyDescent="0.25">
      <c r="A1819" s="503" t="s">
        <v>4759</v>
      </c>
      <c r="B1819" cm="1">
        <f t="array" aca="1" ref="B1819" ca="1">INDIRECT(A1819)</f>
        <v>0</v>
      </c>
      <c r="C1819">
        <f t="shared" ca="1" si="112"/>
        <v>8</v>
      </c>
      <c r="D1819" t="str" cm="1">
        <f t="array" aca="1" ref="D1819" ca="1">CELL("nomfichier",INDIRECT(A1819))</f>
        <v>G:\SCPE\sdc\bq\6 - Mentions valorisantes\Certification environnementale\TEXTES_REGLEMENTATION_CE\Plans_contrôle et grilles\Grille audit niveau 3\Grille d'audit v1.11\[grille-audit-hvev4-v1.11-vf.xlsx]Fertilisation</v>
      </c>
      <c r="E1819">
        <f t="shared" ca="1" si="113"/>
        <v>200</v>
      </c>
      <c r="F1819">
        <f t="shared" ca="1" si="114"/>
        <v>213</v>
      </c>
      <c r="G1819" t="str">
        <f t="shared" ca="1" si="115"/>
        <v>Fertilisation</v>
      </c>
      <c r="H1819" cm="1">
        <f t="array" aca="1" ref="H1819" ca="1">ROW(INDIRECT(A1819))</f>
        <v>288</v>
      </c>
      <c r="I1819" cm="1">
        <f t="array" aca="1" ref="I1819" ca="1">COLUMN(INDIRECT(A1819))</f>
        <v>15</v>
      </c>
    </row>
    <row r="1820" spans="1:9" ht="30" x14ac:dyDescent="0.25">
      <c r="A1820" s="503" t="s">
        <v>4760</v>
      </c>
      <c r="B1820" cm="1">
        <f t="array" aca="1" ref="B1820" ca="1">INDIRECT(A1820)</f>
        <v>0</v>
      </c>
      <c r="C1820">
        <f t="shared" ca="1" si="112"/>
        <v>8</v>
      </c>
      <c r="D1820" t="str" cm="1">
        <f t="array" aca="1" ref="D1820" ca="1">CELL("nomfichier",INDIRECT(A1820))</f>
        <v>G:\SCPE\sdc\bq\6 - Mentions valorisantes\Certification environnementale\TEXTES_REGLEMENTATION_CE\Plans_contrôle et grilles\Grille audit niveau 3\Grille d'audit v1.11\[grille-audit-hvev4-v1.11-vf.xlsx]Fertilisation</v>
      </c>
      <c r="E1820">
        <f t="shared" ca="1" si="113"/>
        <v>200</v>
      </c>
      <c r="F1820">
        <f t="shared" ca="1" si="114"/>
        <v>213</v>
      </c>
      <c r="G1820" t="str">
        <f t="shared" ca="1" si="115"/>
        <v>Fertilisation</v>
      </c>
      <c r="H1820" cm="1">
        <f t="array" aca="1" ref="H1820" ca="1">ROW(INDIRECT(A1820))</f>
        <v>289</v>
      </c>
      <c r="I1820" cm="1">
        <f t="array" aca="1" ref="I1820" ca="1">COLUMN(INDIRECT(A1820))</f>
        <v>15</v>
      </c>
    </row>
    <row r="1821" spans="1:9" ht="30" x14ac:dyDescent="0.25">
      <c r="A1821" s="503" t="s">
        <v>4761</v>
      </c>
      <c r="B1821" cm="1">
        <f t="array" aca="1" ref="B1821" ca="1">INDIRECT(A1821)</f>
        <v>0</v>
      </c>
      <c r="C1821">
        <f t="shared" ca="1" si="112"/>
        <v>8</v>
      </c>
      <c r="D1821" t="str" cm="1">
        <f t="array" aca="1" ref="D1821" ca="1">CELL("nomfichier",INDIRECT(A1821))</f>
        <v>G:\SCPE\sdc\bq\6 - Mentions valorisantes\Certification environnementale\TEXTES_REGLEMENTATION_CE\Plans_contrôle et grilles\Grille audit niveau 3\Grille d'audit v1.11\[grille-audit-hvev4-v1.11-vf.xlsx]Fertilisation</v>
      </c>
      <c r="E1821">
        <f t="shared" ca="1" si="113"/>
        <v>200</v>
      </c>
      <c r="F1821">
        <f t="shared" ca="1" si="114"/>
        <v>213</v>
      </c>
      <c r="G1821" t="str">
        <f t="shared" ca="1" si="115"/>
        <v>Fertilisation</v>
      </c>
      <c r="H1821" cm="1">
        <f t="array" aca="1" ref="H1821" ca="1">ROW(INDIRECT(A1821))</f>
        <v>289</v>
      </c>
      <c r="I1821" cm="1">
        <f t="array" aca="1" ref="I1821" ca="1">COLUMN(INDIRECT(A1821))</f>
        <v>17</v>
      </c>
    </row>
    <row r="1822" spans="1:9" ht="30" x14ac:dyDescent="0.25">
      <c r="A1822" s="503" t="s">
        <v>4762</v>
      </c>
      <c r="B1822" cm="1">
        <f t="array" aca="1" ref="B1822" ca="1">INDIRECT(A1822)</f>
        <v>0</v>
      </c>
      <c r="C1822">
        <f t="shared" ca="1" si="112"/>
        <v>8</v>
      </c>
      <c r="D1822" t="str" cm="1">
        <f t="array" aca="1" ref="D1822" ca="1">CELL("nomfichier",INDIRECT(A1822))</f>
        <v>G:\SCPE\sdc\bq\6 - Mentions valorisantes\Certification environnementale\TEXTES_REGLEMENTATION_CE\Plans_contrôle et grilles\Grille audit niveau 3\Grille d'audit v1.11\[grille-audit-hvev4-v1.11-vf.xlsx]Fertilisation</v>
      </c>
      <c r="E1822">
        <f t="shared" ca="1" si="113"/>
        <v>200</v>
      </c>
      <c r="F1822">
        <f t="shared" ca="1" si="114"/>
        <v>213</v>
      </c>
      <c r="G1822" t="str">
        <f t="shared" ca="1" si="115"/>
        <v>Fertilisation</v>
      </c>
      <c r="H1822" cm="1">
        <f t="array" aca="1" ref="H1822" ca="1">ROW(INDIRECT(A1822))</f>
        <v>290</v>
      </c>
      <c r="I1822" cm="1">
        <f t="array" aca="1" ref="I1822" ca="1">COLUMN(INDIRECT(A1822))</f>
        <v>15</v>
      </c>
    </row>
    <row r="1823" spans="1:9" ht="30" x14ac:dyDescent="0.25">
      <c r="A1823" s="503" t="s">
        <v>4763</v>
      </c>
      <c r="B1823" cm="1">
        <f t="array" aca="1" ref="B1823" ca="1">INDIRECT(A1823)</f>
        <v>0</v>
      </c>
      <c r="C1823">
        <f t="shared" ca="1" si="112"/>
        <v>8</v>
      </c>
      <c r="D1823" t="str" cm="1">
        <f t="array" aca="1" ref="D1823" ca="1">CELL("nomfichier",INDIRECT(A1823))</f>
        <v>G:\SCPE\sdc\bq\6 - Mentions valorisantes\Certification environnementale\TEXTES_REGLEMENTATION_CE\Plans_contrôle et grilles\Grille audit niveau 3\Grille d'audit v1.11\[grille-audit-hvev4-v1.11-vf.xlsx]Fertilisation</v>
      </c>
      <c r="E1823">
        <f t="shared" ca="1" si="113"/>
        <v>200</v>
      </c>
      <c r="F1823">
        <f t="shared" ca="1" si="114"/>
        <v>213</v>
      </c>
      <c r="G1823" t="str">
        <f t="shared" ca="1" si="115"/>
        <v>Fertilisation</v>
      </c>
      <c r="H1823" cm="1">
        <f t="array" aca="1" ref="H1823" ca="1">ROW(INDIRECT(A1823))</f>
        <v>290</v>
      </c>
      <c r="I1823" cm="1">
        <f t="array" aca="1" ref="I1823" ca="1">COLUMN(INDIRECT(A1823))</f>
        <v>17</v>
      </c>
    </row>
    <row r="1824" spans="1:9" ht="30" x14ac:dyDescent="0.25">
      <c r="A1824" s="503" t="s">
        <v>4764</v>
      </c>
      <c r="B1824" cm="1">
        <f t="array" aca="1" ref="B1824" ca="1">INDIRECT(A1824)</f>
        <v>0</v>
      </c>
      <c r="C1824">
        <f t="shared" ca="1" si="112"/>
        <v>8</v>
      </c>
      <c r="D1824" t="str" cm="1">
        <f t="array" aca="1" ref="D1824" ca="1">CELL("nomfichier",INDIRECT(A1824))</f>
        <v>G:\SCPE\sdc\bq\6 - Mentions valorisantes\Certification environnementale\TEXTES_REGLEMENTATION_CE\Plans_contrôle et grilles\Grille audit niveau 3\Grille d'audit v1.11\[grille-audit-hvev4-v1.11-vf.xlsx]Fertilisation</v>
      </c>
      <c r="E1824">
        <f t="shared" ca="1" si="113"/>
        <v>200</v>
      </c>
      <c r="F1824">
        <f t="shared" ca="1" si="114"/>
        <v>213</v>
      </c>
      <c r="G1824" t="str">
        <f t="shared" ca="1" si="115"/>
        <v>Fertilisation</v>
      </c>
      <c r="H1824" cm="1">
        <f t="array" aca="1" ref="H1824" ca="1">ROW(INDIRECT(A1824))</f>
        <v>295</v>
      </c>
      <c r="I1824" cm="1">
        <f t="array" aca="1" ref="I1824" ca="1">COLUMN(INDIRECT(A1824))</f>
        <v>15</v>
      </c>
    </row>
    <row r="1825" spans="1:9" ht="30" x14ac:dyDescent="0.25">
      <c r="A1825" s="503" t="s">
        <v>4765</v>
      </c>
      <c r="B1825" cm="1">
        <f t="array" aca="1" ref="B1825" ca="1">INDIRECT(A1825)</f>
        <v>0</v>
      </c>
      <c r="C1825">
        <f t="shared" ca="1" si="112"/>
        <v>8</v>
      </c>
      <c r="D1825" t="str" cm="1">
        <f t="array" aca="1" ref="D1825" ca="1">CELL("nomfichier",INDIRECT(A1825))</f>
        <v>G:\SCPE\sdc\bq\6 - Mentions valorisantes\Certification environnementale\TEXTES_REGLEMENTATION_CE\Plans_contrôle et grilles\Grille audit niveau 3\Grille d'audit v1.11\[grille-audit-hvev4-v1.11-vf.xlsx]Fertilisation</v>
      </c>
      <c r="E1825">
        <f t="shared" ca="1" si="113"/>
        <v>200</v>
      </c>
      <c r="F1825">
        <f t="shared" ca="1" si="114"/>
        <v>213</v>
      </c>
      <c r="G1825" t="str">
        <f t="shared" ca="1" si="115"/>
        <v>Fertilisation</v>
      </c>
      <c r="H1825" cm="1">
        <f t="array" aca="1" ref="H1825" ca="1">ROW(INDIRECT(A1825))</f>
        <v>295</v>
      </c>
      <c r="I1825" cm="1">
        <f t="array" aca="1" ref="I1825" ca="1">COLUMN(INDIRECT(A1825))</f>
        <v>17</v>
      </c>
    </row>
    <row r="1826" spans="1:9" ht="30" x14ac:dyDescent="0.25">
      <c r="A1826" s="503" t="s">
        <v>4766</v>
      </c>
      <c r="B1826" cm="1">
        <f t="array" aca="1" ref="B1826" ca="1">INDIRECT(A1826)</f>
        <v>0</v>
      </c>
      <c r="C1826">
        <f t="shared" ca="1" si="112"/>
        <v>8</v>
      </c>
      <c r="D1826" t="str" cm="1">
        <f t="array" aca="1" ref="D1826" ca="1">CELL("nomfichier",INDIRECT(A1826))</f>
        <v>G:\SCPE\sdc\bq\6 - Mentions valorisantes\Certification environnementale\TEXTES_REGLEMENTATION_CE\Plans_contrôle et grilles\Grille audit niveau 3\Grille d'audit v1.11\[grille-audit-hvev4-v1.11-vf.xlsx]Fertilisation</v>
      </c>
      <c r="E1826">
        <f t="shared" ca="1" si="113"/>
        <v>200</v>
      </c>
      <c r="F1826">
        <f t="shared" ca="1" si="114"/>
        <v>213</v>
      </c>
      <c r="G1826" t="str">
        <f t="shared" ca="1" si="115"/>
        <v>Fertilisation</v>
      </c>
      <c r="H1826" cm="1">
        <f t="array" aca="1" ref="H1826" ca="1">ROW(INDIRECT(A1826))</f>
        <v>296</v>
      </c>
      <c r="I1826" cm="1">
        <f t="array" aca="1" ref="I1826" ca="1">COLUMN(INDIRECT(A1826))</f>
        <v>15</v>
      </c>
    </row>
    <row r="1827" spans="1:9" ht="30" x14ac:dyDescent="0.25">
      <c r="A1827" s="503" t="s">
        <v>4767</v>
      </c>
      <c r="B1827" cm="1">
        <f t="array" aca="1" ref="B1827" ca="1">INDIRECT(A1827)</f>
        <v>0</v>
      </c>
      <c r="C1827">
        <f t="shared" ca="1" si="112"/>
        <v>8</v>
      </c>
      <c r="D1827" t="str" cm="1">
        <f t="array" aca="1" ref="D1827" ca="1">CELL("nomfichier",INDIRECT(A1827))</f>
        <v>G:\SCPE\sdc\bq\6 - Mentions valorisantes\Certification environnementale\TEXTES_REGLEMENTATION_CE\Plans_contrôle et grilles\Grille audit niveau 3\Grille d'audit v1.11\[grille-audit-hvev4-v1.11-vf.xlsx]Fertilisation</v>
      </c>
      <c r="E1827">
        <f t="shared" ca="1" si="113"/>
        <v>200</v>
      </c>
      <c r="F1827">
        <f t="shared" ca="1" si="114"/>
        <v>213</v>
      </c>
      <c r="G1827" t="str">
        <f t="shared" ca="1" si="115"/>
        <v>Fertilisation</v>
      </c>
      <c r="H1827" cm="1">
        <f t="array" aca="1" ref="H1827" ca="1">ROW(INDIRECT(A1827))</f>
        <v>296</v>
      </c>
      <c r="I1827" cm="1">
        <f t="array" aca="1" ref="I1827" ca="1">COLUMN(INDIRECT(A1827))</f>
        <v>17</v>
      </c>
    </row>
    <row r="1828" spans="1:9" x14ac:dyDescent="0.25">
      <c r="A1828" s="503" t="s">
        <v>4768</v>
      </c>
      <c r="B1828" cm="1">
        <f t="array" aca="1" ref="B1828" ca="1">INDIRECT(A1828)</f>
        <v>0</v>
      </c>
      <c r="C1828">
        <f t="shared" ca="1" si="112"/>
        <v>8</v>
      </c>
      <c r="D1828" t="str" cm="1">
        <f t="array" aca="1" ref="D1828" ca="1">CELL("nomfichier",INDIRECT(A1828))</f>
        <v>G:\SCPE\sdc\bq\6 - Mentions valorisantes\Certification environnementale\TEXTES_REGLEMENTATION_CE\Plans_contrôle et grilles\Grille audit niveau 3\Grille d'audit v1.11\[grille-audit-hvev4-v1.11-vf.xlsx]Fertilisation</v>
      </c>
      <c r="E1828">
        <f t="shared" ca="1" si="113"/>
        <v>200</v>
      </c>
      <c r="F1828">
        <f t="shared" ca="1" si="114"/>
        <v>213</v>
      </c>
      <c r="G1828" t="str">
        <f t="shared" ca="1" si="115"/>
        <v>Fertilisation</v>
      </c>
      <c r="H1828" cm="1">
        <f t="array" aca="1" ref="H1828" ca="1">ROW(INDIRECT(A1828))</f>
        <v>297</v>
      </c>
      <c r="I1828" cm="1">
        <f t="array" aca="1" ref="I1828" ca="1">COLUMN(INDIRECT(A1828))</f>
        <v>15</v>
      </c>
    </row>
    <row r="1829" spans="1:9" x14ac:dyDescent="0.25">
      <c r="A1829" s="503" t="s">
        <v>4769</v>
      </c>
      <c r="B1829" cm="1">
        <f t="array" aca="1" ref="B1829" ca="1">INDIRECT(A1829)</f>
        <v>0</v>
      </c>
      <c r="C1829">
        <f t="shared" ca="1" si="112"/>
        <v>8</v>
      </c>
      <c r="D1829" t="str" cm="1">
        <f t="array" aca="1" ref="D1829" ca="1">CELL("nomfichier",INDIRECT(A1829))</f>
        <v>G:\SCPE\sdc\bq\6 - Mentions valorisantes\Certification environnementale\TEXTES_REGLEMENTATION_CE\Plans_contrôle et grilles\Grille audit niveau 3\Grille d'audit v1.11\[grille-audit-hvev4-v1.11-vf.xlsx]Fertilisation</v>
      </c>
      <c r="E1829">
        <f t="shared" ca="1" si="113"/>
        <v>200</v>
      </c>
      <c r="F1829">
        <f t="shared" ca="1" si="114"/>
        <v>213</v>
      </c>
      <c r="G1829" t="str">
        <f t="shared" ca="1" si="115"/>
        <v>Fertilisation</v>
      </c>
      <c r="H1829" cm="1">
        <f t="array" aca="1" ref="H1829" ca="1">ROW(INDIRECT(A1829))</f>
        <v>297</v>
      </c>
      <c r="I1829" cm="1">
        <f t="array" aca="1" ref="I1829" ca="1">COLUMN(INDIRECT(A1829))</f>
        <v>17</v>
      </c>
    </row>
    <row r="1830" spans="1:9" x14ac:dyDescent="0.25">
      <c r="A1830" s="503" t="s">
        <v>4770</v>
      </c>
      <c r="B1830" cm="1">
        <f t="array" aca="1" ref="B1830" ca="1">INDIRECT(A1830)</f>
        <v>0</v>
      </c>
      <c r="C1830">
        <f t="shared" ca="1" si="112"/>
        <v>8</v>
      </c>
      <c r="D1830" t="str" cm="1">
        <f t="array" aca="1" ref="D1830" ca="1">CELL("nomfichier",INDIRECT(A1830))</f>
        <v>G:\SCPE\sdc\bq\6 - Mentions valorisantes\Certification environnementale\TEXTES_REGLEMENTATION_CE\Plans_contrôle et grilles\Grille audit niveau 3\Grille d'audit v1.11\[grille-audit-hvev4-v1.11-vf.xlsx]Fertilisation</v>
      </c>
      <c r="E1830">
        <f t="shared" ca="1" si="113"/>
        <v>200</v>
      </c>
      <c r="F1830">
        <f t="shared" ca="1" si="114"/>
        <v>213</v>
      </c>
      <c r="G1830" t="str">
        <f t="shared" ca="1" si="115"/>
        <v>Fertilisation</v>
      </c>
      <c r="H1830" cm="1">
        <f t="array" aca="1" ref="H1830" ca="1">ROW(INDIRECT(A1830))</f>
        <v>298</v>
      </c>
      <c r="I1830" cm="1">
        <f t="array" aca="1" ref="I1830" ca="1">COLUMN(INDIRECT(A1830))</f>
        <v>15</v>
      </c>
    </row>
    <row r="1831" spans="1:9" x14ac:dyDescent="0.25">
      <c r="A1831" s="503" t="s">
        <v>4771</v>
      </c>
      <c r="B1831" cm="1">
        <f t="array" aca="1" ref="B1831" ca="1">INDIRECT(A1831)</f>
        <v>0</v>
      </c>
      <c r="C1831">
        <f t="shared" ca="1" si="112"/>
        <v>8</v>
      </c>
      <c r="D1831" t="str" cm="1">
        <f t="array" aca="1" ref="D1831" ca="1">CELL("nomfichier",INDIRECT(A1831))</f>
        <v>G:\SCPE\sdc\bq\6 - Mentions valorisantes\Certification environnementale\TEXTES_REGLEMENTATION_CE\Plans_contrôle et grilles\Grille audit niveau 3\Grille d'audit v1.11\[grille-audit-hvev4-v1.11-vf.xlsx]Fertilisation</v>
      </c>
      <c r="E1831">
        <f t="shared" ca="1" si="113"/>
        <v>200</v>
      </c>
      <c r="F1831">
        <f t="shared" ca="1" si="114"/>
        <v>213</v>
      </c>
      <c r="G1831" t="str">
        <f t="shared" ca="1" si="115"/>
        <v>Fertilisation</v>
      </c>
      <c r="H1831" cm="1">
        <f t="array" aca="1" ref="H1831" ca="1">ROW(INDIRECT(A1831))</f>
        <v>298</v>
      </c>
      <c r="I1831" cm="1">
        <f t="array" aca="1" ref="I1831" ca="1">COLUMN(INDIRECT(A1831))</f>
        <v>17</v>
      </c>
    </row>
    <row r="1832" spans="1:9" x14ac:dyDescent="0.25">
      <c r="A1832" s="503" t="s">
        <v>4772</v>
      </c>
      <c r="B1832" cm="1">
        <f t="array" aca="1" ref="B1832" ca="1">INDIRECT(A1832)</f>
        <v>0</v>
      </c>
      <c r="C1832">
        <f t="shared" ca="1" si="112"/>
        <v>8</v>
      </c>
      <c r="D1832" t="str" cm="1">
        <f t="array" aca="1" ref="D1832" ca="1">CELL("nomfichier",INDIRECT(A1832))</f>
        <v>G:\SCPE\sdc\bq\6 - Mentions valorisantes\Certification environnementale\TEXTES_REGLEMENTATION_CE\Plans_contrôle et grilles\Grille audit niveau 3\Grille d'audit v1.11\[grille-audit-hvev4-v1.11-vf.xlsx]Fertilisation</v>
      </c>
      <c r="E1832">
        <f t="shared" ca="1" si="113"/>
        <v>200</v>
      </c>
      <c r="F1832">
        <f t="shared" ca="1" si="114"/>
        <v>213</v>
      </c>
      <c r="G1832" t="str">
        <f t="shared" ca="1" si="115"/>
        <v>Fertilisation</v>
      </c>
      <c r="H1832" cm="1">
        <f t="array" aca="1" ref="H1832" ca="1">ROW(INDIRECT(A1832))</f>
        <v>299</v>
      </c>
      <c r="I1832" cm="1">
        <f t="array" aca="1" ref="I1832" ca="1">COLUMN(INDIRECT(A1832))</f>
        <v>15</v>
      </c>
    </row>
    <row r="1833" spans="1:9" x14ac:dyDescent="0.25">
      <c r="A1833" s="503" t="s">
        <v>4773</v>
      </c>
      <c r="B1833" cm="1">
        <f t="array" aca="1" ref="B1833" ca="1">INDIRECT(A1833)</f>
        <v>0</v>
      </c>
      <c r="C1833">
        <f t="shared" ca="1" si="112"/>
        <v>8</v>
      </c>
      <c r="D1833" t="str" cm="1">
        <f t="array" aca="1" ref="D1833" ca="1">CELL("nomfichier",INDIRECT(A1833))</f>
        <v>G:\SCPE\sdc\bq\6 - Mentions valorisantes\Certification environnementale\TEXTES_REGLEMENTATION_CE\Plans_contrôle et grilles\Grille audit niveau 3\Grille d'audit v1.11\[grille-audit-hvev4-v1.11-vf.xlsx]Fertilisation</v>
      </c>
      <c r="E1833">
        <f t="shared" ca="1" si="113"/>
        <v>200</v>
      </c>
      <c r="F1833">
        <f t="shared" ca="1" si="114"/>
        <v>213</v>
      </c>
      <c r="G1833" t="str">
        <f t="shared" ca="1" si="115"/>
        <v>Fertilisation</v>
      </c>
      <c r="H1833" cm="1">
        <f t="array" aca="1" ref="H1833" ca="1">ROW(INDIRECT(A1833))</f>
        <v>299</v>
      </c>
      <c r="I1833" cm="1">
        <f t="array" aca="1" ref="I1833" ca="1">COLUMN(INDIRECT(A1833))</f>
        <v>17</v>
      </c>
    </row>
    <row r="1834" spans="1:9" x14ac:dyDescent="0.25">
      <c r="A1834" s="503" t="s">
        <v>4774</v>
      </c>
      <c r="B1834" cm="1">
        <f t="array" aca="1" ref="B1834" ca="1">INDIRECT(A1834)</f>
        <v>0</v>
      </c>
      <c r="C1834">
        <f t="shared" ca="1" si="112"/>
        <v>8</v>
      </c>
      <c r="D1834" t="str" cm="1">
        <f t="array" aca="1" ref="D1834" ca="1">CELL("nomfichier",INDIRECT(A1834))</f>
        <v>G:\SCPE\sdc\bq\6 - Mentions valorisantes\Certification environnementale\TEXTES_REGLEMENTATION_CE\Plans_contrôle et grilles\Grille audit niveau 3\Grille d'audit v1.11\[grille-audit-hvev4-v1.11-vf.xlsx]Fertilisation</v>
      </c>
      <c r="E1834">
        <f t="shared" ca="1" si="113"/>
        <v>200</v>
      </c>
      <c r="F1834">
        <f t="shared" ca="1" si="114"/>
        <v>213</v>
      </c>
      <c r="G1834" t="str">
        <f t="shared" ca="1" si="115"/>
        <v>Fertilisation</v>
      </c>
      <c r="H1834" cm="1">
        <f t="array" aca="1" ref="H1834" ca="1">ROW(INDIRECT(A1834))</f>
        <v>300</v>
      </c>
      <c r="I1834" cm="1">
        <f t="array" aca="1" ref="I1834" ca="1">COLUMN(INDIRECT(A1834))</f>
        <v>17</v>
      </c>
    </row>
    <row r="1835" spans="1:9" x14ac:dyDescent="0.25">
      <c r="A1835" s="503" t="s">
        <v>4775</v>
      </c>
      <c r="B1835" cm="1">
        <f t="array" aca="1" ref="B1835" ca="1">INDIRECT(A1835)</f>
        <v>7</v>
      </c>
      <c r="C1835">
        <f t="shared" ca="1" si="112"/>
        <v>8</v>
      </c>
      <c r="D1835" t="str" cm="1">
        <f t="array" aca="1" ref="D1835" ca="1">CELL("nomfichier",INDIRECT(A1835))</f>
        <v>G:\SCPE\sdc\bq\6 - Mentions valorisantes\Certification environnementale\TEXTES_REGLEMENTATION_CE\Plans_contrôle et grilles\Grille audit niveau 3\Grille d'audit v1.11\[grille-audit-hvev4-v1.11-vf.xlsx]Fertilisation</v>
      </c>
      <c r="E1835">
        <f t="shared" ca="1" si="113"/>
        <v>200</v>
      </c>
      <c r="F1835">
        <f t="shared" ca="1" si="114"/>
        <v>213</v>
      </c>
      <c r="G1835" t="str">
        <f t="shared" ca="1" si="115"/>
        <v>Fertilisation</v>
      </c>
      <c r="H1835" cm="1">
        <f t="array" aca="1" ref="H1835" ca="1">ROW(INDIRECT(A1835))</f>
        <v>300</v>
      </c>
      <c r="I1835" cm="1">
        <f t="array" aca="1" ref="I1835" ca="1">COLUMN(INDIRECT(A1835))</f>
        <v>23</v>
      </c>
    </row>
    <row r="1836" spans="1:9" x14ac:dyDescent="0.25">
      <c r="A1836" s="503" t="s">
        <v>4776</v>
      </c>
      <c r="B1836" cm="1">
        <f t="array" aca="1" ref="B1836" ca="1">INDIRECT(A1836)</f>
        <v>0</v>
      </c>
      <c r="C1836">
        <f t="shared" ca="1" si="112"/>
        <v>8</v>
      </c>
      <c r="D1836" t="str" cm="1">
        <f t="array" aca="1" ref="D1836" ca="1">CELL("nomfichier",INDIRECT(A1836))</f>
        <v>G:\SCPE\sdc\bq\6 - Mentions valorisantes\Certification environnementale\TEXTES_REGLEMENTATION_CE\Plans_contrôle et grilles\Grille audit niveau 3\Grille d'audit v1.11\[grille-audit-hvev4-v1.11-vf.xlsx]Fertilisation</v>
      </c>
      <c r="E1836">
        <f t="shared" ca="1" si="113"/>
        <v>200</v>
      </c>
      <c r="F1836">
        <f t="shared" ca="1" si="114"/>
        <v>213</v>
      </c>
      <c r="G1836" t="str">
        <f t="shared" ca="1" si="115"/>
        <v>Fertilisation</v>
      </c>
      <c r="H1836" cm="1">
        <f t="array" aca="1" ref="H1836" ca="1">ROW(INDIRECT(A1836))</f>
        <v>318</v>
      </c>
      <c r="I1836" cm="1">
        <f t="array" aca="1" ref="I1836" ca="1">COLUMN(INDIRECT(A1836))</f>
        <v>15</v>
      </c>
    </row>
    <row r="1837" spans="1:9" x14ac:dyDescent="0.25">
      <c r="A1837" s="503" t="s">
        <v>4777</v>
      </c>
      <c r="B1837" cm="1">
        <f t="array" aca="1" ref="B1837" ca="1">INDIRECT(A1837)</f>
        <v>0</v>
      </c>
      <c r="C1837">
        <f t="shared" ca="1" si="112"/>
        <v>8</v>
      </c>
      <c r="D1837" t="str" cm="1">
        <f t="array" aca="1" ref="D1837" ca="1">CELL("nomfichier",INDIRECT(A1837))</f>
        <v>G:\SCPE\sdc\bq\6 - Mentions valorisantes\Certification environnementale\TEXTES_REGLEMENTATION_CE\Plans_contrôle et grilles\Grille audit niveau 3\Grille d'audit v1.11\[grille-audit-hvev4-v1.11-vf.xlsx]Fertilisation</v>
      </c>
      <c r="E1837">
        <f t="shared" ca="1" si="113"/>
        <v>200</v>
      </c>
      <c r="F1837">
        <f t="shared" ca="1" si="114"/>
        <v>213</v>
      </c>
      <c r="G1837" t="str">
        <f t="shared" ca="1" si="115"/>
        <v>Fertilisation</v>
      </c>
      <c r="H1837" cm="1">
        <f t="array" aca="1" ref="H1837" ca="1">ROW(INDIRECT(A1837))</f>
        <v>323</v>
      </c>
      <c r="I1837" cm="1">
        <f t="array" aca="1" ref="I1837" ca="1">COLUMN(INDIRECT(A1837))</f>
        <v>15</v>
      </c>
    </row>
    <row r="1838" spans="1:9" x14ac:dyDescent="0.25">
      <c r="A1838" s="503" t="s">
        <v>4778</v>
      </c>
      <c r="B1838" cm="1">
        <f t="array" aca="1" ref="B1838" ca="1">INDIRECT(A1838)</f>
        <v>0</v>
      </c>
      <c r="C1838">
        <f t="shared" ca="1" si="112"/>
        <v>8</v>
      </c>
      <c r="D1838" t="str" cm="1">
        <f t="array" aca="1" ref="D1838" ca="1">CELL("nomfichier",INDIRECT(A1838))</f>
        <v>G:\SCPE\sdc\bq\6 - Mentions valorisantes\Certification environnementale\TEXTES_REGLEMENTATION_CE\Plans_contrôle et grilles\Grille audit niveau 3\Grille d'audit v1.11\[grille-audit-hvev4-v1.11-vf.xlsx]Fertilisation</v>
      </c>
      <c r="E1838">
        <f t="shared" ca="1" si="113"/>
        <v>200</v>
      </c>
      <c r="F1838">
        <f t="shared" ca="1" si="114"/>
        <v>213</v>
      </c>
      <c r="G1838" t="str">
        <f t="shared" ca="1" si="115"/>
        <v>Fertilisation</v>
      </c>
      <c r="H1838" cm="1">
        <f t="array" aca="1" ref="H1838" ca="1">ROW(INDIRECT(A1838))</f>
        <v>324</v>
      </c>
      <c r="I1838" cm="1">
        <f t="array" aca="1" ref="I1838" ca="1">COLUMN(INDIRECT(A1838))</f>
        <v>17</v>
      </c>
    </row>
    <row r="1839" spans="1:9" x14ac:dyDescent="0.25">
      <c r="A1839" s="503" t="s">
        <v>4779</v>
      </c>
      <c r="B1839" cm="1">
        <f t="array" aca="1" ref="B1839" ca="1">INDIRECT(A1839)</f>
        <v>0</v>
      </c>
      <c r="C1839">
        <f t="shared" ca="1" si="112"/>
        <v>8</v>
      </c>
      <c r="D1839" t="str" cm="1">
        <f t="array" aca="1" ref="D1839" ca="1">CELL("nomfichier",INDIRECT(A1839))</f>
        <v>G:\SCPE\sdc\bq\6 - Mentions valorisantes\Certification environnementale\TEXTES_REGLEMENTATION_CE\Plans_contrôle et grilles\Grille audit niveau 3\Grille d'audit v1.11\[grille-audit-hvev4-v1.11-vf.xlsx]Fertilisation</v>
      </c>
      <c r="E1839">
        <f t="shared" ca="1" si="113"/>
        <v>200</v>
      </c>
      <c r="F1839">
        <f t="shared" ca="1" si="114"/>
        <v>213</v>
      </c>
      <c r="G1839" t="str">
        <f t="shared" ca="1" si="115"/>
        <v>Fertilisation</v>
      </c>
      <c r="H1839" cm="1">
        <f t="array" aca="1" ref="H1839" ca="1">ROW(INDIRECT(A1839))</f>
        <v>325</v>
      </c>
      <c r="I1839" cm="1">
        <f t="array" aca="1" ref="I1839" ca="1">COLUMN(INDIRECT(A1839))</f>
        <v>17</v>
      </c>
    </row>
    <row r="1840" spans="1:9" x14ac:dyDescent="0.25">
      <c r="A1840" s="503" t="s">
        <v>4780</v>
      </c>
      <c r="B1840" cm="1">
        <f t="array" aca="1" ref="B1840" ca="1">INDIRECT(A1840)</f>
        <v>6</v>
      </c>
      <c r="C1840">
        <f t="shared" ca="1" si="112"/>
        <v>8</v>
      </c>
      <c r="D1840" t="str" cm="1">
        <f t="array" aca="1" ref="D1840" ca="1">CELL("nomfichier",INDIRECT(A1840))</f>
        <v>G:\SCPE\sdc\bq\6 - Mentions valorisantes\Certification environnementale\TEXTES_REGLEMENTATION_CE\Plans_contrôle et grilles\Grille audit niveau 3\Grille d'audit v1.11\[grille-audit-hvev4-v1.11-vf.xlsx]Fertilisation</v>
      </c>
      <c r="E1840">
        <f t="shared" ca="1" si="113"/>
        <v>200</v>
      </c>
      <c r="F1840">
        <f t="shared" ca="1" si="114"/>
        <v>213</v>
      </c>
      <c r="G1840" t="str">
        <f t="shared" ca="1" si="115"/>
        <v>Fertilisation</v>
      </c>
      <c r="H1840" cm="1">
        <f t="array" aca="1" ref="H1840" ca="1">ROW(INDIRECT(A1840))</f>
        <v>325</v>
      </c>
      <c r="I1840" cm="1">
        <f t="array" aca="1" ref="I1840" ca="1">COLUMN(INDIRECT(A1840))</f>
        <v>23</v>
      </c>
    </row>
    <row r="1841" spans="1:13" x14ac:dyDescent="0.25">
      <c r="A1841" s="503" t="s">
        <v>4781</v>
      </c>
      <c r="B1841" cm="1">
        <f t="array" aca="1" ref="B1841" ca="1">INDIRECT(A1841)</f>
        <v>0</v>
      </c>
      <c r="C1841">
        <f t="shared" ca="1" si="112"/>
        <v>8</v>
      </c>
      <c r="D1841" t="str" cm="1">
        <f t="array" aca="1" ref="D1841" ca="1">CELL("nomfichier",INDIRECT(A1841))</f>
        <v>G:\SCPE\sdc\bq\6 - Mentions valorisantes\Certification environnementale\TEXTES_REGLEMENTATION_CE\Plans_contrôle et grilles\Grille audit niveau 3\Grille d'audit v1.11\[grille-audit-hvev4-v1.11-vf.xlsx]Fertilisation</v>
      </c>
      <c r="E1841">
        <f t="shared" ca="1" si="113"/>
        <v>200</v>
      </c>
      <c r="F1841">
        <f t="shared" ca="1" si="114"/>
        <v>213</v>
      </c>
      <c r="G1841" t="str">
        <f t="shared" ca="1" si="115"/>
        <v>Fertilisation</v>
      </c>
      <c r="H1841" cm="1">
        <f t="array" aca="1" ref="H1841" ca="1">ROW(INDIRECT(A1841))</f>
        <v>353</v>
      </c>
      <c r="I1841" cm="1">
        <f t="array" aca="1" ref="I1841" ca="1">COLUMN(INDIRECT(A1841))</f>
        <v>14</v>
      </c>
    </row>
    <row r="1842" spans="1:13" x14ac:dyDescent="0.25">
      <c r="A1842" s="503" t="s">
        <v>4782</v>
      </c>
      <c r="B1842" cm="1">
        <f t="array" aca="1" ref="B1842" ca="1">INDIRECT(A1842)</f>
        <v>6</v>
      </c>
      <c r="C1842">
        <f t="shared" ca="1" si="112"/>
        <v>8</v>
      </c>
      <c r="D1842" t="str" cm="1">
        <f t="array" aca="1" ref="D1842" ca="1">CELL("nomfichier",INDIRECT(A1842))</f>
        <v>G:\SCPE\sdc\bq\6 - Mentions valorisantes\Certification environnementale\TEXTES_REGLEMENTATION_CE\Plans_contrôle et grilles\Grille audit niveau 3\Grille d'audit v1.11\[grille-audit-hvev4-v1.11-vf.xlsx]Fertilisation</v>
      </c>
      <c r="E1842">
        <f t="shared" ca="1" si="113"/>
        <v>200</v>
      </c>
      <c r="F1842">
        <f t="shared" ca="1" si="114"/>
        <v>213</v>
      </c>
      <c r="G1842" t="str">
        <f t="shared" ca="1" si="115"/>
        <v>Fertilisation</v>
      </c>
      <c r="H1842" cm="1">
        <f t="array" aca="1" ref="H1842" ca="1">ROW(INDIRECT(A1842))</f>
        <v>353</v>
      </c>
      <c r="I1842" cm="1">
        <f t="array" aca="1" ref="I1842" ca="1">COLUMN(INDIRECT(A1842))</f>
        <v>23</v>
      </c>
    </row>
    <row r="1843" spans="1:13" x14ac:dyDescent="0.25">
      <c r="A1843" s="503" t="s">
        <v>4791</v>
      </c>
      <c r="B1843" cm="1">
        <f t="array" aca="1" ref="B1843" ca="1">INDIRECT(A1843)</f>
        <v>0</v>
      </c>
      <c r="C1843">
        <f t="shared" ca="1" si="112"/>
        <v>8</v>
      </c>
      <c r="D1843" t="str" cm="1">
        <f t="array" aca="1" ref="D1843" ca="1">CELL("nomfichier",INDIRECT(A1843))</f>
        <v>G:\SCPE\sdc\bq\6 - Mentions valorisantes\Certification environnementale\TEXTES_REGLEMENTATION_CE\Plans_contrôle et grilles\Grille audit niveau 3\Grille d'audit v1.11\[grille-audit-hvev4-v1.11-vf.xlsx]Fertilisation</v>
      </c>
      <c r="E1843">
        <f t="shared" ca="1" si="113"/>
        <v>200</v>
      </c>
      <c r="F1843">
        <f t="shared" ca="1" si="114"/>
        <v>213</v>
      </c>
      <c r="G1843" t="str">
        <f t="shared" ca="1" si="115"/>
        <v>Fertilisation</v>
      </c>
      <c r="H1843" cm="1">
        <f t="array" aca="1" ref="H1843" ca="1">ROW(INDIRECT(A1843))</f>
        <v>370</v>
      </c>
      <c r="I1843" cm="1">
        <f t="array" aca="1" ref="I1843" ca="1">COLUMN(INDIRECT(A1843))</f>
        <v>18</v>
      </c>
    </row>
    <row r="1844" spans="1:13" x14ac:dyDescent="0.25">
      <c r="A1844" s="503" t="s">
        <v>4783</v>
      </c>
      <c r="B1844" cm="1">
        <f t="array" aca="1" ref="B1844" ca="1">INDIRECT(A1844)</f>
        <v>53</v>
      </c>
      <c r="C1844">
        <f t="shared" ca="1" si="112"/>
        <v>8</v>
      </c>
      <c r="D1844" t="str" cm="1">
        <f t="array" aca="1" ref="D1844" ca="1">CELL("nomfichier",INDIRECT(A1844))</f>
        <v>G:\SCPE\sdc\bq\6 - Mentions valorisantes\Certification environnementale\TEXTES_REGLEMENTATION_CE\Plans_contrôle et grilles\Grille audit niveau 3\Grille d'audit v1.11\[grille-audit-hvev4-v1.11-vf.xlsx]Fertilisation</v>
      </c>
      <c r="E1844">
        <f t="shared" ca="1" si="113"/>
        <v>200</v>
      </c>
      <c r="F1844">
        <f t="shared" ca="1" si="114"/>
        <v>213</v>
      </c>
      <c r="G1844" t="str">
        <f t="shared" ca="1" si="115"/>
        <v>Fertilisation</v>
      </c>
      <c r="H1844" cm="1">
        <f t="array" aca="1" ref="H1844" ca="1">ROW(INDIRECT(A1844))</f>
        <v>370</v>
      </c>
      <c r="I1844" cm="1">
        <f t="array" aca="1" ref="I1844" ca="1">COLUMN(INDIRECT(A1844))</f>
        <v>23</v>
      </c>
    </row>
    <row r="1845" spans="1:13" x14ac:dyDescent="0.25">
      <c r="A1845" t="s">
        <v>4786</v>
      </c>
      <c r="B1845" cm="1">
        <f t="array" aca="1" ref="B1845" ca="1">INDIRECT(A1845)</f>
        <v>0</v>
      </c>
      <c r="C1845">
        <f t="shared" ca="1" si="112"/>
        <v>9</v>
      </c>
      <c r="D1845" t="str" cm="1">
        <f t="array" aca="1" ref="D1845" ca="1">CELL("nomfichier",INDIRECT(A1845))</f>
        <v>G:\SCPE\sdc\bq\6 - Mentions valorisantes\Certification environnementale\TEXTES_REGLEMENTATION_CE\Plans_contrôle et grilles\Grille audit niveau 3\Grille d'audit v1.11\[grille-audit-hvev4-v1.11-vf.xlsx]Irrigation</v>
      </c>
      <c r="E1845">
        <f t="shared" ca="1" si="113"/>
        <v>200</v>
      </c>
      <c r="F1845">
        <f t="shared" ca="1" si="114"/>
        <v>210</v>
      </c>
      <c r="G1845" t="str">
        <f t="shared" ca="1" si="115"/>
        <v>Irrigation</v>
      </c>
      <c r="H1845" cm="1">
        <f t="array" aca="1" ref="H1845" ca="1">ROW(INDIRECT(A1845))</f>
        <v>10</v>
      </c>
      <c r="I1845" cm="1">
        <f t="array" aca="1" ref="I1845" ca="1">COLUMN(INDIRECT(A1845))</f>
        <v>11</v>
      </c>
      <c r="M1845" t="str" cm="1">
        <f t="array" aca="1" ref="M1845" ca="1">IF(AND(J1845="O",ISBLANK(INDIRECT(A1845))),"Valeur obligatoire non renseignée","")</f>
        <v/>
      </c>
    </row>
    <row r="1846" spans="1:13" x14ac:dyDescent="0.25">
      <c r="A1846" t="s">
        <v>4787</v>
      </c>
      <c r="B1846" cm="1">
        <f t="array" aca="1" ref="B1846" ca="1">INDIRECT(A1846)</f>
        <v>0</v>
      </c>
      <c r="C1846">
        <f t="shared" ca="1" si="112"/>
        <v>9</v>
      </c>
      <c r="D1846" t="str" cm="1">
        <f t="array" aca="1" ref="D1846" ca="1">CELL("nomfichier",INDIRECT(A1846))</f>
        <v>G:\SCPE\sdc\bq\6 - Mentions valorisantes\Certification environnementale\TEXTES_REGLEMENTATION_CE\Plans_contrôle et grilles\Grille audit niveau 3\Grille d'audit v1.11\[grille-audit-hvev4-v1.11-vf.xlsx]Irrigation</v>
      </c>
      <c r="E1846">
        <f t="shared" ca="1" si="113"/>
        <v>200</v>
      </c>
      <c r="F1846">
        <f t="shared" ca="1" si="114"/>
        <v>210</v>
      </c>
      <c r="G1846" t="str">
        <f t="shared" ca="1" si="115"/>
        <v>Irrigation</v>
      </c>
      <c r="H1846" cm="1">
        <f t="array" aca="1" ref="H1846" ca="1">ROW(INDIRECT(A1846))</f>
        <v>12</v>
      </c>
      <c r="I1846" cm="1">
        <f t="array" aca="1" ref="I1846" ca="1">COLUMN(INDIRECT(A1846))</f>
        <v>11</v>
      </c>
      <c r="M1846" t="str" cm="1">
        <f t="array" aca="1" ref="M1846" ca="1">IF(AND(J1846="O",ISBLANK(INDIRECT(A1846))),"Valeur obligatoire non renseignée","")</f>
        <v/>
      </c>
    </row>
    <row r="1847" spans="1:13" x14ac:dyDescent="0.25">
      <c r="A1847" t="s">
        <v>4553</v>
      </c>
      <c r="B1847" cm="1">
        <f t="array" aca="1" ref="B1847" ca="1">INDIRECT(A1847)</f>
        <v>0</v>
      </c>
      <c r="C1847">
        <f t="shared" ca="1" si="112"/>
        <v>9</v>
      </c>
      <c r="D1847" t="str" cm="1">
        <f t="array" aca="1" ref="D1847" ca="1">CELL("nomfichier",INDIRECT(A1847))</f>
        <v>G:\SCPE\sdc\bq\6 - Mentions valorisantes\Certification environnementale\TEXTES_REGLEMENTATION_CE\Plans_contrôle et grilles\Grille audit niveau 3\Grille d'audit v1.11\[grille-audit-hvev4-v1.11-vf.xlsx]Irrigation</v>
      </c>
      <c r="E1847">
        <f t="shared" ca="1" si="113"/>
        <v>200</v>
      </c>
      <c r="F1847">
        <f t="shared" ca="1" si="114"/>
        <v>210</v>
      </c>
      <c r="G1847" t="str">
        <f t="shared" ca="1" si="115"/>
        <v>Irrigation</v>
      </c>
      <c r="H1847" cm="1">
        <f t="array" aca="1" ref="H1847" ca="1">ROW(INDIRECT(A1847))</f>
        <v>13</v>
      </c>
      <c r="I1847" cm="1">
        <f t="array" aca="1" ref="I1847" ca="1">COLUMN(INDIRECT(A1847))</f>
        <v>11</v>
      </c>
      <c r="M1847" t="str" cm="1">
        <f t="array" aca="1" ref="M1847" ca="1">IF(AND(J1847="O",ISBLANK(INDIRECT(A1847))),"Valeur obligatoire non renseignée","")</f>
        <v/>
      </c>
    </row>
    <row r="1848" spans="1:13" x14ac:dyDescent="0.25">
      <c r="A1848" t="s">
        <v>4554</v>
      </c>
      <c r="B1848" cm="1">
        <f t="array" aca="1" ref="B1848" ca="1">INDIRECT(A1848)</f>
        <v>0</v>
      </c>
      <c r="C1848">
        <f t="shared" ca="1" si="112"/>
        <v>9</v>
      </c>
      <c r="D1848" t="str" cm="1">
        <f t="array" aca="1" ref="D1848" ca="1">CELL("nomfichier",INDIRECT(A1848))</f>
        <v>G:\SCPE\sdc\bq\6 - Mentions valorisantes\Certification environnementale\TEXTES_REGLEMENTATION_CE\Plans_contrôle et grilles\Grille audit niveau 3\Grille d'audit v1.11\[grille-audit-hvev4-v1.11-vf.xlsx]Irrigation</v>
      </c>
      <c r="E1848">
        <f t="shared" ca="1" si="113"/>
        <v>200</v>
      </c>
      <c r="F1848">
        <f t="shared" ca="1" si="114"/>
        <v>210</v>
      </c>
      <c r="G1848" t="str">
        <f t="shared" ca="1" si="115"/>
        <v>Irrigation</v>
      </c>
      <c r="H1848" cm="1">
        <f t="array" aca="1" ref="H1848" ca="1">ROW(INDIRECT(A1848))</f>
        <v>24</v>
      </c>
      <c r="I1848" cm="1">
        <f t="array" aca="1" ref="I1848" ca="1">COLUMN(INDIRECT(A1848))</f>
        <v>11</v>
      </c>
      <c r="M1848" t="str" cm="1">
        <f t="array" aca="1" ref="M1848" ca="1">IF(AND(J1848="O",ISBLANK(INDIRECT(A1848))),"Valeur obligatoire non renseignée","")</f>
        <v/>
      </c>
    </row>
    <row r="1849" spans="1:13" x14ac:dyDescent="0.25">
      <c r="A1849" t="s">
        <v>4555</v>
      </c>
      <c r="B1849" cm="1">
        <f t="array" aca="1" ref="B1849" ca="1">INDIRECT(A1849)</f>
        <v>0</v>
      </c>
      <c r="C1849">
        <f t="shared" ca="1" si="112"/>
        <v>9</v>
      </c>
      <c r="D1849" t="str" cm="1">
        <f t="array" aca="1" ref="D1849" ca="1">CELL("nomfichier",INDIRECT(A1849))</f>
        <v>G:\SCPE\sdc\bq\6 - Mentions valorisantes\Certification environnementale\TEXTES_REGLEMENTATION_CE\Plans_contrôle et grilles\Grille audit niveau 3\Grille d'audit v1.11\[grille-audit-hvev4-v1.11-vf.xlsx]Irrigation</v>
      </c>
      <c r="E1849">
        <f t="shared" ca="1" si="113"/>
        <v>200</v>
      </c>
      <c r="F1849">
        <f t="shared" ca="1" si="114"/>
        <v>210</v>
      </c>
      <c r="G1849" t="str">
        <f t="shared" ca="1" si="115"/>
        <v>Irrigation</v>
      </c>
      <c r="H1849" cm="1">
        <f t="array" aca="1" ref="H1849" ca="1">ROW(INDIRECT(A1849))</f>
        <v>26</v>
      </c>
      <c r="I1849" cm="1">
        <f t="array" aca="1" ref="I1849" ca="1">COLUMN(INDIRECT(A1849))</f>
        <v>11</v>
      </c>
      <c r="M1849" t="str" cm="1">
        <f t="array" aca="1" ref="M1849" ca="1">IF(AND(J1849="O",ISBLANK(INDIRECT(A1849))),"Valeur obligatoire non renseignée","")</f>
        <v/>
      </c>
    </row>
    <row r="1850" spans="1:13" x14ac:dyDescent="0.25">
      <c r="A1850" t="s">
        <v>4556</v>
      </c>
      <c r="B1850" cm="1">
        <f t="array" aca="1" ref="B1850" ca="1">INDIRECT(A1850)</f>
        <v>0</v>
      </c>
      <c r="C1850">
        <f t="shared" ca="1" si="112"/>
        <v>9</v>
      </c>
      <c r="D1850" t="str" cm="1">
        <f t="array" aca="1" ref="D1850" ca="1">CELL("nomfichier",INDIRECT(A1850))</f>
        <v>G:\SCPE\sdc\bq\6 - Mentions valorisantes\Certification environnementale\TEXTES_REGLEMENTATION_CE\Plans_contrôle et grilles\Grille audit niveau 3\Grille d'audit v1.11\[grille-audit-hvev4-v1.11-vf.xlsx]Irrigation</v>
      </c>
      <c r="E1850">
        <f t="shared" ca="1" si="113"/>
        <v>200</v>
      </c>
      <c r="F1850">
        <f t="shared" ca="1" si="114"/>
        <v>210</v>
      </c>
      <c r="G1850" t="str">
        <f t="shared" ca="1" si="115"/>
        <v>Irrigation</v>
      </c>
      <c r="H1850" cm="1">
        <f t="array" aca="1" ref="H1850" ca="1">ROW(INDIRECT(A1850))</f>
        <v>27</v>
      </c>
      <c r="I1850" cm="1">
        <f t="array" aca="1" ref="I1850" ca="1">COLUMN(INDIRECT(A1850))</f>
        <v>11</v>
      </c>
      <c r="M1850" t="str" cm="1">
        <f t="array" aca="1" ref="M1850" ca="1">IF(AND(J1850="O",ISBLANK(INDIRECT(A1850))),"Valeur obligatoire non renseignée","")</f>
        <v/>
      </c>
    </row>
    <row r="1851" spans="1:13" x14ac:dyDescent="0.25">
      <c r="A1851" t="s">
        <v>4557</v>
      </c>
      <c r="B1851" t="str" cm="1">
        <f t="array" aca="1" ref="B1851" ca="1">INDIRECT(A1851)</f>
        <v/>
      </c>
      <c r="C1851">
        <f t="shared" ca="1" si="112"/>
        <v>9</v>
      </c>
      <c r="D1851" t="str" cm="1">
        <f t="array" aca="1" ref="D1851" ca="1">CELL("nomfichier",INDIRECT(A1851))</f>
        <v>G:\SCPE\sdc\bq\6 - Mentions valorisantes\Certification environnementale\TEXTES_REGLEMENTATION_CE\Plans_contrôle et grilles\Grille audit niveau 3\Grille d'audit v1.11\[grille-audit-hvev4-v1.11-vf.xlsx]Irrigation</v>
      </c>
      <c r="E1851">
        <f t="shared" ca="1" si="113"/>
        <v>200</v>
      </c>
      <c r="F1851">
        <f t="shared" ca="1" si="114"/>
        <v>210</v>
      </c>
      <c r="G1851" t="str">
        <f t="shared" ca="1" si="115"/>
        <v>Irrigation</v>
      </c>
      <c r="H1851" cm="1">
        <f t="array" aca="1" ref="H1851" ca="1">ROW(INDIRECT(A1851))</f>
        <v>28</v>
      </c>
      <c r="I1851" cm="1">
        <f t="array" aca="1" ref="I1851" ca="1">COLUMN(INDIRECT(A1851))</f>
        <v>11</v>
      </c>
      <c r="M1851" t="str" cm="1">
        <f t="array" aca="1" ref="M1851" ca="1">IF(AND(J1851="O",ISBLANK(INDIRECT(A1851))),"Valeur obligatoire non renseignée","")</f>
        <v/>
      </c>
    </row>
    <row r="1852" spans="1:13" x14ac:dyDescent="0.25">
      <c r="A1852" t="s">
        <v>4558</v>
      </c>
      <c r="B1852" cm="1">
        <f t="array" aca="1" ref="B1852" ca="1">INDIRECT(A1852)</f>
        <v>0</v>
      </c>
      <c r="C1852">
        <f t="shared" ca="1" si="112"/>
        <v>9</v>
      </c>
      <c r="D1852" t="str" cm="1">
        <f t="array" aca="1" ref="D1852" ca="1">CELL("nomfichier",INDIRECT(A1852))</f>
        <v>G:\SCPE\sdc\bq\6 - Mentions valorisantes\Certification environnementale\TEXTES_REGLEMENTATION_CE\Plans_contrôle et grilles\Grille audit niveau 3\Grille d'audit v1.11\[grille-audit-hvev4-v1.11-vf.xlsx]Irrigation</v>
      </c>
      <c r="E1852">
        <f t="shared" ca="1" si="113"/>
        <v>200</v>
      </c>
      <c r="F1852">
        <f t="shared" ca="1" si="114"/>
        <v>210</v>
      </c>
      <c r="G1852" t="str">
        <f t="shared" ca="1" si="115"/>
        <v>Irrigation</v>
      </c>
      <c r="H1852" cm="1">
        <f t="array" aca="1" ref="H1852" ca="1">ROW(INDIRECT(A1852))</f>
        <v>31</v>
      </c>
      <c r="I1852" cm="1">
        <f t="array" aca="1" ref="I1852" ca="1">COLUMN(INDIRECT(A1852))</f>
        <v>11</v>
      </c>
      <c r="M1852" t="str" cm="1">
        <f t="array" aca="1" ref="M1852" ca="1">IF(AND(J1852="O",ISBLANK(INDIRECT(A1852))),"Valeur obligatoire non renseignée","")</f>
        <v/>
      </c>
    </row>
    <row r="1853" spans="1:13" x14ac:dyDescent="0.25">
      <c r="A1853" t="s">
        <v>4559</v>
      </c>
      <c r="B1853" cm="1">
        <f t="array" aca="1" ref="B1853" ca="1">INDIRECT(A1853)</f>
        <v>0</v>
      </c>
      <c r="C1853">
        <f t="shared" ca="1" si="112"/>
        <v>9</v>
      </c>
      <c r="D1853" t="str" cm="1">
        <f t="array" aca="1" ref="D1853" ca="1">CELL("nomfichier",INDIRECT(A1853))</f>
        <v>G:\SCPE\sdc\bq\6 - Mentions valorisantes\Certification environnementale\TEXTES_REGLEMENTATION_CE\Plans_contrôle et grilles\Grille audit niveau 3\Grille d'audit v1.11\[grille-audit-hvev4-v1.11-vf.xlsx]Irrigation</v>
      </c>
      <c r="E1853">
        <f t="shared" ca="1" si="113"/>
        <v>200</v>
      </c>
      <c r="F1853">
        <f t="shared" ca="1" si="114"/>
        <v>210</v>
      </c>
      <c r="G1853" t="str">
        <f t="shared" ca="1" si="115"/>
        <v>Irrigation</v>
      </c>
      <c r="H1853" cm="1">
        <f t="array" aca="1" ref="H1853" ca="1">ROW(INDIRECT(A1853))</f>
        <v>32</v>
      </c>
      <c r="I1853" cm="1">
        <f t="array" aca="1" ref="I1853" ca="1">COLUMN(INDIRECT(A1853))</f>
        <v>11</v>
      </c>
      <c r="M1853" t="str" cm="1">
        <f t="array" aca="1" ref="M1853" ca="1">IF(AND(J1853="O",ISBLANK(INDIRECT(A1853))),"Valeur obligatoire non renseignée","")</f>
        <v/>
      </c>
    </row>
    <row r="1854" spans="1:13" x14ac:dyDescent="0.25">
      <c r="A1854" t="s">
        <v>4788</v>
      </c>
      <c r="B1854" cm="1">
        <f t="array" aca="1" ref="B1854" ca="1">INDIRECT(A1854)</f>
        <v>0</v>
      </c>
      <c r="C1854">
        <f t="shared" ca="1" si="112"/>
        <v>9</v>
      </c>
      <c r="D1854" t="str" cm="1">
        <f t="array" aca="1" ref="D1854" ca="1">CELL("nomfichier",INDIRECT(A1854))</f>
        <v>G:\SCPE\sdc\bq\6 - Mentions valorisantes\Certification environnementale\TEXTES_REGLEMENTATION_CE\Plans_contrôle et grilles\Grille audit niveau 3\Grille d'audit v1.11\[grille-audit-hvev4-v1.11-vf.xlsx]Irrigation</v>
      </c>
      <c r="E1854">
        <f t="shared" ca="1" si="113"/>
        <v>200</v>
      </c>
      <c r="F1854">
        <f t="shared" ca="1" si="114"/>
        <v>210</v>
      </c>
      <c r="G1854" t="str">
        <f t="shared" ca="1" si="115"/>
        <v>Irrigation</v>
      </c>
      <c r="H1854" cm="1">
        <f t="array" aca="1" ref="H1854" ca="1">ROW(INDIRECT(A1854))</f>
        <v>33</v>
      </c>
      <c r="I1854" cm="1">
        <f t="array" aca="1" ref="I1854" ca="1">COLUMN(INDIRECT(A1854))</f>
        <v>11</v>
      </c>
      <c r="M1854" t="str" cm="1">
        <f t="array" aca="1" ref="M1854" ca="1">IF(AND(J1854="O",ISBLANK(INDIRECT(A1854))),"Valeur obligatoire non renseignée","")</f>
        <v/>
      </c>
    </row>
    <row r="1855" spans="1:13" x14ac:dyDescent="0.25">
      <c r="A1855" t="s">
        <v>4560</v>
      </c>
      <c r="B1855" cm="1">
        <f t="array" aca="1" ref="B1855" ca="1">INDIRECT(A1855)</f>
        <v>0</v>
      </c>
      <c r="C1855">
        <f t="shared" ca="1" si="112"/>
        <v>9</v>
      </c>
      <c r="D1855" t="str" cm="1">
        <f t="array" aca="1" ref="D1855" ca="1">CELL("nomfichier",INDIRECT(A1855))</f>
        <v>G:\SCPE\sdc\bq\6 - Mentions valorisantes\Certification environnementale\TEXTES_REGLEMENTATION_CE\Plans_contrôle et grilles\Grille audit niveau 3\Grille d'audit v1.11\[grille-audit-hvev4-v1.11-vf.xlsx]Irrigation</v>
      </c>
      <c r="E1855">
        <f t="shared" ca="1" si="113"/>
        <v>200</v>
      </c>
      <c r="F1855">
        <f t="shared" ca="1" si="114"/>
        <v>210</v>
      </c>
      <c r="G1855" t="str">
        <f t="shared" ca="1" si="115"/>
        <v>Irrigation</v>
      </c>
      <c r="H1855" cm="1">
        <f t="array" aca="1" ref="H1855" ca="1">ROW(INDIRECT(A1855))</f>
        <v>34</v>
      </c>
      <c r="I1855" cm="1">
        <f t="array" aca="1" ref="I1855" ca="1">COLUMN(INDIRECT(A1855))</f>
        <v>11</v>
      </c>
      <c r="M1855" t="str" cm="1">
        <f t="array" aca="1" ref="M1855" ca="1">IF(AND(J1855="O",ISBLANK(INDIRECT(A1855))),"Valeur obligatoire non renseignée","")</f>
        <v/>
      </c>
    </row>
    <row r="1856" spans="1:13" x14ac:dyDescent="0.25">
      <c r="A1856" t="s">
        <v>4561</v>
      </c>
      <c r="B1856" cm="1">
        <f t="array" aca="1" ref="B1856" ca="1">INDIRECT(A1856)</f>
        <v>0</v>
      </c>
      <c r="C1856">
        <f t="shared" ca="1" si="112"/>
        <v>9</v>
      </c>
      <c r="D1856" t="str" cm="1">
        <f t="array" aca="1" ref="D1856" ca="1">CELL("nomfichier",INDIRECT(A1856))</f>
        <v>G:\SCPE\sdc\bq\6 - Mentions valorisantes\Certification environnementale\TEXTES_REGLEMENTATION_CE\Plans_contrôle et grilles\Grille audit niveau 3\Grille d'audit v1.11\[grille-audit-hvev4-v1.11-vf.xlsx]Irrigation</v>
      </c>
      <c r="E1856">
        <f t="shared" ca="1" si="113"/>
        <v>200</v>
      </c>
      <c r="F1856">
        <f t="shared" ca="1" si="114"/>
        <v>210</v>
      </c>
      <c r="G1856" t="str">
        <f t="shared" ca="1" si="115"/>
        <v>Irrigation</v>
      </c>
      <c r="H1856" cm="1">
        <f t="array" aca="1" ref="H1856" ca="1">ROW(INDIRECT(A1856))</f>
        <v>35</v>
      </c>
      <c r="I1856" cm="1">
        <f t="array" aca="1" ref="I1856" ca="1">COLUMN(INDIRECT(A1856))</f>
        <v>11</v>
      </c>
      <c r="M1856" t="str" cm="1">
        <f t="array" aca="1" ref="M1856" ca="1">IF(AND(J1856="O",ISBLANK(INDIRECT(A1856))),"Valeur obligatoire non renseignée","")</f>
        <v/>
      </c>
    </row>
    <row r="1857" spans="1:13" x14ac:dyDescent="0.25">
      <c r="A1857" t="s">
        <v>4562</v>
      </c>
      <c r="B1857" cm="1">
        <f t="array" aca="1" ref="B1857" ca="1">INDIRECT(A1857)</f>
        <v>0</v>
      </c>
      <c r="C1857">
        <f t="shared" ca="1" si="112"/>
        <v>9</v>
      </c>
      <c r="D1857" t="str" cm="1">
        <f t="array" aca="1" ref="D1857" ca="1">CELL("nomfichier",INDIRECT(A1857))</f>
        <v>G:\SCPE\sdc\bq\6 - Mentions valorisantes\Certification environnementale\TEXTES_REGLEMENTATION_CE\Plans_contrôle et grilles\Grille audit niveau 3\Grille d'audit v1.11\[grille-audit-hvev4-v1.11-vf.xlsx]Irrigation</v>
      </c>
      <c r="E1857">
        <f t="shared" ca="1" si="113"/>
        <v>200</v>
      </c>
      <c r="F1857">
        <f t="shared" ca="1" si="114"/>
        <v>210</v>
      </c>
      <c r="G1857" t="str">
        <f t="shared" ca="1" si="115"/>
        <v>Irrigation</v>
      </c>
      <c r="H1857" cm="1">
        <f t="array" aca="1" ref="H1857" ca="1">ROW(INDIRECT(A1857))</f>
        <v>36</v>
      </c>
      <c r="I1857" cm="1">
        <f t="array" aca="1" ref="I1857" ca="1">COLUMN(INDIRECT(A1857))</f>
        <v>11</v>
      </c>
      <c r="M1857" t="str" cm="1">
        <f t="array" aca="1" ref="M1857" ca="1">IF(AND(J1857="O",ISBLANK(INDIRECT(A1857))),"Valeur obligatoire non renseignée","")</f>
        <v/>
      </c>
    </row>
    <row r="1858" spans="1:13" x14ac:dyDescent="0.25">
      <c r="A1858" t="s">
        <v>4563</v>
      </c>
      <c r="B1858" cm="1">
        <f t="array" aca="1" ref="B1858" ca="1">INDIRECT(A1858)</f>
        <v>0</v>
      </c>
      <c r="C1858">
        <f t="shared" ref="C1858:C1921" ca="1" si="116">_xlfn.SHEET(INDIRECT(A1858))</f>
        <v>9</v>
      </c>
      <c r="D1858" t="str" cm="1">
        <f t="array" aca="1" ref="D1858" ca="1">CELL("nomfichier",INDIRECT(A1858))</f>
        <v>G:\SCPE\sdc\bq\6 - Mentions valorisantes\Certification environnementale\TEXTES_REGLEMENTATION_CE\Plans_contrôle et grilles\Grille audit niveau 3\Grille d'audit v1.11\[grille-audit-hvev4-v1.11-vf.xlsx]Irrigation</v>
      </c>
      <c r="E1858">
        <f t="shared" ref="E1858:E1921" ca="1" si="117">FIND("]",D1858)</f>
        <v>200</v>
      </c>
      <c r="F1858">
        <f t="shared" ref="F1858:F1921" ca="1" si="118">LEN(D1858)</f>
        <v>210</v>
      </c>
      <c r="G1858" t="str">
        <f t="shared" ref="G1858:G1921" ca="1" si="119">RIGHT(D1858,F1858-E1858)</f>
        <v>Irrigation</v>
      </c>
      <c r="H1858" cm="1">
        <f t="array" aca="1" ref="H1858" ca="1">ROW(INDIRECT(A1858))</f>
        <v>37</v>
      </c>
      <c r="I1858" cm="1">
        <f t="array" aca="1" ref="I1858" ca="1">COLUMN(INDIRECT(A1858))</f>
        <v>11</v>
      </c>
      <c r="M1858" t="str" cm="1">
        <f t="array" aca="1" ref="M1858" ca="1">IF(AND(J1858="O",ISBLANK(INDIRECT(A1858))),"Valeur obligatoire non renseignée","")</f>
        <v/>
      </c>
    </row>
    <row r="1859" spans="1:13" x14ac:dyDescent="0.25">
      <c r="A1859" t="s">
        <v>4564</v>
      </c>
      <c r="B1859" cm="1">
        <f t="array" aca="1" ref="B1859" ca="1">INDIRECT(A1859)</f>
        <v>0</v>
      </c>
      <c r="C1859">
        <f t="shared" ca="1" si="116"/>
        <v>9</v>
      </c>
      <c r="D1859" t="str" cm="1">
        <f t="array" aca="1" ref="D1859" ca="1">CELL("nomfichier",INDIRECT(A1859))</f>
        <v>G:\SCPE\sdc\bq\6 - Mentions valorisantes\Certification environnementale\TEXTES_REGLEMENTATION_CE\Plans_contrôle et grilles\Grille audit niveau 3\Grille d'audit v1.11\[grille-audit-hvev4-v1.11-vf.xlsx]Irrigation</v>
      </c>
      <c r="E1859">
        <f t="shared" ca="1" si="117"/>
        <v>200</v>
      </c>
      <c r="F1859">
        <f t="shared" ca="1" si="118"/>
        <v>210</v>
      </c>
      <c r="G1859" t="str">
        <f t="shared" ca="1" si="119"/>
        <v>Irrigation</v>
      </c>
      <c r="H1859" cm="1">
        <f t="array" aca="1" ref="H1859" ca="1">ROW(INDIRECT(A1859))</f>
        <v>40</v>
      </c>
      <c r="I1859" cm="1">
        <f t="array" aca="1" ref="I1859" ca="1">COLUMN(INDIRECT(A1859))</f>
        <v>11</v>
      </c>
      <c r="M1859" t="str" cm="1">
        <f t="array" aca="1" ref="M1859" ca="1">IF(AND(J1859="O",ISBLANK(INDIRECT(A1859))),"Valeur obligatoire non renseignée","")</f>
        <v/>
      </c>
    </row>
    <row r="1860" spans="1:13" x14ac:dyDescent="0.25">
      <c r="A1860" t="s">
        <v>4565</v>
      </c>
      <c r="B1860" cm="1">
        <f t="array" aca="1" ref="B1860" ca="1">INDIRECT(A1860)</f>
        <v>0</v>
      </c>
      <c r="C1860">
        <f t="shared" ca="1" si="116"/>
        <v>9</v>
      </c>
      <c r="D1860" t="str" cm="1">
        <f t="array" aca="1" ref="D1860" ca="1">CELL("nomfichier",INDIRECT(A1860))</f>
        <v>G:\SCPE\sdc\bq\6 - Mentions valorisantes\Certification environnementale\TEXTES_REGLEMENTATION_CE\Plans_contrôle et grilles\Grille audit niveau 3\Grille d'audit v1.11\[grille-audit-hvev4-v1.11-vf.xlsx]Irrigation</v>
      </c>
      <c r="E1860">
        <f t="shared" ca="1" si="117"/>
        <v>200</v>
      </c>
      <c r="F1860">
        <f t="shared" ca="1" si="118"/>
        <v>210</v>
      </c>
      <c r="G1860" t="str">
        <f t="shared" ca="1" si="119"/>
        <v>Irrigation</v>
      </c>
      <c r="H1860" cm="1">
        <f t="array" aca="1" ref="H1860" ca="1">ROW(INDIRECT(A1860))</f>
        <v>41</v>
      </c>
      <c r="I1860" cm="1">
        <f t="array" aca="1" ref="I1860" ca="1">COLUMN(INDIRECT(A1860))</f>
        <v>11</v>
      </c>
      <c r="M1860" t="str" cm="1">
        <f t="array" aca="1" ref="M1860" ca="1">IF(AND(J1860="O",ISBLANK(INDIRECT(A1860))),"Valeur obligatoire non renseignée","")</f>
        <v/>
      </c>
    </row>
    <row r="1861" spans="1:13" x14ac:dyDescent="0.25">
      <c r="A1861" t="s">
        <v>4566</v>
      </c>
      <c r="B1861" cm="1">
        <f t="array" aca="1" ref="B1861" ca="1">INDIRECT(A1861)</f>
        <v>0</v>
      </c>
      <c r="C1861">
        <f t="shared" ca="1" si="116"/>
        <v>9</v>
      </c>
      <c r="D1861" t="str" cm="1">
        <f t="array" aca="1" ref="D1861" ca="1">CELL("nomfichier",INDIRECT(A1861))</f>
        <v>G:\SCPE\sdc\bq\6 - Mentions valorisantes\Certification environnementale\TEXTES_REGLEMENTATION_CE\Plans_contrôle et grilles\Grille audit niveau 3\Grille d'audit v1.11\[grille-audit-hvev4-v1.11-vf.xlsx]Irrigation</v>
      </c>
      <c r="E1861">
        <f t="shared" ca="1" si="117"/>
        <v>200</v>
      </c>
      <c r="F1861">
        <f t="shared" ca="1" si="118"/>
        <v>210</v>
      </c>
      <c r="G1861" t="str">
        <f t="shared" ca="1" si="119"/>
        <v>Irrigation</v>
      </c>
      <c r="H1861" cm="1">
        <f t="array" aca="1" ref="H1861" ca="1">ROW(INDIRECT(A1861))</f>
        <v>42</v>
      </c>
      <c r="I1861" cm="1">
        <f t="array" aca="1" ref="I1861" ca="1">COLUMN(INDIRECT(A1861))</f>
        <v>11</v>
      </c>
      <c r="M1861" t="str" cm="1">
        <f t="array" aca="1" ref="M1861" ca="1">IF(AND(J1861="O",ISBLANK(INDIRECT(A1861))),"Valeur obligatoire non renseignée","")</f>
        <v/>
      </c>
    </row>
    <row r="1862" spans="1:13" x14ac:dyDescent="0.25">
      <c r="A1862" t="s">
        <v>4567</v>
      </c>
      <c r="B1862" cm="1">
        <f t="array" aca="1" ref="B1862" ca="1">INDIRECT(A1862)</f>
        <v>0</v>
      </c>
      <c r="C1862">
        <f t="shared" ca="1" si="116"/>
        <v>9</v>
      </c>
      <c r="D1862" t="str" cm="1">
        <f t="array" aca="1" ref="D1862" ca="1">CELL("nomfichier",INDIRECT(A1862))</f>
        <v>G:\SCPE\sdc\bq\6 - Mentions valorisantes\Certification environnementale\TEXTES_REGLEMENTATION_CE\Plans_contrôle et grilles\Grille audit niveau 3\Grille d'audit v1.11\[grille-audit-hvev4-v1.11-vf.xlsx]Irrigation</v>
      </c>
      <c r="E1862">
        <f t="shared" ca="1" si="117"/>
        <v>200</v>
      </c>
      <c r="F1862">
        <f t="shared" ca="1" si="118"/>
        <v>210</v>
      </c>
      <c r="G1862" t="str">
        <f t="shared" ca="1" si="119"/>
        <v>Irrigation</v>
      </c>
      <c r="H1862" cm="1">
        <f t="array" aca="1" ref="H1862" ca="1">ROW(INDIRECT(A1862))</f>
        <v>43</v>
      </c>
      <c r="I1862" cm="1">
        <f t="array" aca="1" ref="I1862" ca="1">COLUMN(INDIRECT(A1862))</f>
        <v>11</v>
      </c>
      <c r="M1862" t="str" cm="1">
        <f t="array" aca="1" ref="M1862" ca="1">IF(AND(J1862="O",ISBLANK(INDIRECT(A1862))),"Valeur obligatoire non renseignée","")</f>
        <v/>
      </c>
    </row>
    <row r="1863" spans="1:13" x14ac:dyDescent="0.25">
      <c r="A1863" t="s">
        <v>4568</v>
      </c>
      <c r="B1863" cm="1">
        <f t="array" aca="1" ref="B1863" ca="1">INDIRECT(A1863)</f>
        <v>0</v>
      </c>
      <c r="C1863">
        <f t="shared" ca="1" si="116"/>
        <v>9</v>
      </c>
      <c r="D1863" t="str" cm="1">
        <f t="array" aca="1" ref="D1863" ca="1">CELL("nomfichier",INDIRECT(A1863))</f>
        <v>G:\SCPE\sdc\bq\6 - Mentions valorisantes\Certification environnementale\TEXTES_REGLEMENTATION_CE\Plans_contrôle et grilles\Grille audit niveau 3\Grille d'audit v1.11\[grille-audit-hvev4-v1.11-vf.xlsx]Irrigation</v>
      </c>
      <c r="E1863">
        <f t="shared" ca="1" si="117"/>
        <v>200</v>
      </c>
      <c r="F1863">
        <f t="shared" ca="1" si="118"/>
        <v>210</v>
      </c>
      <c r="G1863" t="str">
        <f t="shared" ca="1" si="119"/>
        <v>Irrigation</v>
      </c>
      <c r="H1863" cm="1">
        <f t="array" aca="1" ref="H1863" ca="1">ROW(INDIRECT(A1863))</f>
        <v>44</v>
      </c>
      <c r="I1863" cm="1">
        <f t="array" aca="1" ref="I1863" ca="1">COLUMN(INDIRECT(A1863))</f>
        <v>11</v>
      </c>
      <c r="M1863" t="str" cm="1">
        <f t="array" aca="1" ref="M1863" ca="1">IF(AND(J1863="O",ISBLANK(INDIRECT(A1863))),"Valeur obligatoire non renseignée","")</f>
        <v/>
      </c>
    </row>
    <row r="1864" spans="1:13" x14ac:dyDescent="0.25">
      <c r="A1864" t="s">
        <v>4569</v>
      </c>
      <c r="B1864" t="str" cm="1">
        <f t="array" aca="1" ref="B1864" ca="1">INDIRECT(A1864)</f>
        <v/>
      </c>
      <c r="C1864">
        <f t="shared" ca="1" si="116"/>
        <v>9</v>
      </c>
      <c r="D1864" t="str" cm="1">
        <f t="array" aca="1" ref="D1864" ca="1">CELL("nomfichier",INDIRECT(A1864))</f>
        <v>G:\SCPE\sdc\bq\6 - Mentions valorisantes\Certification environnementale\TEXTES_REGLEMENTATION_CE\Plans_contrôle et grilles\Grille audit niveau 3\Grille d'audit v1.11\[grille-audit-hvev4-v1.11-vf.xlsx]Irrigation</v>
      </c>
      <c r="E1864">
        <f t="shared" ca="1" si="117"/>
        <v>200</v>
      </c>
      <c r="F1864">
        <f t="shared" ca="1" si="118"/>
        <v>210</v>
      </c>
      <c r="G1864" t="str">
        <f t="shared" ca="1" si="119"/>
        <v>Irrigation</v>
      </c>
      <c r="H1864" cm="1">
        <f t="array" aca="1" ref="H1864" ca="1">ROW(INDIRECT(A1864))</f>
        <v>46</v>
      </c>
      <c r="I1864" cm="1">
        <f t="array" aca="1" ref="I1864" ca="1">COLUMN(INDIRECT(A1864))</f>
        <v>11</v>
      </c>
      <c r="M1864" t="str" cm="1">
        <f t="array" aca="1" ref="M1864" ca="1">IF(AND(J1864="O",ISBLANK(INDIRECT(A1864))),"Valeur obligatoire non renseignée","")</f>
        <v/>
      </c>
    </row>
    <row r="1865" spans="1:13" x14ac:dyDescent="0.25">
      <c r="A1865" t="s">
        <v>4570</v>
      </c>
      <c r="B1865" cm="1">
        <f t="array" aca="1" ref="B1865" ca="1">INDIRECT(A1865)</f>
        <v>0</v>
      </c>
      <c r="C1865">
        <f t="shared" ca="1" si="116"/>
        <v>9</v>
      </c>
      <c r="D1865" t="str" cm="1">
        <f t="array" aca="1" ref="D1865" ca="1">CELL("nomfichier",INDIRECT(A1865))</f>
        <v>G:\SCPE\sdc\bq\6 - Mentions valorisantes\Certification environnementale\TEXTES_REGLEMENTATION_CE\Plans_contrôle et grilles\Grille audit niveau 3\Grille d'audit v1.11\[grille-audit-hvev4-v1.11-vf.xlsx]Irrigation</v>
      </c>
      <c r="E1865">
        <f t="shared" ca="1" si="117"/>
        <v>200</v>
      </c>
      <c r="F1865">
        <f t="shared" ca="1" si="118"/>
        <v>210</v>
      </c>
      <c r="G1865" t="str">
        <f t="shared" ca="1" si="119"/>
        <v>Irrigation</v>
      </c>
      <c r="H1865" cm="1">
        <f t="array" aca="1" ref="H1865" ca="1">ROW(INDIRECT(A1865))</f>
        <v>51</v>
      </c>
      <c r="I1865" cm="1">
        <f t="array" aca="1" ref="I1865" ca="1">COLUMN(INDIRECT(A1865))</f>
        <v>11</v>
      </c>
      <c r="M1865" t="str" cm="1">
        <f t="array" aca="1" ref="M1865" ca="1">IF(AND(J1865="O",ISBLANK(INDIRECT(A1865))),"Valeur obligatoire non renseignée","")</f>
        <v/>
      </c>
    </row>
    <row r="1866" spans="1:13" x14ac:dyDescent="0.25">
      <c r="A1866" t="s">
        <v>4571</v>
      </c>
      <c r="B1866" cm="1">
        <f t="array" aca="1" ref="B1866" ca="1">INDIRECT(A1866)</f>
        <v>0</v>
      </c>
      <c r="C1866">
        <f t="shared" ca="1" si="116"/>
        <v>9</v>
      </c>
      <c r="D1866" t="str" cm="1">
        <f t="array" aca="1" ref="D1866" ca="1">CELL("nomfichier",INDIRECT(A1866))</f>
        <v>G:\SCPE\sdc\bq\6 - Mentions valorisantes\Certification environnementale\TEXTES_REGLEMENTATION_CE\Plans_contrôle et grilles\Grille audit niveau 3\Grille d'audit v1.11\[grille-audit-hvev4-v1.11-vf.xlsx]Irrigation</v>
      </c>
      <c r="E1866">
        <f t="shared" ca="1" si="117"/>
        <v>200</v>
      </c>
      <c r="F1866">
        <f t="shared" ca="1" si="118"/>
        <v>210</v>
      </c>
      <c r="G1866" t="str">
        <f t="shared" ca="1" si="119"/>
        <v>Irrigation</v>
      </c>
      <c r="H1866" cm="1">
        <f t="array" aca="1" ref="H1866" ca="1">ROW(INDIRECT(A1866))</f>
        <v>51</v>
      </c>
      <c r="I1866" cm="1">
        <f t="array" aca="1" ref="I1866" ca="1">COLUMN(INDIRECT(A1866))</f>
        <v>13</v>
      </c>
      <c r="M1866" t="str" cm="1">
        <f t="array" aca="1" ref="M1866" ca="1">IF(AND(J1866="O",ISBLANK(INDIRECT(A1866))),"Valeur obligatoire non renseignée","")</f>
        <v/>
      </c>
    </row>
    <row r="1867" spans="1:13" x14ac:dyDescent="0.25">
      <c r="A1867" t="s">
        <v>4572</v>
      </c>
      <c r="B1867" cm="1">
        <f t="array" aca="1" ref="B1867" ca="1">INDIRECT(A1867)</f>
        <v>6</v>
      </c>
      <c r="C1867">
        <f t="shared" ca="1" si="116"/>
        <v>9</v>
      </c>
      <c r="D1867" t="str" cm="1">
        <f t="array" aca="1" ref="D1867" ca="1">CELL("nomfichier",INDIRECT(A1867))</f>
        <v>G:\SCPE\sdc\bq\6 - Mentions valorisantes\Certification environnementale\TEXTES_REGLEMENTATION_CE\Plans_contrôle et grilles\Grille audit niveau 3\Grille d'audit v1.11\[grille-audit-hvev4-v1.11-vf.xlsx]Irrigation</v>
      </c>
      <c r="E1867">
        <f t="shared" ca="1" si="117"/>
        <v>200</v>
      </c>
      <c r="F1867">
        <f t="shared" ca="1" si="118"/>
        <v>210</v>
      </c>
      <c r="G1867" t="str">
        <f t="shared" ca="1" si="119"/>
        <v>Irrigation</v>
      </c>
      <c r="H1867" cm="1">
        <f t="array" aca="1" ref="H1867" ca="1">ROW(INDIRECT(A1867))</f>
        <v>51</v>
      </c>
      <c r="I1867" cm="1">
        <f t="array" aca="1" ref="I1867" ca="1">COLUMN(INDIRECT(A1867))</f>
        <v>23</v>
      </c>
      <c r="M1867" t="str" cm="1">
        <f t="array" aca="1" ref="M1867" ca="1">IF(AND(J1867="O",ISBLANK(INDIRECT(A1867))),"Valeur obligatoire non renseignée","")</f>
        <v/>
      </c>
    </row>
    <row r="1868" spans="1:13" x14ac:dyDescent="0.25">
      <c r="A1868" t="s">
        <v>4789</v>
      </c>
      <c r="B1868" cm="1">
        <f t="array" aca="1" ref="B1868" ca="1">INDIRECT(A1868)</f>
        <v>0</v>
      </c>
      <c r="C1868">
        <f t="shared" ca="1" si="116"/>
        <v>9</v>
      </c>
      <c r="D1868" t="str" cm="1">
        <f t="array" aca="1" ref="D1868" ca="1">CELL("nomfichier",INDIRECT(A1868))</f>
        <v>G:\SCPE\sdc\bq\6 - Mentions valorisantes\Certification environnementale\TEXTES_REGLEMENTATION_CE\Plans_contrôle et grilles\Grille audit niveau 3\Grille d'audit v1.11\[grille-audit-hvev4-v1.11-vf.xlsx]Irrigation</v>
      </c>
      <c r="E1868">
        <f t="shared" ca="1" si="117"/>
        <v>200</v>
      </c>
      <c r="F1868">
        <f t="shared" ca="1" si="118"/>
        <v>210</v>
      </c>
      <c r="G1868" t="str">
        <f t="shared" ca="1" si="119"/>
        <v>Irrigation</v>
      </c>
      <c r="H1868" cm="1">
        <f t="array" aca="1" ref="H1868" ca="1">ROW(INDIRECT(A1868))</f>
        <v>76</v>
      </c>
      <c r="I1868" cm="1">
        <f t="array" aca="1" ref="I1868" ca="1">COLUMN(INDIRECT(A1868))</f>
        <v>13</v>
      </c>
      <c r="M1868" t="str" cm="1">
        <f t="array" aca="1" ref="M1868" ca="1">IF(AND(J1868="O",ISBLANK(INDIRECT(A1868))),"Valeur obligatoire non renseignée","")</f>
        <v/>
      </c>
    </row>
    <row r="1869" spans="1:13" x14ac:dyDescent="0.25">
      <c r="A1869" t="s">
        <v>4790</v>
      </c>
      <c r="B1869" cm="1">
        <f t="array" aca="1" ref="B1869" ca="1">INDIRECT(A1869)</f>
        <v>0</v>
      </c>
      <c r="C1869">
        <f t="shared" ca="1" si="116"/>
        <v>9</v>
      </c>
      <c r="D1869" t="str" cm="1">
        <f t="array" aca="1" ref="D1869" ca="1">CELL("nomfichier",INDIRECT(A1869))</f>
        <v>G:\SCPE\sdc\bq\6 - Mentions valorisantes\Certification environnementale\TEXTES_REGLEMENTATION_CE\Plans_contrôle et grilles\Grille audit niveau 3\Grille d'audit v1.11\[grille-audit-hvev4-v1.11-vf.xlsx]Irrigation</v>
      </c>
      <c r="E1869">
        <f t="shared" ca="1" si="117"/>
        <v>200</v>
      </c>
      <c r="F1869">
        <f t="shared" ca="1" si="118"/>
        <v>210</v>
      </c>
      <c r="G1869" t="str">
        <f t="shared" ca="1" si="119"/>
        <v>Irrigation</v>
      </c>
      <c r="H1869" cm="1">
        <f t="array" aca="1" ref="H1869" ca="1">ROW(INDIRECT(A1869))</f>
        <v>77</v>
      </c>
      <c r="I1869" cm="1">
        <f t="array" aca="1" ref="I1869" ca="1">COLUMN(INDIRECT(A1869))</f>
        <v>13</v>
      </c>
      <c r="M1869" t="str" cm="1">
        <f t="array" aca="1" ref="M1869" ca="1">IF(AND(J1869="O",ISBLANK(INDIRECT(A1869))),"Valeur obligatoire non renseignée","")</f>
        <v/>
      </c>
    </row>
    <row r="1870" spans="1:13" x14ac:dyDescent="0.25">
      <c r="A1870" t="s">
        <v>4573</v>
      </c>
      <c r="B1870" cm="1">
        <f t="array" aca="1" ref="B1870" ca="1">INDIRECT(A1870)</f>
        <v>0</v>
      </c>
      <c r="C1870">
        <f t="shared" ca="1" si="116"/>
        <v>9</v>
      </c>
      <c r="D1870" t="str" cm="1">
        <f t="array" aca="1" ref="D1870" ca="1">CELL("nomfichier",INDIRECT(A1870))</f>
        <v>G:\SCPE\sdc\bq\6 - Mentions valorisantes\Certification environnementale\TEXTES_REGLEMENTATION_CE\Plans_contrôle et grilles\Grille audit niveau 3\Grille d'audit v1.11\[grille-audit-hvev4-v1.11-vf.xlsx]Irrigation</v>
      </c>
      <c r="E1870">
        <f t="shared" ca="1" si="117"/>
        <v>200</v>
      </c>
      <c r="F1870">
        <f t="shared" ca="1" si="118"/>
        <v>210</v>
      </c>
      <c r="G1870" t="str">
        <f t="shared" ca="1" si="119"/>
        <v>Irrigation</v>
      </c>
      <c r="H1870" cm="1">
        <f t="array" aca="1" ref="H1870" ca="1">ROW(INDIRECT(A1870))</f>
        <v>78</v>
      </c>
      <c r="I1870" cm="1">
        <f t="array" aca="1" ref="I1870" ca="1">COLUMN(INDIRECT(A1870))</f>
        <v>13</v>
      </c>
      <c r="M1870" t="str" cm="1">
        <f t="array" aca="1" ref="M1870" ca="1">IF(AND(J1870="O",ISBLANK(INDIRECT(A1870))),"Valeur obligatoire non renseignée","")</f>
        <v/>
      </c>
    </row>
    <row r="1871" spans="1:13" x14ac:dyDescent="0.25">
      <c r="A1871" t="s">
        <v>4574</v>
      </c>
      <c r="B1871" cm="1">
        <f t="array" aca="1" ref="B1871" ca="1">INDIRECT(A1871)</f>
        <v>0</v>
      </c>
      <c r="C1871">
        <f t="shared" ca="1" si="116"/>
        <v>9</v>
      </c>
      <c r="D1871" t="str" cm="1">
        <f t="array" aca="1" ref="D1871" ca="1">CELL("nomfichier",INDIRECT(A1871))</f>
        <v>G:\SCPE\sdc\bq\6 - Mentions valorisantes\Certification environnementale\TEXTES_REGLEMENTATION_CE\Plans_contrôle et grilles\Grille audit niveau 3\Grille d'audit v1.11\[grille-audit-hvev4-v1.11-vf.xlsx]Irrigation</v>
      </c>
      <c r="E1871">
        <f t="shared" ca="1" si="117"/>
        <v>200</v>
      </c>
      <c r="F1871">
        <f t="shared" ca="1" si="118"/>
        <v>210</v>
      </c>
      <c r="G1871" t="str">
        <f t="shared" ca="1" si="119"/>
        <v>Irrigation</v>
      </c>
      <c r="H1871" cm="1">
        <f t="array" aca="1" ref="H1871" ca="1">ROW(INDIRECT(A1871))</f>
        <v>80</v>
      </c>
      <c r="I1871" cm="1">
        <f t="array" aca="1" ref="I1871" ca="1">COLUMN(INDIRECT(A1871))</f>
        <v>15</v>
      </c>
      <c r="M1871" t="str" cm="1">
        <f t="array" aca="1" ref="M1871" ca="1">IF(AND(J1871="O",ISBLANK(INDIRECT(A1871))),"Valeur obligatoire non renseignée","")</f>
        <v/>
      </c>
    </row>
    <row r="1872" spans="1:13" x14ac:dyDescent="0.25">
      <c r="A1872" t="s">
        <v>4575</v>
      </c>
      <c r="B1872" cm="1">
        <f t="array" aca="1" ref="B1872" ca="1">INDIRECT(A1872)</f>
        <v>0</v>
      </c>
      <c r="C1872">
        <f t="shared" ca="1" si="116"/>
        <v>9</v>
      </c>
      <c r="D1872" t="str" cm="1">
        <f t="array" aca="1" ref="D1872" ca="1">CELL("nomfichier",INDIRECT(A1872))</f>
        <v>G:\SCPE\sdc\bq\6 - Mentions valorisantes\Certification environnementale\TEXTES_REGLEMENTATION_CE\Plans_contrôle et grilles\Grille audit niveau 3\Grille d'audit v1.11\[grille-audit-hvev4-v1.11-vf.xlsx]Irrigation</v>
      </c>
      <c r="E1872">
        <f t="shared" ca="1" si="117"/>
        <v>200</v>
      </c>
      <c r="F1872">
        <f t="shared" ca="1" si="118"/>
        <v>210</v>
      </c>
      <c r="G1872" t="str">
        <f t="shared" ca="1" si="119"/>
        <v>Irrigation</v>
      </c>
      <c r="H1872" cm="1">
        <f t="array" aca="1" ref="H1872" ca="1">ROW(INDIRECT(A1872))</f>
        <v>84</v>
      </c>
      <c r="I1872" cm="1">
        <f t="array" aca="1" ref="I1872" ca="1">COLUMN(INDIRECT(A1872))</f>
        <v>13</v>
      </c>
      <c r="M1872" t="str" cm="1">
        <f t="array" aca="1" ref="M1872" ca="1">IF(AND(J1872="O",ISBLANK(INDIRECT(A1872))),"Valeur obligatoire non renseignée","")</f>
        <v/>
      </c>
    </row>
    <row r="1873" spans="1:13" x14ac:dyDescent="0.25">
      <c r="A1873" t="s">
        <v>4576</v>
      </c>
      <c r="B1873" cm="1">
        <f t="array" aca="1" ref="B1873" ca="1">INDIRECT(A1873)</f>
        <v>0</v>
      </c>
      <c r="C1873">
        <f t="shared" ca="1" si="116"/>
        <v>9</v>
      </c>
      <c r="D1873" t="str" cm="1">
        <f t="array" aca="1" ref="D1873" ca="1">CELL("nomfichier",INDIRECT(A1873))</f>
        <v>G:\SCPE\sdc\bq\6 - Mentions valorisantes\Certification environnementale\TEXTES_REGLEMENTATION_CE\Plans_contrôle et grilles\Grille audit niveau 3\Grille d'audit v1.11\[grille-audit-hvev4-v1.11-vf.xlsx]Irrigation</v>
      </c>
      <c r="E1873">
        <f t="shared" ca="1" si="117"/>
        <v>200</v>
      </c>
      <c r="F1873">
        <f t="shared" ca="1" si="118"/>
        <v>210</v>
      </c>
      <c r="G1873" t="str">
        <f t="shared" ca="1" si="119"/>
        <v>Irrigation</v>
      </c>
      <c r="H1873" cm="1">
        <f t="array" aca="1" ref="H1873" ca="1">ROW(INDIRECT(A1873))</f>
        <v>85</v>
      </c>
      <c r="I1873" cm="1">
        <f t="array" aca="1" ref="I1873" ca="1">COLUMN(INDIRECT(A1873))</f>
        <v>13</v>
      </c>
      <c r="M1873" t="str" cm="1">
        <f t="array" aca="1" ref="M1873" ca="1">IF(AND(J1873="O",ISBLANK(INDIRECT(A1873))),"Valeur obligatoire non renseignée","")</f>
        <v/>
      </c>
    </row>
    <row r="1874" spans="1:13" x14ac:dyDescent="0.25">
      <c r="A1874" t="s">
        <v>4577</v>
      </c>
      <c r="B1874" cm="1">
        <f t="array" aca="1" ref="B1874" ca="1">INDIRECT(A1874)</f>
        <v>0</v>
      </c>
      <c r="C1874">
        <f t="shared" ca="1" si="116"/>
        <v>9</v>
      </c>
      <c r="D1874" t="str" cm="1">
        <f t="array" aca="1" ref="D1874" ca="1">CELL("nomfichier",INDIRECT(A1874))</f>
        <v>G:\SCPE\sdc\bq\6 - Mentions valorisantes\Certification environnementale\TEXTES_REGLEMENTATION_CE\Plans_contrôle et grilles\Grille audit niveau 3\Grille d'audit v1.11\[grille-audit-hvev4-v1.11-vf.xlsx]Irrigation</v>
      </c>
      <c r="E1874">
        <f t="shared" ca="1" si="117"/>
        <v>200</v>
      </c>
      <c r="F1874">
        <f t="shared" ca="1" si="118"/>
        <v>210</v>
      </c>
      <c r="G1874" t="str">
        <f t="shared" ca="1" si="119"/>
        <v>Irrigation</v>
      </c>
      <c r="H1874" cm="1">
        <f t="array" aca="1" ref="H1874" ca="1">ROW(INDIRECT(A1874))</f>
        <v>87</v>
      </c>
      <c r="I1874" cm="1">
        <f t="array" aca="1" ref="I1874" ca="1">COLUMN(INDIRECT(A1874))</f>
        <v>15</v>
      </c>
      <c r="M1874" t="str" cm="1">
        <f t="array" aca="1" ref="M1874" ca="1">IF(AND(J1874="O",ISBLANK(INDIRECT(A1874))),"Valeur obligatoire non renseignée","")</f>
        <v/>
      </c>
    </row>
    <row r="1875" spans="1:13" x14ac:dyDescent="0.25">
      <c r="A1875" t="s">
        <v>4578</v>
      </c>
      <c r="B1875" cm="1">
        <f t="array" aca="1" ref="B1875" ca="1">INDIRECT(A1875)</f>
        <v>0</v>
      </c>
      <c r="C1875">
        <f t="shared" ca="1" si="116"/>
        <v>9</v>
      </c>
      <c r="D1875" t="str" cm="1">
        <f t="array" aca="1" ref="D1875" ca="1">CELL("nomfichier",INDIRECT(A1875))</f>
        <v>G:\SCPE\sdc\bq\6 - Mentions valorisantes\Certification environnementale\TEXTES_REGLEMENTATION_CE\Plans_contrôle et grilles\Grille audit niveau 3\Grille d'audit v1.11\[grille-audit-hvev4-v1.11-vf.xlsx]Irrigation</v>
      </c>
      <c r="E1875">
        <f t="shared" ca="1" si="117"/>
        <v>200</v>
      </c>
      <c r="F1875">
        <f t="shared" ca="1" si="118"/>
        <v>210</v>
      </c>
      <c r="G1875" t="str">
        <f t="shared" ca="1" si="119"/>
        <v>Irrigation</v>
      </c>
      <c r="H1875" cm="1">
        <f t="array" aca="1" ref="H1875" ca="1">ROW(INDIRECT(A1875))</f>
        <v>90</v>
      </c>
      <c r="I1875" cm="1">
        <f t="array" aca="1" ref="I1875" ca="1">COLUMN(INDIRECT(A1875))</f>
        <v>13</v>
      </c>
      <c r="M1875" t="str" cm="1">
        <f t="array" aca="1" ref="M1875" ca="1">IF(AND(J1875="O",ISBLANK(INDIRECT(A1875))),"Valeur obligatoire non renseignée","")</f>
        <v/>
      </c>
    </row>
    <row r="1876" spans="1:13" x14ac:dyDescent="0.25">
      <c r="A1876" t="s">
        <v>4579</v>
      </c>
      <c r="B1876" cm="1">
        <f t="array" aca="1" ref="B1876" ca="1">INDIRECT(A1876)</f>
        <v>0</v>
      </c>
      <c r="C1876">
        <f t="shared" ca="1" si="116"/>
        <v>9</v>
      </c>
      <c r="D1876" t="str" cm="1">
        <f t="array" aca="1" ref="D1876" ca="1">CELL("nomfichier",INDIRECT(A1876))</f>
        <v>G:\SCPE\sdc\bq\6 - Mentions valorisantes\Certification environnementale\TEXTES_REGLEMENTATION_CE\Plans_contrôle et grilles\Grille audit niveau 3\Grille d'audit v1.11\[grille-audit-hvev4-v1.11-vf.xlsx]Irrigation</v>
      </c>
      <c r="E1876">
        <f t="shared" ca="1" si="117"/>
        <v>200</v>
      </c>
      <c r="F1876">
        <f t="shared" ca="1" si="118"/>
        <v>210</v>
      </c>
      <c r="G1876" t="str">
        <f t="shared" ca="1" si="119"/>
        <v>Irrigation</v>
      </c>
      <c r="H1876" cm="1">
        <f t="array" aca="1" ref="H1876" ca="1">ROW(INDIRECT(A1876))</f>
        <v>91</v>
      </c>
      <c r="I1876" cm="1">
        <f t="array" aca="1" ref="I1876" ca="1">COLUMN(INDIRECT(A1876))</f>
        <v>13</v>
      </c>
      <c r="M1876" t="str" cm="1">
        <f t="array" aca="1" ref="M1876" ca="1">IF(AND(J1876="O",ISBLANK(INDIRECT(A1876))),"Valeur obligatoire non renseignée","")</f>
        <v/>
      </c>
    </row>
    <row r="1877" spans="1:13" x14ac:dyDescent="0.25">
      <c r="A1877" t="s">
        <v>4580</v>
      </c>
      <c r="B1877" cm="1">
        <f t="array" aca="1" ref="B1877" ca="1">INDIRECT(A1877)</f>
        <v>0</v>
      </c>
      <c r="C1877">
        <f t="shared" ca="1" si="116"/>
        <v>9</v>
      </c>
      <c r="D1877" t="str" cm="1">
        <f t="array" aca="1" ref="D1877" ca="1">CELL("nomfichier",INDIRECT(A1877))</f>
        <v>G:\SCPE\sdc\bq\6 - Mentions valorisantes\Certification environnementale\TEXTES_REGLEMENTATION_CE\Plans_contrôle et grilles\Grille audit niveau 3\Grille d'audit v1.11\[grille-audit-hvev4-v1.11-vf.xlsx]Irrigation</v>
      </c>
      <c r="E1877">
        <f t="shared" ca="1" si="117"/>
        <v>200</v>
      </c>
      <c r="F1877">
        <f t="shared" ca="1" si="118"/>
        <v>210</v>
      </c>
      <c r="G1877" t="str">
        <f t="shared" ca="1" si="119"/>
        <v>Irrigation</v>
      </c>
      <c r="H1877" cm="1">
        <f t="array" aca="1" ref="H1877" ca="1">ROW(INDIRECT(A1877))</f>
        <v>92</v>
      </c>
      <c r="I1877" cm="1">
        <f t="array" aca="1" ref="I1877" ca="1">COLUMN(INDIRECT(A1877))</f>
        <v>15</v>
      </c>
      <c r="M1877" t="str" cm="1">
        <f t="array" aca="1" ref="M1877" ca="1">IF(AND(J1877="O",ISBLANK(INDIRECT(A1877))),"Valeur obligatoire non renseignée","")</f>
        <v/>
      </c>
    </row>
    <row r="1878" spans="1:13" x14ac:dyDescent="0.25">
      <c r="A1878" t="s">
        <v>4581</v>
      </c>
      <c r="B1878" cm="1">
        <f t="array" aca="1" ref="B1878" ca="1">INDIRECT(A1878)</f>
        <v>2</v>
      </c>
      <c r="C1878">
        <f t="shared" ca="1" si="116"/>
        <v>9</v>
      </c>
      <c r="D1878" t="str" cm="1">
        <f t="array" aca="1" ref="D1878" ca="1">CELL("nomfichier",INDIRECT(A1878))</f>
        <v>G:\SCPE\sdc\bq\6 - Mentions valorisantes\Certification environnementale\TEXTES_REGLEMENTATION_CE\Plans_contrôle et grilles\Grille audit niveau 3\Grille d'audit v1.11\[grille-audit-hvev4-v1.11-vf.xlsx]Irrigation</v>
      </c>
      <c r="E1878">
        <f t="shared" ca="1" si="117"/>
        <v>200</v>
      </c>
      <c r="F1878">
        <f t="shared" ca="1" si="118"/>
        <v>210</v>
      </c>
      <c r="G1878" t="str">
        <f t="shared" ca="1" si="119"/>
        <v>Irrigation</v>
      </c>
      <c r="H1878" cm="1">
        <f t="array" aca="1" ref="H1878" ca="1">ROW(INDIRECT(A1878))</f>
        <v>92</v>
      </c>
      <c r="I1878" cm="1">
        <f t="array" aca="1" ref="I1878" ca="1">COLUMN(INDIRECT(A1878))</f>
        <v>23</v>
      </c>
      <c r="M1878" t="str" cm="1">
        <f t="array" aca="1" ref="M1878" ca="1">IF(AND(J1878="O",ISBLANK(INDIRECT(A1878))),"Valeur obligatoire non renseignée","")</f>
        <v/>
      </c>
    </row>
    <row r="1879" spans="1:13" x14ac:dyDescent="0.25">
      <c r="A1879" t="s">
        <v>4784</v>
      </c>
      <c r="B1879" cm="1">
        <f t="array" aca="1" ref="B1879" ca="1">INDIRECT(A1879)</f>
        <v>0</v>
      </c>
      <c r="C1879">
        <f t="shared" ca="1" si="116"/>
        <v>9</v>
      </c>
      <c r="D1879" t="str" cm="1">
        <f t="array" aca="1" ref="D1879" ca="1">CELL("nomfichier",INDIRECT(A1879))</f>
        <v>G:\SCPE\sdc\bq\6 - Mentions valorisantes\Certification environnementale\TEXTES_REGLEMENTATION_CE\Plans_contrôle et grilles\Grille audit niveau 3\Grille d'audit v1.11\[grille-audit-hvev4-v1.11-vf.xlsx]Irrigation</v>
      </c>
      <c r="E1879">
        <f t="shared" ca="1" si="117"/>
        <v>200</v>
      </c>
      <c r="F1879">
        <f t="shared" ca="1" si="118"/>
        <v>210</v>
      </c>
      <c r="G1879" t="str">
        <f t="shared" ca="1" si="119"/>
        <v>Irrigation</v>
      </c>
      <c r="H1879" cm="1">
        <f t="array" aca="1" ref="H1879" ca="1">ROW(INDIRECT(A1879))</f>
        <v>112</v>
      </c>
      <c r="I1879" cm="1">
        <f t="array" aca="1" ref="I1879" ca="1">COLUMN(INDIRECT(A1879))</f>
        <v>3</v>
      </c>
      <c r="M1879" t="str" cm="1">
        <f t="array" aca="1" ref="M1879" ca="1">IF(AND(J1879="O",ISBLANK(INDIRECT(A1879))),"Valeur obligatoire non renseignée","")</f>
        <v/>
      </c>
    </row>
    <row r="1880" spans="1:13" x14ac:dyDescent="0.25">
      <c r="A1880" t="s">
        <v>4582</v>
      </c>
      <c r="B1880" cm="1">
        <f t="array" aca="1" ref="B1880" ca="1">INDIRECT(A1880)</f>
        <v>0</v>
      </c>
      <c r="C1880">
        <f t="shared" ca="1" si="116"/>
        <v>9</v>
      </c>
      <c r="D1880" t="str" cm="1">
        <f t="array" aca="1" ref="D1880" ca="1">CELL("nomfichier",INDIRECT(A1880))</f>
        <v>G:\SCPE\sdc\bq\6 - Mentions valorisantes\Certification environnementale\TEXTES_REGLEMENTATION_CE\Plans_contrôle et grilles\Grille audit niveau 3\Grille d'audit v1.11\[grille-audit-hvev4-v1.11-vf.xlsx]Irrigation</v>
      </c>
      <c r="E1880">
        <f t="shared" ca="1" si="117"/>
        <v>200</v>
      </c>
      <c r="F1880">
        <f t="shared" ca="1" si="118"/>
        <v>210</v>
      </c>
      <c r="G1880" t="str">
        <f t="shared" ca="1" si="119"/>
        <v>Irrigation</v>
      </c>
      <c r="H1880" cm="1">
        <f t="array" aca="1" ref="H1880" ca="1">ROW(INDIRECT(A1880))</f>
        <v>118</v>
      </c>
      <c r="I1880" cm="1">
        <f t="array" aca="1" ref="I1880" ca="1">COLUMN(INDIRECT(A1880))</f>
        <v>10</v>
      </c>
      <c r="M1880" t="str" cm="1">
        <f t="array" aca="1" ref="M1880" ca="1">IF(AND(J1880="O",ISBLANK(INDIRECT(A1880))),"Valeur obligatoire non renseignée","")</f>
        <v/>
      </c>
    </row>
    <row r="1881" spans="1:13" x14ac:dyDescent="0.25">
      <c r="A1881" t="s">
        <v>4583</v>
      </c>
      <c r="B1881" cm="1">
        <f t="array" aca="1" ref="B1881" ca="1">INDIRECT(A1881)</f>
        <v>0</v>
      </c>
      <c r="C1881">
        <f t="shared" ca="1" si="116"/>
        <v>9</v>
      </c>
      <c r="D1881" t="str" cm="1">
        <f t="array" aca="1" ref="D1881" ca="1">CELL("nomfichier",INDIRECT(A1881))</f>
        <v>G:\SCPE\sdc\bq\6 - Mentions valorisantes\Certification environnementale\TEXTES_REGLEMENTATION_CE\Plans_contrôle et grilles\Grille audit niveau 3\Grille d'audit v1.11\[grille-audit-hvev4-v1.11-vf.xlsx]Irrigation</v>
      </c>
      <c r="E1881">
        <f t="shared" ca="1" si="117"/>
        <v>200</v>
      </c>
      <c r="F1881">
        <f t="shared" ca="1" si="118"/>
        <v>210</v>
      </c>
      <c r="G1881" t="str">
        <f t="shared" ca="1" si="119"/>
        <v>Irrigation</v>
      </c>
      <c r="H1881" cm="1">
        <f t="array" aca="1" ref="H1881" ca="1">ROW(INDIRECT(A1881))</f>
        <v>124</v>
      </c>
      <c r="I1881" cm="1">
        <f t="array" aca="1" ref="I1881" ca="1">COLUMN(INDIRECT(A1881))</f>
        <v>10</v>
      </c>
      <c r="M1881" t="str" cm="1">
        <f t="array" aca="1" ref="M1881" ca="1">IF(AND(J1881="O",ISBLANK(INDIRECT(A1881))),"Valeur obligatoire non renseignée","")</f>
        <v/>
      </c>
    </row>
    <row r="1882" spans="1:13" x14ac:dyDescent="0.25">
      <c r="A1882" t="s">
        <v>4584</v>
      </c>
      <c r="B1882" cm="1">
        <f t="array" aca="1" ref="B1882" ca="1">INDIRECT(A1882)</f>
        <v>0</v>
      </c>
      <c r="C1882">
        <f t="shared" ca="1" si="116"/>
        <v>9</v>
      </c>
      <c r="D1882" t="str" cm="1">
        <f t="array" aca="1" ref="D1882" ca="1">CELL("nomfichier",INDIRECT(A1882))</f>
        <v>G:\SCPE\sdc\bq\6 - Mentions valorisantes\Certification environnementale\TEXTES_REGLEMENTATION_CE\Plans_contrôle et grilles\Grille audit niveau 3\Grille d'audit v1.11\[grille-audit-hvev4-v1.11-vf.xlsx]Irrigation</v>
      </c>
      <c r="E1882">
        <f t="shared" ca="1" si="117"/>
        <v>200</v>
      </c>
      <c r="F1882">
        <f t="shared" ca="1" si="118"/>
        <v>210</v>
      </c>
      <c r="G1882" t="str">
        <f t="shared" ca="1" si="119"/>
        <v>Irrigation</v>
      </c>
      <c r="H1882" cm="1">
        <f t="array" aca="1" ref="H1882" ca="1">ROW(INDIRECT(A1882))</f>
        <v>124</v>
      </c>
      <c r="I1882" cm="1">
        <f t="array" aca="1" ref="I1882" ca="1">COLUMN(INDIRECT(A1882))</f>
        <v>12</v>
      </c>
      <c r="M1882" t="str" cm="1">
        <f t="array" aca="1" ref="M1882" ca="1">IF(AND(J1882="O",ISBLANK(INDIRECT(A1882))),"Valeur obligatoire non renseignée","")</f>
        <v/>
      </c>
    </row>
    <row r="1883" spans="1:13" x14ac:dyDescent="0.25">
      <c r="A1883" t="s">
        <v>4585</v>
      </c>
      <c r="B1883" cm="1">
        <f t="array" aca="1" ref="B1883" ca="1">INDIRECT(A1883)</f>
        <v>6</v>
      </c>
      <c r="C1883">
        <f t="shared" ca="1" si="116"/>
        <v>9</v>
      </c>
      <c r="D1883" t="str" cm="1">
        <f t="array" aca="1" ref="D1883" ca="1">CELL("nomfichier",INDIRECT(A1883))</f>
        <v>G:\SCPE\sdc\bq\6 - Mentions valorisantes\Certification environnementale\TEXTES_REGLEMENTATION_CE\Plans_contrôle et grilles\Grille audit niveau 3\Grille d'audit v1.11\[grille-audit-hvev4-v1.11-vf.xlsx]Irrigation</v>
      </c>
      <c r="E1883">
        <f t="shared" ca="1" si="117"/>
        <v>200</v>
      </c>
      <c r="F1883">
        <f t="shared" ca="1" si="118"/>
        <v>210</v>
      </c>
      <c r="G1883" t="str">
        <f t="shared" ca="1" si="119"/>
        <v>Irrigation</v>
      </c>
      <c r="H1883" cm="1">
        <f t="array" aca="1" ref="H1883" ca="1">ROW(INDIRECT(A1883))</f>
        <v>124</v>
      </c>
      <c r="I1883" cm="1">
        <f t="array" aca="1" ref="I1883" ca="1">COLUMN(INDIRECT(A1883))</f>
        <v>23</v>
      </c>
      <c r="M1883" t="str" cm="1">
        <f t="array" aca="1" ref="M1883" ca="1">IF(AND(J1883="O",ISBLANK(INDIRECT(A1883))),"Valeur obligatoire non renseignée","")</f>
        <v/>
      </c>
    </row>
    <row r="1884" spans="1:13" x14ac:dyDescent="0.25">
      <c r="A1884" t="s">
        <v>4586</v>
      </c>
      <c r="B1884" cm="1">
        <f t="array" aca="1" ref="B1884" ca="1">INDIRECT(A1884)</f>
        <v>0</v>
      </c>
      <c r="C1884">
        <f t="shared" ca="1" si="116"/>
        <v>9</v>
      </c>
      <c r="D1884" t="str" cm="1">
        <f t="array" aca="1" ref="D1884" ca="1">CELL("nomfichier",INDIRECT(A1884))</f>
        <v>G:\SCPE\sdc\bq\6 - Mentions valorisantes\Certification environnementale\TEXTES_REGLEMENTATION_CE\Plans_contrôle et grilles\Grille audit niveau 3\Grille d'audit v1.11\[grille-audit-hvev4-v1.11-vf.xlsx]Irrigation</v>
      </c>
      <c r="E1884">
        <f t="shared" ca="1" si="117"/>
        <v>200</v>
      </c>
      <c r="F1884">
        <f t="shared" ca="1" si="118"/>
        <v>210</v>
      </c>
      <c r="G1884" t="str">
        <f t="shared" ca="1" si="119"/>
        <v>Irrigation</v>
      </c>
      <c r="H1884" cm="1">
        <f t="array" aca="1" ref="H1884" ca="1">ROW(INDIRECT(A1884))</f>
        <v>133</v>
      </c>
      <c r="I1884" cm="1">
        <f t="array" aca="1" ref="I1884" ca="1">COLUMN(INDIRECT(A1884))</f>
        <v>10</v>
      </c>
      <c r="M1884" t="str" cm="1">
        <f t="array" aca="1" ref="M1884" ca="1">IF(AND(J1884="O",ISBLANK(INDIRECT(A1884))),"Valeur obligatoire non renseignée","")</f>
        <v/>
      </c>
    </row>
    <row r="1885" spans="1:13" x14ac:dyDescent="0.25">
      <c r="A1885" t="s">
        <v>4587</v>
      </c>
      <c r="B1885" cm="1">
        <f t="array" aca="1" ref="B1885" ca="1">INDIRECT(A1885)</f>
        <v>0</v>
      </c>
      <c r="C1885">
        <f t="shared" ca="1" si="116"/>
        <v>9</v>
      </c>
      <c r="D1885" t="str" cm="1">
        <f t="array" aca="1" ref="D1885" ca="1">CELL("nomfichier",INDIRECT(A1885))</f>
        <v>G:\SCPE\sdc\bq\6 - Mentions valorisantes\Certification environnementale\TEXTES_REGLEMENTATION_CE\Plans_contrôle et grilles\Grille audit niveau 3\Grille d'audit v1.11\[grille-audit-hvev4-v1.11-vf.xlsx]Irrigation</v>
      </c>
      <c r="E1885">
        <f t="shared" ca="1" si="117"/>
        <v>200</v>
      </c>
      <c r="F1885">
        <f t="shared" ca="1" si="118"/>
        <v>210</v>
      </c>
      <c r="G1885" t="str">
        <f t="shared" ca="1" si="119"/>
        <v>Irrigation</v>
      </c>
      <c r="H1885" cm="1">
        <f t="array" aca="1" ref="H1885" ca="1">ROW(INDIRECT(A1885))</f>
        <v>134</v>
      </c>
      <c r="I1885" cm="1">
        <f t="array" aca="1" ref="I1885" ca="1">COLUMN(INDIRECT(A1885))</f>
        <v>10</v>
      </c>
      <c r="M1885" t="str" cm="1">
        <f t="array" aca="1" ref="M1885" ca="1">IF(AND(J1885="O",ISBLANK(INDIRECT(A1885))),"Valeur obligatoire non renseignée","")</f>
        <v/>
      </c>
    </row>
    <row r="1886" spans="1:13" x14ac:dyDescent="0.25">
      <c r="A1886" t="s">
        <v>4588</v>
      </c>
      <c r="B1886" cm="1">
        <f t="array" aca="1" ref="B1886" ca="1">INDIRECT(A1886)</f>
        <v>0</v>
      </c>
      <c r="C1886">
        <f t="shared" ca="1" si="116"/>
        <v>9</v>
      </c>
      <c r="D1886" t="str" cm="1">
        <f t="array" aca="1" ref="D1886" ca="1">CELL("nomfichier",INDIRECT(A1886))</f>
        <v>G:\SCPE\sdc\bq\6 - Mentions valorisantes\Certification environnementale\TEXTES_REGLEMENTATION_CE\Plans_contrôle et grilles\Grille audit niveau 3\Grille d'audit v1.11\[grille-audit-hvev4-v1.11-vf.xlsx]Irrigation</v>
      </c>
      <c r="E1886">
        <f t="shared" ca="1" si="117"/>
        <v>200</v>
      </c>
      <c r="F1886">
        <f t="shared" ca="1" si="118"/>
        <v>210</v>
      </c>
      <c r="G1886" t="str">
        <f t="shared" ca="1" si="119"/>
        <v>Irrigation</v>
      </c>
      <c r="H1886" cm="1">
        <f t="array" aca="1" ref="H1886" ca="1">ROW(INDIRECT(A1886))</f>
        <v>139</v>
      </c>
      <c r="I1886" cm="1">
        <f t="array" aca="1" ref="I1886" ca="1">COLUMN(INDIRECT(A1886))</f>
        <v>4</v>
      </c>
      <c r="M1886" t="str" cm="1">
        <f t="array" aca="1" ref="M1886" ca="1">IF(AND(J1886="O",ISBLANK(INDIRECT(A1886))),"Valeur obligatoire non renseignée","")</f>
        <v/>
      </c>
    </row>
    <row r="1887" spans="1:13" x14ac:dyDescent="0.25">
      <c r="A1887" t="s">
        <v>4589</v>
      </c>
      <c r="B1887" cm="1">
        <f t="array" aca="1" ref="B1887" ca="1">INDIRECT(A1887)</f>
        <v>2</v>
      </c>
      <c r="C1887">
        <f t="shared" ca="1" si="116"/>
        <v>9</v>
      </c>
      <c r="D1887" t="str" cm="1">
        <f t="array" aca="1" ref="D1887" ca="1">CELL("nomfichier",INDIRECT(A1887))</f>
        <v>G:\SCPE\sdc\bq\6 - Mentions valorisantes\Certification environnementale\TEXTES_REGLEMENTATION_CE\Plans_contrôle et grilles\Grille audit niveau 3\Grille d'audit v1.11\[grille-audit-hvev4-v1.11-vf.xlsx]Irrigation</v>
      </c>
      <c r="E1887">
        <f t="shared" ca="1" si="117"/>
        <v>200</v>
      </c>
      <c r="F1887">
        <f t="shared" ca="1" si="118"/>
        <v>210</v>
      </c>
      <c r="G1887" t="str">
        <f t="shared" ca="1" si="119"/>
        <v>Irrigation</v>
      </c>
      <c r="H1887" cm="1">
        <f t="array" aca="1" ref="H1887" ca="1">ROW(INDIRECT(A1887))</f>
        <v>139</v>
      </c>
      <c r="I1887" cm="1">
        <f t="array" aca="1" ref="I1887" ca="1">COLUMN(INDIRECT(A1887))</f>
        <v>23</v>
      </c>
      <c r="M1887" t="str" cm="1">
        <f t="array" aca="1" ref="M1887" ca="1">IF(AND(J1887="O",ISBLANK(INDIRECT(A1887))),"Valeur obligatoire non renseignée","")</f>
        <v/>
      </c>
    </row>
    <row r="1888" spans="1:13" x14ac:dyDescent="0.25">
      <c r="A1888" t="s">
        <v>4590</v>
      </c>
      <c r="B1888" cm="1">
        <f t="array" aca="1" ref="B1888" ca="1">INDIRECT(A1888)</f>
        <v>0</v>
      </c>
      <c r="C1888">
        <f t="shared" ca="1" si="116"/>
        <v>9</v>
      </c>
      <c r="D1888" t="str" cm="1">
        <f t="array" aca="1" ref="D1888" ca="1">CELL("nomfichier",INDIRECT(A1888))</f>
        <v>G:\SCPE\sdc\bq\6 - Mentions valorisantes\Certification environnementale\TEXTES_REGLEMENTATION_CE\Plans_contrôle et grilles\Grille audit niveau 3\Grille d'audit v1.11\[grille-audit-hvev4-v1.11-vf.xlsx]Irrigation</v>
      </c>
      <c r="E1888">
        <f t="shared" ca="1" si="117"/>
        <v>200</v>
      </c>
      <c r="F1888">
        <f t="shared" ca="1" si="118"/>
        <v>210</v>
      </c>
      <c r="G1888" t="str">
        <f t="shared" ca="1" si="119"/>
        <v>Irrigation</v>
      </c>
      <c r="H1888" cm="1">
        <f t="array" aca="1" ref="H1888" ca="1">ROW(INDIRECT(A1888))</f>
        <v>154</v>
      </c>
      <c r="I1888" cm="1">
        <f t="array" aca="1" ref="I1888" ca="1">COLUMN(INDIRECT(A1888))</f>
        <v>12</v>
      </c>
      <c r="M1888" t="str" cm="1">
        <f t="array" aca="1" ref="M1888" ca="1">IF(AND(J1888="O",ISBLANK(INDIRECT(A1888))),"Valeur obligatoire non renseignée","")</f>
        <v/>
      </c>
    </row>
    <row r="1889" spans="1:13" x14ac:dyDescent="0.25">
      <c r="A1889" t="s">
        <v>4785</v>
      </c>
      <c r="B1889" cm="1">
        <f t="array" aca="1" ref="B1889" ca="1">INDIRECT(A1889)</f>
        <v>0</v>
      </c>
      <c r="C1889">
        <f t="shared" ca="1" si="116"/>
        <v>9</v>
      </c>
      <c r="D1889" t="str" cm="1">
        <f t="array" aca="1" ref="D1889" ca="1">CELL("nomfichier",INDIRECT(A1889))</f>
        <v>G:\SCPE\sdc\bq\6 - Mentions valorisantes\Certification environnementale\TEXTES_REGLEMENTATION_CE\Plans_contrôle et grilles\Grille audit niveau 3\Grille d'audit v1.11\[grille-audit-hvev4-v1.11-vf.xlsx]Irrigation</v>
      </c>
      <c r="E1889">
        <f t="shared" ca="1" si="117"/>
        <v>200</v>
      </c>
      <c r="F1889">
        <f t="shared" ca="1" si="118"/>
        <v>210</v>
      </c>
      <c r="G1889" t="str">
        <f t="shared" ca="1" si="119"/>
        <v>Irrigation</v>
      </c>
      <c r="H1889" cm="1">
        <f t="array" aca="1" ref="H1889" ca="1">ROW(INDIRECT(A1889))</f>
        <v>157</v>
      </c>
      <c r="I1889" cm="1">
        <f t="array" aca="1" ref="I1889" ca="1">COLUMN(INDIRECT(A1889))</f>
        <v>3</v>
      </c>
      <c r="M1889" t="str" cm="1">
        <f t="array" aca="1" ref="M1889" ca="1">IF(AND(J1889="O",ISBLANK(INDIRECT(A1889))),"Valeur obligatoire non renseignée","")</f>
        <v/>
      </c>
    </row>
    <row r="1890" spans="1:13" x14ac:dyDescent="0.25">
      <c r="A1890" t="s">
        <v>4591</v>
      </c>
      <c r="B1890" cm="1">
        <f t="array" aca="1" ref="B1890" ca="1">INDIRECT(A1890)</f>
        <v>0</v>
      </c>
      <c r="C1890">
        <f t="shared" ca="1" si="116"/>
        <v>9</v>
      </c>
      <c r="D1890" t="str" cm="1">
        <f t="array" aca="1" ref="D1890" ca="1">CELL("nomfichier",INDIRECT(A1890))</f>
        <v>G:\SCPE\sdc\bq\6 - Mentions valorisantes\Certification environnementale\TEXTES_REGLEMENTATION_CE\Plans_contrôle et grilles\Grille audit niveau 3\Grille d'audit v1.11\[grille-audit-hvev4-v1.11-vf.xlsx]Irrigation</v>
      </c>
      <c r="E1890">
        <f t="shared" ca="1" si="117"/>
        <v>200</v>
      </c>
      <c r="F1890">
        <f t="shared" ca="1" si="118"/>
        <v>210</v>
      </c>
      <c r="G1890" t="str">
        <f t="shared" ca="1" si="119"/>
        <v>Irrigation</v>
      </c>
      <c r="H1890" cm="1">
        <f t="array" aca="1" ref="H1890" ca="1">ROW(INDIRECT(A1890))</f>
        <v>167</v>
      </c>
      <c r="I1890" cm="1">
        <f t="array" aca="1" ref="I1890" ca="1">COLUMN(INDIRECT(A1890))</f>
        <v>12</v>
      </c>
      <c r="M1890" t="str" cm="1">
        <f t="array" aca="1" ref="M1890" ca="1">IF(AND(J1890="O",ISBLANK(INDIRECT(A1890))),"Valeur obligatoire non renseignée","")</f>
        <v/>
      </c>
    </row>
    <row r="1891" spans="1:13" x14ac:dyDescent="0.25">
      <c r="A1891" t="s">
        <v>4592</v>
      </c>
      <c r="B1891" cm="1">
        <f t="array" aca="1" ref="B1891" ca="1">INDIRECT(A1891)</f>
        <v>0</v>
      </c>
      <c r="C1891">
        <f t="shared" ca="1" si="116"/>
        <v>9</v>
      </c>
      <c r="D1891" t="str" cm="1">
        <f t="array" aca="1" ref="D1891" ca="1">CELL("nomfichier",INDIRECT(A1891))</f>
        <v>G:\SCPE\sdc\bq\6 - Mentions valorisantes\Certification environnementale\TEXTES_REGLEMENTATION_CE\Plans_contrôle et grilles\Grille audit niveau 3\Grille d'audit v1.11\[grille-audit-hvev4-v1.11-vf.xlsx]Irrigation</v>
      </c>
      <c r="E1891">
        <f t="shared" ca="1" si="117"/>
        <v>200</v>
      </c>
      <c r="F1891">
        <f t="shared" ca="1" si="118"/>
        <v>210</v>
      </c>
      <c r="G1891" t="str">
        <f t="shared" ca="1" si="119"/>
        <v>Irrigation</v>
      </c>
      <c r="H1891" cm="1">
        <f t="array" aca="1" ref="H1891" ca="1">ROW(INDIRECT(A1891))</f>
        <v>167</v>
      </c>
      <c r="I1891" cm="1">
        <f t="array" aca="1" ref="I1891" ca="1">COLUMN(INDIRECT(A1891))</f>
        <v>14</v>
      </c>
      <c r="M1891" t="str" cm="1">
        <f t="array" aca="1" ref="M1891" ca="1">IF(AND(J1891="O",ISBLANK(INDIRECT(A1891))),"Valeur obligatoire non renseignée","")</f>
        <v/>
      </c>
    </row>
    <row r="1892" spans="1:13" x14ac:dyDescent="0.25">
      <c r="A1892" t="s">
        <v>4593</v>
      </c>
      <c r="B1892" cm="1">
        <f t="array" aca="1" ref="B1892" ca="1">INDIRECT(A1892)</f>
        <v>6</v>
      </c>
      <c r="C1892">
        <f t="shared" ca="1" si="116"/>
        <v>9</v>
      </c>
      <c r="D1892" t="str" cm="1">
        <f t="array" aca="1" ref="D1892" ca="1">CELL("nomfichier",INDIRECT(A1892))</f>
        <v>G:\SCPE\sdc\bq\6 - Mentions valorisantes\Certification environnementale\TEXTES_REGLEMENTATION_CE\Plans_contrôle et grilles\Grille audit niveau 3\Grille d'audit v1.11\[grille-audit-hvev4-v1.11-vf.xlsx]Irrigation</v>
      </c>
      <c r="E1892">
        <f t="shared" ca="1" si="117"/>
        <v>200</v>
      </c>
      <c r="F1892">
        <f t="shared" ca="1" si="118"/>
        <v>210</v>
      </c>
      <c r="G1892" t="str">
        <f t="shared" ca="1" si="119"/>
        <v>Irrigation</v>
      </c>
      <c r="H1892" cm="1">
        <f t="array" aca="1" ref="H1892" ca="1">ROW(INDIRECT(A1892))</f>
        <v>167</v>
      </c>
      <c r="I1892" cm="1">
        <f t="array" aca="1" ref="I1892" ca="1">COLUMN(INDIRECT(A1892))</f>
        <v>23</v>
      </c>
      <c r="M1892" t="str" cm="1">
        <f t="array" aca="1" ref="M1892" ca="1">IF(AND(J1892="O",ISBLANK(INDIRECT(A1892))),"Valeur obligatoire non renseignée","")</f>
        <v/>
      </c>
    </row>
    <row r="1893" spans="1:13" x14ac:dyDescent="0.25">
      <c r="A1893" t="s">
        <v>4594</v>
      </c>
      <c r="B1893" cm="1">
        <f t="array" aca="1" ref="B1893" ca="1">INDIRECT(A1893)</f>
        <v>0</v>
      </c>
      <c r="C1893">
        <f t="shared" ca="1" si="116"/>
        <v>9</v>
      </c>
      <c r="D1893" t="str" cm="1">
        <f t="array" aca="1" ref="D1893" ca="1">CELL("nomfichier",INDIRECT(A1893))</f>
        <v>G:\SCPE\sdc\bq\6 - Mentions valorisantes\Certification environnementale\TEXTES_REGLEMENTATION_CE\Plans_contrôle et grilles\Grille audit niveau 3\Grille d'audit v1.11\[grille-audit-hvev4-v1.11-vf.xlsx]Irrigation</v>
      </c>
      <c r="E1893">
        <f t="shared" ca="1" si="117"/>
        <v>200</v>
      </c>
      <c r="F1893">
        <f t="shared" ca="1" si="118"/>
        <v>210</v>
      </c>
      <c r="G1893" t="str">
        <f t="shared" ca="1" si="119"/>
        <v>Irrigation</v>
      </c>
      <c r="H1893" cm="1">
        <f t="array" aca="1" ref="H1893" ca="1">ROW(INDIRECT(A1893))</f>
        <v>177</v>
      </c>
      <c r="I1893" cm="1">
        <f t="array" aca="1" ref="I1893" ca="1">COLUMN(INDIRECT(A1893))</f>
        <v>11</v>
      </c>
      <c r="M1893" t="str" cm="1">
        <f t="array" aca="1" ref="M1893" ca="1">IF(AND(J1893="O",ISBLANK(INDIRECT(A1893))),"Valeur obligatoire non renseignée","")</f>
        <v/>
      </c>
    </row>
    <row r="1894" spans="1:13" x14ac:dyDescent="0.25">
      <c r="A1894" t="s">
        <v>4595</v>
      </c>
      <c r="B1894" cm="1">
        <f t="array" aca="1" ref="B1894" ca="1">INDIRECT(A1894)</f>
        <v>0</v>
      </c>
      <c r="C1894">
        <f t="shared" ca="1" si="116"/>
        <v>9</v>
      </c>
      <c r="D1894" t="str" cm="1">
        <f t="array" aca="1" ref="D1894" ca="1">CELL("nomfichier",INDIRECT(A1894))</f>
        <v>G:\SCPE\sdc\bq\6 - Mentions valorisantes\Certification environnementale\TEXTES_REGLEMENTATION_CE\Plans_contrôle et grilles\Grille audit niveau 3\Grille d'audit v1.11\[grille-audit-hvev4-v1.11-vf.xlsx]Irrigation</v>
      </c>
      <c r="E1894">
        <f t="shared" ca="1" si="117"/>
        <v>200</v>
      </c>
      <c r="F1894">
        <f t="shared" ca="1" si="118"/>
        <v>210</v>
      </c>
      <c r="G1894" t="str">
        <f t="shared" ca="1" si="119"/>
        <v>Irrigation</v>
      </c>
      <c r="H1894" cm="1">
        <f t="array" aca="1" ref="H1894" ca="1">ROW(INDIRECT(A1894))</f>
        <v>178</v>
      </c>
      <c r="I1894" cm="1">
        <f t="array" aca="1" ref="I1894" ca="1">COLUMN(INDIRECT(A1894))</f>
        <v>11</v>
      </c>
      <c r="M1894" t="str" cm="1">
        <f t="array" aca="1" ref="M1894" ca="1">IF(AND(J1894="O",ISBLANK(INDIRECT(A1894))),"Valeur obligatoire non renseignée","")</f>
        <v/>
      </c>
    </row>
    <row r="1895" spans="1:13" x14ac:dyDescent="0.25">
      <c r="A1895" t="s">
        <v>4596</v>
      </c>
      <c r="B1895" cm="1">
        <f t="array" aca="1" ref="B1895" ca="1">INDIRECT(A1895)</f>
        <v>0</v>
      </c>
      <c r="C1895">
        <f t="shared" ca="1" si="116"/>
        <v>9</v>
      </c>
      <c r="D1895" t="str" cm="1">
        <f t="array" aca="1" ref="D1895" ca="1">CELL("nomfichier",INDIRECT(A1895))</f>
        <v>G:\SCPE\sdc\bq\6 - Mentions valorisantes\Certification environnementale\TEXTES_REGLEMENTATION_CE\Plans_contrôle et grilles\Grille audit niveau 3\Grille d'audit v1.11\[grille-audit-hvev4-v1.11-vf.xlsx]Irrigation</v>
      </c>
      <c r="E1895">
        <f t="shared" ca="1" si="117"/>
        <v>200</v>
      </c>
      <c r="F1895">
        <f t="shared" ca="1" si="118"/>
        <v>210</v>
      </c>
      <c r="G1895" t="str">
        <f t="shared" ca="1" si="119"/>
        <v>Irrigation</v>
      </c>
      <c r="H1895" cm="1">
        <f t="array" aca="1" ref="H1895" ca="1">ROW(INDIRECT(A1895))</f>
        <v>189</v>
      </c>
      <c r="I1895" cm="1">
        <f t="array" aca="1" ref="I1895" ca="1">COLUMN(INDIRECT(A1895))</f>
        <v>11</v>
      </c>
      <c r="M1895" t="str" cm="1">
        <f t="array" aca="1" ref="M1895" ca="1">IF(AND(J1895="O",ISBLANK(INDIRECT(A1895))),"Valeur obligatoire non renseignée","")</f>
        <v/>
      </c>
    </row>
    <row r="1896" spans="1:13" x14ac:dyDescent="0.25">
      <c r="A1896" t="s">
        <v>4597</v>
      </c>
      <c r="B1896" cm="1">
        <f t="array" aca="1" ref="B1896" ca="1">INDIRECT(A1896)</f>
        <v>0</v>
      </c>
      <c r="C1896">
        <f t="shared" ca="1" si="116"/>
        <v>9</v>
      </c>
      <c r="D1896" t="str" cm="1">
        <f t="array" aca="1" ref="D1896" ca="1">CELL("nomfichier",INDIRECT(A1896))</f>
        <v>G:\SCPE\sdc\bq\6 - Mentions valorisantes\Certification environnementale\TEXTES_REGLEMENTATION_CE\Plans_contrôle et grilles\Grille audit niveau 3\Grille d'audit v1.11\[grille-audit-hvev4-v1.11-vf.xlsx]Irrigation</v>
      </c>
      <c r="E1896">
        <f t="shared" ca="1" si="117"/>
        <v>200</v>
      </c>
      <c r="F1896">
        <f t="shared" ca="1" si="118"/>
        <v>210</v>
      </c>
      <c r="G1896" t="str">
        <f t="shared" ca="1" si="119"/>
        <v>Irrigation</v>
      </c>
      <c r="H1896" cm="1">
        <f t="array" aca="1" ref="H1896" ca="1">ROW(INDIRECT(A1896))</f>
        <v>190</v>
      </c>
      <c r="I1896" cm="1">
        <f t="array" aca="1" ref="I1896" ca="1">COLUMN(INDIRECT(A1896))</f>
        <v>11</v>
      </c>
      <c r="M1896" t="str" cm="1">
        <f t="array" aca="1" ref="M1896" ca="1">IF(AND(J1896="O",ISBLANK(INDIRECT(A1896))),"Valeur obligatoire non renseignée","")</f>
        <v/>
      </c>
    </row>
    <row r="1897" spans="1:13" x14ac:dyDescent="0.25">
      <c r="A1897" t="s">
        <v>4598</v>
      </c>
      <c r="B1897" cm="1">
        <f t="array" aca="1" ref="B1897" ca="1">INDIRECT(A1897)</f>
        <v>0</v>
      </c>
      <c r="C1897">
        <f t="shared" ca="1" si="116"/>
        <v>9</v>
      </c>
      <c r="D1897" t="str" cm="1">
        <f t="array" aca="1" ref="D1897" ca="1">CELL("nomfichier",INDIRECT(A1897))</f>
        <v>G:\SCPE\sdc\bq\6 - Mentions valorisantes\Certification environnementale\TEXTES_REGLEMENTATION_CE\Plans_contrôle et grilles\Grille audit niveau 3\Grille d'audit v1.11\[grille-audit-hvev4-v1.11-vf.xlsx]Irrigation</v>
      </c>
      <c r="E1897">
        <f t="shared" ca="1" si="117"/>
        <v>200</v>
      </c>
      <c r="F1897">
        <f t="shared" ca="1" si="118"/>
        <v>210</v>
      </c>
      <c r="G1897" t="str">
        <f t="shared" ca="1" si="119"/>
        <v>Irrigation</v>
      </c>
      <c r="H1897" cm="1">
        <f t="array" aca="1" ref="H1897" ca="1">ROW(INDIRECT(A1897))</f>
        <v>190</v>
      </c>
      <c r="I1897" cm="1">
        <f t="array" aca="1" ref="I1897" ca="1">COLUMN(INDIRECT(A1897))</f>
        <v>13</v>
      </c>
      <c r="M1897" t="str" cm="1">
        <f t="array" aca="1" ref="M1897" ca="1">IF(AND(J1897="O",ISBLANK(INDIRECT(A1897))),"Valeur obligatoire non renseignée","")</f>
        <v/>
      </c>
    </row>
    <row r="1898" spans="1:13" x14ac:dyDescent="0.25">
      <c r="A1898" t="s">
        <v>4599</v>
      </c>
      <c r="B1898" cm="1">
        <f t="array" aca="1" ref="B1898" ca="1">INDIRECT(A1898)</f>
        <v>5</v>
      </c>
      <c r="C1898">
        <f t="shared" ca="1" si="116"/>
        <v>9</v>
      </c>
      <c r="D1898" t="str" cm="1">
        <f t="array" aca="1" ref="D1898" ca="1">CELL("nomfichier",INDIRECT(A1898))</f>
        <v>G:\SCPE\sdc\bq\6 - Mentions valorisantes\Certification environnementale\TEXTES_REGLEMENTATION_CE\Plans_contrôle et grilles\Grille audit niveau 3\Grille d'audit v1.11\[grille-audit-hvev4-v1.11-vf.xlsx]Irrigation</v>
      </c>
      <c r="E1898">
        <f t="shared" ca="1" si="117"/>
        <v>200</v>
      </c>
      <c r="F1898">
        <f t="shared" ca="1" si="118"/>
        <v>210</v>
      </c>
      <c r="G1898" t="str">
        <f t="shared" ca="1" si="119"/>
        <v>Irrigation</v>
      </c>
      <c r="H1898" cm="1">
        <f t="array" aca="1" ref="H1898" ca="1">ROW(INDIRECT(A1898))</f>
        <v>190</v>
      </c>
      <c r="I1898" cm="1">
        <f t="array" aca="1" ref="I1898" ca="1">COLUMN(INDIRECT(A1898))</f>
        <v>23</v>
      </c>
      <c r="M1898" t="str" cm="1">
        <f t="array" aca="1" ref="M1898" ca="1">IF(AND(J1898="O",ISBLANK(INDIRECT(A1898))),"Valeur obligatoire non renseignée","")</f>
        <v/>
      </c>
    </row>
    <row r="1899" spans="1:13" x14ac:dyDescent="0.25">
      <c r="A1899" t="s">
        <v>4600</v>
      </c>
      <c r="B1899" cm="1">
        <f t="array" aca="1" ref="B1899" ca="1">INDIRECT(A1899)</f>
        <v>0</v>
      </c>
      <c r="C1899">
        <f t="shared" ca="1" si="116"/>
        <v>9</v>
      </c>
      <c r="D1899" t="str" cm="1">
        <f t="array" aca="1" ref="D1899" ca="1">CELL("nomfichier",INDIRECT(A1899))</f>
        <v>G:\SCPE\sdc\bq\6 - Mentions valorisantes\Certification environnementale\TEXTES_REGLEMENTATION_CE\Plans_contrôle et grilles\Grille audit niveau 3\Grille d'audit v1.11\[grille-audit-hvev4-v1.11-vf.xlsx]Irrigation</v>
      </c>
      <c r="E1899">
        <f t="shared" ca="1" si="117"/>
        <v>200</v>
      </c>
      <c r="F1899">
        <f t="shared" ca="1" si="118"/>
        <v>210</v>
      </c>
      <c r="G1899" t="str">
        <f t="shared" ca="1" si="119"/>
        <v>Irrigation</v>
      </c>
      <c r="H1899" cm="1">
        <f t="array" aca="1" ref="H1899" ca="1">ROW(INDIRECT(A1899))</f>
        <v>219</v>
      </c>
      <c r="I1899" cm="1">
        <f t="array" aca="1" ref="I1899" ca="1">COLUMN(INDIRECT(A1899))</f>
        <v>14</v>
      </c>
      <c r="M1899" t="str" cm="1">
        <f t="array" aca="1" ref="M1899" ca="1">IF(AND(J1899="O",ISBLANK(INDIRECT(A1899))),"Valeur obligatoire non renseignée","")</f>
        <v/>
      </c>
    </row>
    <row r="1900" spans="1:13" x14ac:dyDescent="0.25">
      <c r="A1900" t="s">
        <v>4601</v>
      </c>
      <c r="B1900" cm="1">
        <f t="array" aca="1" ref="B1900" ca="1">INDIRECT(A1900)</f>
        <v>6</v>
      </c>
      <c r="C1900">
        <f t="shared" ca="1" si="116"/>
        <v>9</v>
      </c>
      <c r="D1900" t="str" cm="1">
        <f t="array" aca="1" ref="D1900" ca="1">CELL("nomfichier",INDIRECT(A1900))</f>
        <v>G:\SCPE\sdc\bq\6 - Mentions valorisantes\Certification environnementale\TEXTES_REGLEMENTATION_CE\Plans_contrôle et grilles\Grille audit niveau 3\Grille d'audit v1.11\[grille-audit-hvev4-v1.11-vf.xlsx]Irrigation</v>
      </c>
      <c r="E1900">
        <f t="shared" ca="1" si="117"/>
        <v>200</v>
      </c>
      <c r="F1900">
        <f t="shared" ca="1" si="118"/>
        <v>210</v>
      </c>
      <c r="G1900" t="str">
        <f t="shared" ca="1" si="119"/>
        <v>Irrigation</v>
      </c>
      <c r="H1900" cm="1">
        <f t="array" aca="1" ref="H1900" ca="1">ROW(INDIRECT(A1900))</f>
        <v>219</v>
      </c>
      <c r="I1900" cm="1">
        <f t="array" aca="1" ref="I1900" ca="1">COLUMN(INDIRECT(A1900))</f>
        <v>23</v>
      </c>
      <c r="M1900" t="str" cm="1">
        <f t="array" aca="1" ref="M1900" ca="1">IF(AND(J1900="O",ISBLANK(INDIRECT(A1900))),"Valeur obligatoire non renseignée","")</f>
        <v/>
      </c>
    </row>
    <row r="1901" spans="1:13" x14ac:dyDescent="0.25">
      <c r="A1901" t="s">
        <v>4602</v>
      </c>
      <c r="B1901" cm="1">
        <f t="array" aca="1" ref="B1901" ca="1">INDIRECT(A1901)</f>
        <v>0</v>
      </c>
      <c r="C1901">
        <f t="shared" ca="1" si="116"/>
        <v>9</v>
      </c>
      <c r="D1901" t="str" cm="1">
        <f t="array" aca="1" ref="D1901" ca="1">CELL("nomfichier",INDIRECT(A1901))</f>
        <v>G:\SCPE\sdc\bq\6 - Mentions valorisantes\Certification environnementale\TEXTES_REGLEMENTATION_CE\Plans_contrôle et grilles\Grille audit niveau 3\Grille d'audit v1.11\[grille-audit-hvev4-v1.11-vf.xlsx]Irrigation</v>
      </c>
      <c r="E1901">
        <f t="shared" ca="1" si="117"/>
        <v>200</v>
      </c>
      <c r="F1901">
        <f t="shared" ca="1" si="118"/>
        <v>210</v>
      </c>
      <c r="G1901" t="str">
        <f t="shared" ca="1" si="119"/>
        <v>Irrigation</v>
      </c>
      <c r="H1901" cm="1">
        <f t="array" aca="1" ref="H1901" ca="1">ROW(INDIRECT(A1901))</f>
        <v>237</v>
      </c>
      <c r="I1901" cm="1">
        <f t="array" aca="1" ref="I1901" ca="1">COLUMN(INDIRECT(A1901))</f>
        <v>14</v>
      </c>
      <c r="M1901" t="str" cm="1">
        <f t="array" aca="1" ref="M1901" ca="1">IF(AND(J1901="O",ISBLANK(INDIRECT(A1901))),"Valeur obligatoire non renseignée","")</f>
        <v/>
      </c>
    </row>
    <row r="1902" spans="1:13" x14ac:dyDescent="0.25">
      <c r="A1902" t="s">
        <v>4603</v>
      </c>
      <c r="B1902" cm="1">
        <f t="array" aca="1" ref="B1902" ca="1">INDIRECT(A1902)</f>
        <v>0</v>
      </c>
      <c r="C1902">
        <f t="shared" ca="1" si="116"/>
        <v>9</v>
      </c>
      <c r="D1902" t="str" cm="1">
        <f t="array" aca="1" ref="D1902" ca="1">CELL("nomfichier",INDIRECT(A1902))</f>
        <v>G:\SCPE\sdc\bq\6 - Mentions valorisantes\Certification environnementale\TEXTES_REGLEMENTATION_CE\Plans_contrôle et grilles\Grille audit niveau 3\Grille d'audit v1.11\[grille-audit-hvev4-v1.11-vf.xlsx]Irrigation</v>
      </c>
      <c r="E1902">
        <f t="shared" ca="1" si="117"/>
        <v>200</v>
      </c>
      <c r="F1902">
        <f t="shared" ca="1" si="118"/>
        <v>210</v>
      </c>
      <c r="G1902" t="str">
        <f t="shared" ca="1" si="119"/>
        <v>Irrigation</v>
      </c>
      <c r="H1902" cm="1">
        <f t="array" aca="1" ref="H1902" ca="1">ROW(INDIRECT(A1902))</f>
        <v>241</v>
      </c>
      <c r="I1902" cm="1">
        <f t="array" aca="1" ref="I1902" ca="1">COLUMN(INDIRECT(A1902))</f>
        <v>14</v>
      </c>
      <c r="M1902" t="str" cm="1">
        <f t="array" aca="1" ref="M1902" ca="1">IF(AND(J1902="O",ISBLANK(INDIRECT(A1902))),"Valeur obligatoire non renseignée","")</f>
        <v/>
      </c>
    </row>
    <row r="1903" spans="1:13" x14ac:dyDescent="0.25">
      <c r="A1903" t="s">
        <v>4604</v>
      </c>
      <c r="B1903" cm="1">
        <f t="array" aca="1" ref="B1903" ca="1">INDIRECT(A1903)</f>
        <v>0</v>
      </c>
      <c r="C1903">
        <f t="shared" ca="1" si="116"/>
        <v>9</v>
      </c>
      <c r="D1903" t="str" cm="1">
        <f t="array" aca="1" ref="D1903" ca="1">CELL("nomfichier",INDIRECT(A1903))</f>
        <v>G:\SCPE\sdc\bq\6 - Mentions valorisantes\Certification environnementale\TEXTES_REGLEMENTATION_CE\Plans_contrôle et grilles\Grille audit niveau 3\Grille d'audit v1.11\[grille-audit-hvev4-v1.11-vf.xlsx]Irrigation</v>
      </c>
      <c r="E1903">
        <f t="shared" ca="1" si="117"/>
        <v>200</v>
      </c>
      <c r="F1903">
        <f t="shared" ca="1" si="118"/>
        <v>210</v>
      </c>
      <c r="G1903" t="str">
        <f t="shared" ca="1" si="119"/>
        <v>Irrigation</v>
      </c>
      <c r="H1903" cm="1">
        <f t="array" aca="1" ref="H1903" ca="1">ROW(INDIRECT(A1903))</f>
        <v>242</v>
      </c>
      <c r="I1903" cm="1">
        <f t="array" aca="1" ref="I1903" ca="1">COLUMN(INDIRECT(A1903))</f>
        <v>16</v>
      </c>
      <c r="M1903" t="str" cm="1">
        <f t="array" aca="1" ref="M1903" ca="1">IF(AND(J1903="O",ISBLANK(INDIRECT(A1903))),"Valeur obligatoire non renseignée","")</f>
        <v/>
      </c>
    </row>
    <row r="1904" spans="1:13" x14ac:dyDescent="0.25">
      <c r="A1904" t="s">
        <v>4605</v>
      </c>
      <c r="B1904" cm="1">
        <f t="array" aca="1" ref="B1904" ca="1">INDIRECT(A1904)</f>
        <v>1</v>
      </c>
      <c r="C1904">
        <f t="shared" ca="1" si="116"/>
        <v>9</v>
      </c>
      <c r="D1904" t="str" cm="1">
        <f t="array" aca="1" ref="D1904" ca="1">CELL("nomfichier",INDIRECT(A1904))</f>
        <v>G:\SCPE\sdc\bq\6 - Mentions valorisantes\Certification environnementale\TEXTES_REGLEMENTATION_CE\Plans_contrôle et grilles\Grille audit niveau 3\Grille d'audit v1.11\[grille-audit-hvev4-v1.11-vf.xlsx]Irrigation</v>
      </c>
      <c r="E1904">
        <f t="shared" ca="1" si="117"/>
        <v>200</v>
      </c>
      <c r="F1904">
        <f t="shared" ca="1" si="118"/>
        <v>210</v>
      </c>
      <c r="G1904" t="str">
        <f t="shared" ca="1" si="119"/>
        <v>Irrigation</v>
      </c>
      <c r="H1904" cm="1">
        <f t="array" aca="1" ref="H1904" ca="1">ROW(INDIRECT(A1904))</f>
        <v>242</v>
      </c>
      <c r="I1904" cm="1">
        <f t="array" aca="1" ref="I1904" ca="1">COLUMN(INDIRECT(A1904))</f>
        <v>23</v>
      </c>
      <c r="M1904" t="str" cm="1">
        <f t="array" aca="1" ref="M1904" ca="1">IF(AND(J1904="O",ISBLANK(INDIRECT(A1904))),"Valeur obligatoire non renseignée","")</f>
        <v/>
      </c>
    </row>
    <row r="1905" spans="1:13" x14ac:dyDescent="0.25">
      <c r="A1905" t="s">
        <v>4606</v>
      </c>
      <c r="B1905" cm="1">
        <f t="array" aca="1" ref="B1905" ca="1">INDIRECT(A1905)</f>
        <v>0</v>
      </c>
      <c r="C1905">
        <f t="shared" ca="1" si="116"/>
        <v>9</v>
      </c>
      <c r="D1905" t="str" cm="1">
        <f t="array" aca="1" ref="D1905" ca="1">CELL("nomfichier",INDIRECT(A1905))</f>
        <v>G:\SCPE\sdc\bq\6 - Mentions valorisantes\Certification environnementale\TEXTES_REGLEMENTATION_CE\Plans_contrôle et grilles\Grille audit niveau 3\Grille d'audit v1.11\[grille-audit-hvev4-v1.11-vf.xlsx]Irrigation</v>
      </c>
      <c r="E1905">
        <f t="shared" ca="1" si="117"/>
        <v>200</v>
      </c>
      <c r="F1905">
        <f t="shared" ca="1" si="118"/>
        <v>210</v>
      </c>
      <c r="G1905" t="str">
        <f t="shared" ca="1" si="119"/>
        <v>Irrigation</v>
      </c>
      <c r="H1905" cm="1">
        <f t="array" aca="1" ref="H1905" ca="1">ROW(INDIRECT(A1905))</f>
        <v>259</v>
      </c>
      <c r="I1905" cm="1">
        <f t="array" aca="1" ref="I1905" ca="1">COLUMN(INDIRECT(A1905))</f>
        <v>18</v>
      </c>
      <c r="M1905" t="str" cm="1">
        <f t="array" aca="1" ref="M1905" ca="1">IF(AND(J1905="O",ISBLANK(INDIRECT(A1905))),"Valeur obligatoire non renseignée","")</f>
        <v/>
      </c>
    </row>
    <row r="1906" spans="1:13" x14ac:dyDescent="0.25">
      <c r="A1906" t="s">
        <v>4607</v>
      </c>
      <c r="B1906" cm="1">
        <f t="array" aca="1" ref="B1906" ca="1">INDIRECT(A1906)</f>
        <v>34</v>
      </c>
      <c r="C1906">
        <f t="shared" ca="1" si="116"/>
        <v>9</v>
      </c>
      <c r="D1906" t="str" cm="1">
        <f t="array" aca="1" ref="D1906" ca="1">CELL("nomfichier",INDIRECT(A1906))</f>
        <v>G:\SCPE\sdc\bq\6 - Mentions valorisantes\Certification environnementale\TEXTES_REGLEMENTATION_CE\Plans_contrôle et grilles\Grille audit niveau 3\Grille d'audit v1.11\[grille-audit-hvev4-v1.11-vf.xlsx]Irrigation</v>
      </c>
      <c r="E1906">
        <f t="shared" ca="1" si="117"/>
        <v>200</v>
      </c>
      <c r="F1906">
        <f t="shared" ca="1" si="118"/>
        <v>210</v>
      </c>
      <c r="G1906" t="str">
        <f t="shared" ca="1" si="119"/>
        <v>Irrigation</v>
      </c>
      <c r="H1906" cm="1">
        <f t="array" aca="1" ref="H1906" ca="1">ROW(INDIRECT(A1906))</f>
        <v>259</v>
      </c>
      <c r="I1906" cm="1">
        <f t="array" aca="1" ref="I1906" ca="1">COLUMN(INDIRECT(A1906))</f>
        <v>23</v>
      </c>
      <c r="M1906" t="str" cm="1">
        <f t="array" aca="1" ref="M1906" ca="1">IF(AND(J1906="O",ISBLANK(INDIRECT(A1906))),"Valeur obligatoire non renseignée","")</f>
        <v/>
      </c>
    </row>
    <row r="1907" spans="1:13" x14ac:dyDescent="0.25">
      <c r="A1907" s="91" t="s">
        <v>4958</v>
      </c>
      <c r="B1907" cm="1">
        <f t="array" aca="1" ref="B1907" ca="1">INDIRECT(A1907)</f>
        <v>0</v>
      </c>
      <c r="C1907">
        <f t="shared" ca="1" si="116"/>
        <v>8</v>
      </c>
      <c r="D1907" t="str" cm="1">
        <f t="array" aca="1" ref="D1907" ca="1">CELL("nomfichier",INDIRECT(A1907))</f>
        <v>G:\SCPE\sdc\bq\6 - Mentions valorisantes\Certification environnementale\TEXTES_REGLEMENTATION_CE\Plans_contrôle et grilles\Grille audit niveau 3\Grille d'audit v1.11\[grille-audit-hvev4-v1.11-vf.xlsx]Fertilisation</v>
      </c>
      <c r="E1907">
        <f t="shared" ca="1" si="117"/>
        <v>200</v>
      </c>
      <c r="F1907">
        <f t="shared" ca="1" si="118"/>
        <v>213</v>
      </c>
      <c r="G1907" t="str">
        <f t="shared" ca="1" si="119"/>
        <v>Fertilisation</v>
      </c>
      <c r="H1907" cm="1">
        <f t="array" aca="1" ref="H1907" ca="1">ROW(INDIRECT(A1907))</f>
        <v>344</v>
      </c>
      <c r="I1907" cm="1">
        <f t="array" aca="1" ref="I1907" ca="1">COLUMN(INDIRECT(A1907))</f>
        <v>12</v>
      </c>
      <c r="M1907" t="str" cm="1">
        <f t="array" aca="1" ref="M1907" ca="1">IF(AND(J1907="O",ISBLANK(INDIRECT(A1907))),"Valeur obligatoire non renseignée","")</f>
        <v/>
      </c>
    </row>
    <row r="1908" spans="1:13" x14ac:dyDescent="0.25">
      <c r="A1908" s="91" t="s">
        <v>4959</v>
      </c>
      <c r="B1908" cm="1">
        <f t="array" aca="1" ref="B1908" ca="1">INDIRECT(A1908)</f>
        <v>0</v>
      </c>
      <c r="C1908">
        <f t="shared" ca="1" si="116"/>
        <v>8</v>
      </c>
      <c r="D1908" t="str" cm="1">
        <f t="array" aca="1" ref="D1908" ca="1">CELL("nomfichier",INDIRECT(A1908))</f>
        <v>G:\SCPE\sdc\bq\6 - Mentions valorisantes\Certification environnementale\TEXTES_REGLEMENTATION_CE\Plans_contrôle et grilles\Grille audit niveau 3\Grille d'audit v1.11\[grille-audit-hvev4-v1.11-vf.xlsx]Fertilisation</v>
      </c>
      <c r="E1908">
        <f t="shared" ca="1" si="117"/>
        <v>200</v>
      </c>
      <c r="F1908">
        <f t="shared" ca="1" si="118"/>
        <v>213</v>
      </c>
      <c r="G1908" t="str">
        <f t="shared" ca="1" si="119"/>
        <v>Fertilisation</v>
      </c>
      <c r="H1908" cm="1">
        <f t="array" aca="1" ref="H1908" ca="1">ROW(INDIRECT(A1908))</f>
        <v>345</v>
      </c>
      <c r="I1908" cm="1">
        <f t="array" aca="1" ref="I1908" ca="1">COLUMN(INDIRECT(A1908))</f>
        <v>12</v>
      </c>
      <c r="M1908" t="str" cm="1">
        <f t="array" aca="1" ref="M1908" ca="1">IF(AND(J1908="O",ISBLANK(INDIRECT(A1908))),"Valeur obligatoire non renseignée","")</f>
        <v/>
      </c>
    </row>
    <row r="1909" spans="1:13" x14ac:dyDescent="0.25">
      <c r="A1909" s="91" t="s">
        <v>4960</v>
      </c>
      <c r="B1909" cm="1">
        <f t="array" aca="1" ref="B1909" ca="1">INDIRECT(A1909)</f>
        <v>0</v>
      </c>
      <c r="C1909">
        <f t="shared" ca="1" si="116"/>
        <v>8</v>
      </c>
      <c r="D1909" t="str" cm="1">
        <f t="array" aca="1" ref="D1909" ca="1">CELL("nomfichier",INDIRECT(A1909))</f>
        <v>G:\SCPE\sdc\bq\6 - Mentions valorisantes\Certification environnementale\TEXTES_REGLEMENTATION_CE\Plans_contrôle et grilles\Grille audit niveau 3\Grille d'audit v1.11\[grille-audit-hvev4-v1.11-vf.xlsx]Fertilisation</v>
      </c>
      <c r="E1909">
        <f t="shared" ca="1" si="117"/>
        <v>200</v>
      </c>
      <c r="F1909">
        <f t="shared" ca="1" si="118"/>
        <v>213</v>
      </c>
      <c r="G1909" t="str">
        <f t="shared" ca="1" si="119"/>
        <v>Fertilisation</v>
      </c>
      <c r="H1909" cm="1">
        <f t="array" aca="1" ref="H1909" ca="1">ROW(INDIRECT(A1909))</f>
        <v>350</v>
      </c>
      <c r="I1909" cm="1">
        <f t="array" aca="1" ref="I1909" ca="1">COLUMN(INDIRECT(A1909))</f>
        <v>12</v>
      </c>
      <c r="M1909" t="str" cm="1">
        <f t="array" aca="1" ref="M1909" ca="1">IF(AND(J1909="O",ISBLANK(INDIRECT(A1909))),"Valeur obligatoire non renseignée","")</f>
        <v/>
      </c>
    </row>
    <row r="1910" spans="1:13" x14ac:dyDescent="0.25">
      <c r="A1910" s="91" t="s">
        <v>4961</v>
      </c>
      <c r="B1910" cm="1">
        <f t="array" aca="1" ref="B1910" ca="1">INDIRECT(A1910)</f>
        <v>0</v>
      </c>
      <c r="C1910">
        <f t="shared" ca="1" si="116"/>
        <v>8</v>
      </c>
      <c r="D1910" t="str" cm="1">
        <f t="array" aca="1" ref="D1910" ca="1">CELL("nomfichier",INDIRECT(A1910))</f>
        <v>G:\SCPE\sdc\bq\6 - Mentions valorisantes\Certification environnementale\TEXTES_REGLEMENTATION_CE\Plans_contrôle et grilles\Grille audit niveau 3\Grille d'audit v1.11\[grille-audit-hvev4-v1.11-vf.xlsx]Fertilisation</v>
      </c>
      <c r="E1910">
        <f t="shared" ca="1" si="117"/>
        <v>200</v>
      </c>
      <c r="F1910">
        <f t="shared" ca="1" si="118"/>
        <v>213</v>
      </c>
      <c r="G1910" t="str">
        <f t="shared" ca="1" si="119"/>
        <v>Fertilisation</v>
      </c>
      <c r="H1910" cm="1">
        <f t="array" aca="1" ref="H1910" ca="1">ROW(INDIRECT(A1910))</f>
        <v>351</v>
      </c>
      <c r="I1910" cm="1">
        <f t="array" aca="1" ref="I1910" ca="1">COLUMN(INDIRECT(A1910))</f>
        <v>12</v>
      </c>
      <c r="M1910" t="str" cm="1">
        <f t="array" aca="1" ref="M1910" ca="1">IF(AND(J1910="O",ISBLANK(INDIRECT(A1910))),"Valeur obligatoire non renseignée","")</f>
        <v/>
      </c>
    </row>
    <row r="1911" spans="1:13" x14ac:dyDescent="0.25">
      <c r="A1911" s="91" t="s">
        <v>4962</v>
      </c>
      <c r="B1911" cm="1">
        <f t="array" aca="1" ref="B1911" ca="1">INDIRECT(A1911)</f>
        <v>0</v>
      </c>
      <c r="C1911">
        <f t="shared" ca="1" si="116"/>
        <v>8</v>
      </c>
      <c r="D1911" t="str" cm="1">
        <f t="array" aca="1" ref="D1911" ca="1">CELL("nomfichier",INDIRECT(A1911))</f>
        <v>G:\SCPE\sdc\bq\6 - Mentions valorisantes\Certification environnementale\TEXTES_REGLEMENTATION_CE\Plans_contrôle et grilles\Grille audit niveau 3\Grille d'audit v1.11\[grille-audit-hvev4-v1.11-vf.xlsx]Fertilisation</v>
      </c>
      <c r="E1911">
        <f t="shared" ca="1" si="117"/>
        <v>200</v>
      </c>
      <c r="F1911">
        <f t="shared" ca="1" si="118"/>
        <v>213</v>
      </c>
      <c r="G1911" t="str">
        <f t="shared" ca="1" si="119"/>
        <v>Fertilisation</v>
      </c>
      <c r="H1911" cm="1">
        <f t="array" aca="1" ref="H1911" ca="1">ROW(INDIRECT(A1911))</f>
        <v>350</v>
      </c>
      <c r="I1911" cm="1">
        <f t="array" aca="1" ref="I1911" ca="1">COLUMN(INDIRECT(A1911))</f>
        <v>14</v>
      </c>
      <c r="M1911" t="str" cm="1">
        <f t="array" aca="1" ref="M1911" ca="1">IF(AND(J1911="O",ISBLANK(INDIRECT(A1911))),"Valeur obligatoire non renseignée","")</f>
        <v/>
      </c>
    </row>
    <row r="1912" spans="1:13" x14ac:dyDescent="0.25">
      <c r="A1912" s="91" t="s">
        <v>4963</v>
      </c>
      <c r="B1912" cm="1">
        <f t="array" aca="1" ref="B1912" ca="1">INDIRECT(A1912)</f>
        <v>0</v>
      </c>
      <c r="C1912">
        <f t="shared" ca="1" si="116"/>
        <v>8</v>
      </c>
      <c r="D1912" t="str" cm="1">
        <f t="array" aca="1" ref="D1912" ca="1">CELL("nomfichier",INDIRECT(A1912))</f>
        <v>G:\SCPE\sdc\bq\6 - Mentions valorisantes\Certification environnementale\TEXTES_REGLEMENTATION_CE\Plans_contrôle et grilles\Grille audit niveau 3\Grille d'audit v1.11\[grille-audit-hvev4-v1.11-vf.xlsx]Fertilisation</v>
      </c>
      <c r="E1912">
        <f t="shared" ca="1" si="117"/>
        <v>200</v>
      </c>
      <c r="F1912">
        <f t="shared" ca="1" si="118"/>
        <v>213</v>
      </c>
      <c r="G1912" t="str">
        <f t="shared" ca="1" si="119"/>
        <v>Fertilisation</v>
      </c>
      <c r="H1912" cm="1">
        <f t="array" aca="1" ref="H1912" ca="1">ROW(INDIRECT(A1912))</f>
        <v>351</v>
      </c>
      <c r="I1912" cm="1">
        <f t="array" aca="1" ref="I1912" ca="1">COLUMN(INDIRECT(A1912))</f>
        <v>14</v>
      </c>
      <c r="M1912" t="str" cm="1">
        <f t="array" aca="1" ref="M1912" ca="1">IF(AND(J1912="O",ISBLANK(INDIRECT(A1912))),"Valeur obligatoire non renseignée","")</f>
        <v/>
      </c>
    </row>
    <row r="1913" spans="1:13" x14ac:dyDescent="0.25">
      <c r="A1913" s="91" t="s">
        <v>5180</v>
      </c>
      <c r="B1913" cm="1">
        <f t="array" aca="1" ref="B1913" ca="1">INDIRECT(A1913)</f>
        <v>0</v>
      </c>
      <c r="C1913">
        <f t="shared" ca="1" si="116"/>
        <v>7</v>
      </c>
      <c r="D1913" t="str" cm="1">
        <f t="array" aca="1" ref="D1913" ca="1">CELL("nomfichier",INDIRECT(A1913))</f>
        <v>G:\SCPE\sdc\bq\6 - Mentions valorisantes\Certification environnementale\TEXTES_REGLEMENTATION_CE\Plans_contrôle et grilles\Grille audit niveau 3\Grille d'audit v1.11\[grille-audit-hvev4-v1.11-vf.xlsx]Phyto</v>
      </c>
      <c r="E1913">
        <f t="shared" ca="1" si="117"/>
        <v>200</v>
      </c>
      <c r="F1913">
        <f t="shared" ca="1" si="118"/>
        <v>205</v>
      </c>
      <c r="G1913" t="str">
        <f t="shared" ca="1" si="119"/>
        <v>Phyto</v>
      </c>
      <c r="H1913" cm="1">
        <f t="array" aca="1" ref="H1913" ca="1">ROW(INDIRECT(A1913))</f>
        <v>74</v>
      </c>
      <c r="I1913" cm="1">
        <f t="array" aca="1" ref="I1913" ca="1">COLUMN(INDIRECT(A1913))</f>
        <v>22</v>
      </c>
      <c r="M1913" t="str" cm="1">
        <f t="array" aca="1" ref="M1913" ca="1">IF(AND(J1913="O",ISBLANK(INDIRECT(A1913))),"Valeur obligatoire non renseignée","")</f>
        <v/>
      </c>
    </row>
    <row r="1914" spans="1:13" x14ac:dyDescent="0.25">
      <c r="A1914" t="s">
        <v>5192</v>
      </c>
      <c r="B1914" cm="1">
        <f t="array" aca="1" ref="B1914" ca="1">INDIRECT(A1914)</f>
        <v>0</v>
      </c>
      <c r="C1914">
        <f t="shared" ca="1" si="116"/>
        <v>7</v>
      </c>
      <c r="D1914" t="str" cm="1">
        <f t="array" aca="1" ref="D1914" ca="1">CELL("nomfichier",INDIRECT(A1914))</f>
        <v>G:\SCPE\sdc\bq\6 - Mentions valorisantes\Certification environnementale\TEXTES_REGLEMENTATION_CE\Plans_contrôle et grilles\Grille audit niveau 3\Grille d'audit v1.11\[grille-audit-hvev4-v1.11-vf.xlsx]Phyto</v>
      </c>
      <c r="E1914">
        <f t="shared" ca="1" si="117"/>
        <v>200</v>
      </c>
      <c r="F1914">
        <f t="shared" ca="1" si="118"/>
        <v>205</v>
      </c>
      <c r="G1914" t="str">
        <f t="shared" ca="1" si="119"/>
        <v>Phyto</v>
      </c>
      <c r="H1914" cm="1">
        <f t="array" aca="1" ref="H1914" ca="1">ROW(INDIRECT(A1914))</f>
        <v>96</v>
      </c>
      <c r="I1914" cm="1">
        <f t="array" aca="1" ref="I1914" ca="1">COLUMN(INDIRECT(A1914))</f>
        <v>10</v>
      </c>
      <c r="M1914" t="str" cm="1">
        <f t="array" aca="1" ref="M1914" ca="1">IF(AND(J1914="O",ISBLANK(INDIRECT(A1914))),"Valeur obligatoire non renseignée","")</f>
        <v/>
      </c>
    </row>
    <row r="1915" spans="1:13" x14ac:dyDescent="0.25">
      <c r="A1915" t="s">
        <v>5193</v>
      </c>
      <c r="B1915" cm="1">
        <f t="array" aca="1" ref="B1915" ca="1">INDIRECT(A1915)</f>
        <v>0</v>
      </c>
      <c r="C1915">
        <f t="shared" ca="1" si="116"/>
        <v>7</v>
      </c>
      <c r="D1915" t="str" cm="1">
        <f t="array" aca="1" ref="D1915" ca="1">CELL("nomfichier",INDIRECT(A1915))</f>
        <v>G:\SCPE\sdc\bq\6 - Mentions valorisantes\Certification environnementale\TEXTES_REGLEMENTATION_CE\Plans_contrôle et grilles\Grille audit niveau 3\Grille d'audit v1.11\[grille-audit-hvev4-v1.11-vf.xlsx]Phyto</v>
      </c>
      <c r="E1915">
        <f t="shared" ca="1" si="117"/>
        <v>200</v>
      </c>
      <c r="F1915">
        <f t="shared" ca="1" si="118"/>
        <v>205</v>
      </c>
      <c r="G1915" t="str">
        <f t="shared" ca="1" si="119"/>
        <v>Phyto</v>
      </c>
      <c r="H1915" cm="1">
        <f t="array" aca="1" ref="H1915" ca="1">ROW(INDIRECT(A1915))</f>
        <v>98</v>
      </c>
      <c r="I1915" cm="1">
        <f t="array" aca="1" ref="I1915" ca="1">COLUMN(INDIRECT(A1915))</f>
        <v>10</v>
      </c>
      <c r="M1915" t="str" cm="1">
        <f t="array" aca="1" ref="M1915" ca="1">IF(AND(J1915="O",ISBLANK(INDIRECT(A1915))),"Valeur obligatoire non renseignée","")</f>
        <v/>
      </c>
    </row>
    <row r="1916" spans="1:13" x14ac:dyDescent="0.25">
      <c r="A1916" t="s">
        <v>5194</v>
      </c>
      <c r="B1916" cm="1">
        <f t="array" aca="1" ref="B1916" ca="1">INDIRECT(A1916)</f>
        <v>0</v>
      </c>
      <c r="C1916">
        <f t="shared" ca="1" si="116"/>
        <v>7</v>
      </c>
      <c r="D1916" t="str" cm="1">
        <f t="array" aca="1" ref="D1916" ca="1">CELL("nomfichier",INDIRECT(A1916))</f>
        <v>G:\SCPE\sdc\bq\6 - Mentions valorisantes\Certification environnementale\TEXTES_REGLEMENTATION_CE\Plans_contrôle et grilles\Grille audit niveau 3\Grille d'audit v1.11\[grille-audit-hvev4-v1.11-vf.xlsx]Phyto</v>
      </c>
      <c r="E1916">
        <f t="shared" ca="1" si="117"/>
        <v>200</v>
      </c>
      <c r="F1916">
        <f t="shared" ca="1" si="118"/>
        <v>205</v>
      </c>
      <c r="G1916" t="str">
        <f t="shared" ca="1" si="119"/>
        <v>Phyto</v>
      </c>
      <c r="H1916" cm="1">
        <f t="array" aca="1" ref="H1916" ca="1">ROW(INDIRECT(A1916))</f>
        <v>100</v>
      </c>
      <c r="I1916" cm="1">
        <f t="array" aca="1" ref="I1916" ca="1">COLUMN(INDIRECT(A1916))</f>
        <v>10</v>
      </c>
      <c r="M1916" t="str" cm="1">
        <f t="array" aca="1" ref="M1916" ca="1">IF(AND(J1916="O",ISBLANK(INDIRECT(A1916))),"Valeur obligatoire non renseignée","")</f>
        <v/>
      </c>
    </row>
    <row r="1917" spans="1:13" x14ac:dyDescent="0.25">
      <c r="A1917" t="s">
        <v>5195</v>
      </c>
      <c r="B1917" cm="1">
        <f t="array" aca="1" ref="B1917" ca="1">INDIRECT(A1917)</f>
        <v>0</v>
      </c>
      <c r="C1917">
        <f t="shared" ca="1" si="116"/>
        <v>7</v>
      </c>
      <c r="D1917" t="str" cm="1">
        <f t="array" aca="1" ref="D1917" ca="1">CELL("nomfichier",INDIRECT(A1917))</f>
        <v>G:\SCPE\sdc\bq\6 - Mentions valorisantes\Certification environnementale\TEXTES_REGLEMENTATION_CE\Plans_contrôle et grilles\Grille audit niveau 3\Grille d'audit v1.11\[grille-audit-hvev4-v1.11-vf.xlsx]Phyto</v>
      </c>
      <c r="E1917">
        <f t="shared" ca="1" si="117"/>
        <v>200</v>
      </c>
      <c r="F1917">
        <f t="shared" ca="1" si="118"/>
        <v>205</v>
      </c>
      <c r="G1917" t="str">
        <f t="shared" ca="1" si="119"/>
        <v>Phyto</v>
      </c>
      <c r="H1917" cm="1">
        <f t="array" aca="1" ref="H1917" ca="1">ROW(INDIRECT(A1917))</f>
        <v>97</v>
      </c>
      <c r="I1917" cm="1">
        <f t="array" aca="1" ref="I1917" ca="1">COLUMN(INDIRECT(A1917))</f>
        <v>10</v>
      </c>
      <c r="M1917" t="str" cm="1">
        <f t="array" aca="1" ref="M1917" ca="1">IF(AND(J1917="O",ISBLANK(INDIRECT(A1917))),"Valeur obligatoire non renseignée","")</f>
        <v/>
      </c>
    </row>
    <row r="1918" spans="1:13" x14ac:dyDescent="0.25">
      <c r="A1918" t="s">
        <v>5196</v>
      </c>
      <c r="B1918" cm="1">
        <f t="array" aca="1" ref="B1918" ca="1">INDIRECT(A1918)</f>
        <v>0</v>
      </c>
      <c r="C1918">
        <f t="shared" ca="1" si="116"/>
        <v>7</v>
      </c>
      <c r="D1918" t="str" cm="1">
        <f t="array" aca="1" ref="D1918" ca="1">CELL("nomfichier",INDIRECT(A1918))</f>
        <v>G:\SCPE\sdc\bq\6 - Mentions valorisantes\Certification environnementale\TEXTES_REGLEMENTATION_CE\Plans_contrôle et grilles\Grille audit niveau 3\Grille d'audit v1.11\[grille-audit-hvev4-v1.11-vf.xlsx]Phyto</v>
      </c>
      <c r="E1918">
        <f t="shared" ca="1" si="117"/>
        <v>200</v>
      </c>
      <c r="F1918">
        <f t="shared" ca="1" si="118"/>
        <v>205</v>
      </c>
      <c r="G1918" t="str">
        <f t="shared" ca="1" si="119"/>
        <v>Phyto</v>
      </c>
      <c r="H1918" cm="1">
        <f t="array" aca="1" ref="H1918" ca="1">ROW(INDIRECT(A1918))</f>
        <v>99</v>
      </c>
      <c r="I1918" cm="1">
        <f t="array" aca="1" ref="I1918" ca="1">COLUMN(INDIRECT(A1918))</f>
        <v>10</v>
      </c>
      <c r="M1918" t="str" cm="1">
        <f t="array" aca="1" ref="M1918" ca="1">IF(AND(J1918="O",ISBLANK(INDIRECT(A1918))),"Valeur obligatoire non renseignée","")</f>
        <v/>
      </c>
    </row>
    <row r="1919" spans="1:13" x14ac:dyDescent="0.25">
      <c r="A1919" t="s">
        <v>5197</v>
      </c>
      <c r="B1919" cm="1">
        <f t="array" aca="1" ref="B1919" ca="1">INDIRECT(A1919)</f>
        <v>0</v>
      </c>
      <c r="C1919">
        <f t="shared" ca="1" si="116"/>
        <v>7</v>
      </c>
      <c r="D1919" t="str" cm="1">
        <f t="array" aca="1" ref="D1919" ca="1">CELL("nomfichier",INDIRECT(A1919))</f>
        <v>G:\SCPE\sdc\bq\6 - Mentions valorisantes\Certification environnementale\TEXTES_REGLEMENTATION_CE\Plans_contrôle et grilles\Grille audit niveau 3\Grille d'audit v1.11\[grille-audit-hvev4-v1.11-vf.xlsx]Phyto</v>
      </c>
      <c r="E1919">
        <f t="shared" ca="1" si="117"/>
        <v>200</v>
      </c>
      <c r="F1919">
        <f t="shared" ca="1" si="118"/>
        <v>205</v>
      </c>
      <c r="G1919" t="str">
        <f t="shared" ca="1" si="119"/>
        <v>Phyto</v>
      </c>
      <c r="H1919" cm="1">
        <f t="array" aca="1" ref="H1919" ca="1">ROW(INDIRECT(A1919))</f>
        <v>101</v>
      </c>
      <c r="I1919" cm="1">
        <f t="array" aca="1" ref="I1919" ca="1">COLUMN(INDIRECT(A1919))</f>
        <v>10</v>
      </c>
      <c r="M1919" t="str" cm="1">
        <f t="array" aca="1" ref="M1919" ca="1">IF(AND(J1919="O",ISBLANK(INDIRECT(A1919))),"Valeur obligatoire non renseignée","")</f>
        <v/>
      </c>
    </row>
    <row r="1920" spans="1:13" x14ac:dyDescent="0.25">
      <c r="A1920" t="s">
        <v>5198</v>
      </c>
      <c r="B1920" cm="1">
        <f t="array" aca="1" ref="B1920" ca="1">INDIRECT(A1920)</f>
        <v>0</v>
      </c>
      <c r="C1920">
        <f t="shared" ca="1" si="116"/>
        <v>7</v>
      </c>
      <c r="D1920" t="str" cm="1">
        <f t="array" aca="1" ref="D1920" ca="1">CELL("nomfichier",INDIRECT(A1920))</f>
        <v>G:\SCPE\sdc\bq\6 - Mentions valorisantes\Certification environnementale\TEXTES_REGLEMENTATION_CE\Plans_contrôle et grilles\Grille audit niveau 3\Grille d'audit v1.11\[grille-audit-hvev4-v1.11-vf.xlsx]Phyto</v>
      </c>
      <c r="E1920">
        <f t="shared" ca="1" si="117"/>
        <v>200</v>
      </c>
      <c r="F1920">
        <f t="shared" ca="1" si="118"/>
        <v>205</v>
      </c>
      <c r="G1920" t="str">
        <f t="shared" ca="1" si="119"/>
        <v>Phyto</v>
      </c>
      <c r="H1920" cm="1">
        <f t="array" aca="1" ref="H1920" ca="1">ROW(INDIRECT(A1920))</f>
        <v>96</v>
      </c>
      <c r="I1920" cm="1">
        <f t="array" aca="1" ref="I1920" ca="1">COLUMN(INDIRECT(A1920))</f>
        <v>12</v>
      </c>
      <c r="M1920" t="str" cm="1">
        <f t="array" aca="1" ref="M1920" ca="1">IF(AND(J1920="O",ISBLANK(INDIRECT(A1920))),"Valeur obligatoire non renseignée","")</f>
        <v/>
      </c>
    </row>
    <row r="1921" spans="1:13" x14ac:dyDescent="0.25">
      <c r="A1921" t="s">
        <v>5199</v>
      </c>
      <c r="B1921" cm="1">
        <f t="array" aca="1" ref="B1921" ca="1">INDIRECT(A1921)</f>
        <v>0</v>
      </c>
      <c r="C1921">
        <f t="shared" ca="1" si="116"/>
        <v>7</v>
      </c>
      <c r="D1921" t="str" cm="1">
        <f t="array" aca="1" ref="D1921" ca="1">CELL("nomfichier",INDIRECT(A1921))</f>
        <v>G:\SCPE\sdc\bq\6 - Mentions valorisantes\Certification environnementale\TEXTES_REGLEMENTATION_CE\Plans_contrôle et grilles\Grille audit niveau 3\Grille d'audit v1.11\[grille-audit-hvev4-v1.11-vf.xlsx]Phyto</v>
      </c>
      <c r="E1921">
        <f t="shared" ca="1" si="117"/>
        <v>200</v>
      </c>
      <c r="F1921">
        <f t="shared" ca="1" si="118"/>
        <v>205</v>
      </c>
      <c r="G1921" t="str">
        <f t="shared" ca="1" si="119"/>
        <v>Phyto</v>
      </c>
      <c r="H1921" cm="1">
        <f t="array" aca="1" ref="H1921" ca="1">ROW(INDIRECT(A1921))</f>
        <v>98</v>
      </c>
      <c r="I1921" cm="1">
        <f t="array" aca="1" ref="I1921" ca="1">COLUMN(INDIRECT(A1921))</f>
        <v>12</v>
      </c>
      <c r="M1921" t="str" cm="1">
        <f t="array" aca="1" ref="M1921" ca="1">IF(AND(J1921="O",ISBLANK(INDIRECT(A1921))),"Valeur obligatoire non renseignée","")</f>
        <v/>
      </c>
    </row>
    <row r="1922" spans="1:13" x14ac:dyDescent="0.25">
      <c r="A1922" t="s">
        <v>5200</v>
      </c>
      <c r="B1922" cm="1">
        <f t="array" aca="1" ref="B1922" ca="1">INDIRECT(A1922)</f>
        <v>0</v>
      </c>
      <c r="C1922">
        <f t="shared" ref="C1922:C1939" ca="1" si="120">_xlfn.SHEET(INDIRECT(A1922))</f>
        <v>7</v>
      </c>
      <c r="D1922" t="str" cm="1">
        <f t="array" aca="1" ref="D1922" ca="1">CELL("nomfichier",INDIRECT(A1922))</f>
        <v>G:\SCPE\sdc\bq\6 - Mentions valorisantes\Certification environnementale\TEXTES_REGLEMENTATION_CE\Plans_contrôle et grilles\Grille audit niveau 3\Grille d'audit v1.11\[grille-audit-hvev4-v1.11-vf.xlsx]Phyto</v>
      </c>
      <c r="E1922">
        <f t="shared" ref="E1922:E1939" ca="1" si="121">FIND("]",D1922)</f>
        <v>200</v>
      </c>
      <c r="F1922">
        <f t="shared" ref="F1922:F1939" ca="1" si="122">LEN(D1922)</f>
        <v>205</v>
      </c>
      <c r="G1922" t="str">
        <f t="shared" ref="G1922:G1939" ca="1" si="123">RIGHT(D1922,F1922-E1922)</f>
        <v>Phyto</v>
      </c>
      <c r="H1922" cm="1">
        <f t="array" aca="1" ref="H1922" ca="1">ROW(INDIRECT(A1922))</f>
        <v>100</v>
      </c>
      <c r="I1922" cm="1">
        <f t="array" aca="1" ref="I1922" ca="1">COLUMN(INDIRECT(A1922))</f>
        <v>12</v>
      </c>
      <c r="M1922" t="str" cm="1">
        <f t="array" aca="1" ref="M1922" ca="1">IF(AND(J1922="O",ISBLANK(INDIRECT(A1922))),"Valeur obligatoire non renseignée","")</f>
        <v/>
      </c>
    </row>
    <row r="1923" spans="1:13" x14ac:dyDescent="0.25">
      <c r="A1923" t="s">
        <v>5201</v>
      </c>
      <c r="B1923" cm="1">
        <f t="array" aca="1" ref="B1923" ca="1">INDIRECT(A1923)</f>
        <v>0</v>
      </c>
      <c r="C1923">
        <f t="shared" ca="1" si="120"/>
        <v>7</v>
      </c>
      <c r="D1923" t="str" cm="1">
        <f t="array" aca="1" ref="D1923" ca="1">CELL("nomfichier",INDIRECT(A1923))</f>
        <v>G:\SCPE\sdc\bq\6 - Mentions valorisantes\Certification environnementale\TEXTES_REGLEMENTATION_CE\Plans_contrôle et grilles\Grille audit niveau 3\Grille d'audit v1.11\[grille-audit-hvev4-v1.11-vf.xlsx]Phyto</v>
      </c>
      <c r="E1923">
        <f t="shared" ca="1" si="121"/>
        <v>200</v>
      </c>
      <c r="F1923">
        <f t="shared" ca="1" si="122"/>
        <v>205</v>
      </c>
      <c r="G1923" t="str">
        <f t="shared" ca="1" si="123"/>
        <v>Phyto</v>
      </c>
      <c r="H1923" cm="1">
        <f t="array" aca="1" ref="H1923" ca="1">ROW(INDIRECT(A1923))</f>
        <v>97</v>
      </c>
      <c r="I1923" cm="1">
        <f t="array" aca="1" ref="I1923" ca="1">COLUMN(INDIRECT(A1923))</f>
        <v>12</v>
      </c>
      <c r="M1923" t="str" cm="1">
        <f t="array" aca="1" ref="M1923" ca="1">IF(AND(J1923="O",ISBLANK(INDIRECT(A1923))),"Valeur obligatoire non renseignée","")</f>
        <v/>
      </c>
    </row>
    <row r="1924" spans="1:13" x14ac:dyDescent="0.25">
      <c r="A1924" t="s">
        <v>5202</v>
      </c>
      <c r="B1924" cm="1">
        <f t="array" aca="1" ref="B1924" ca="1">INDIRECT(A1924)</f>
        <v>0</v>
      </c>
      <c r="C1924">
        <f t="shared" ca="1" si="120"/>
        <v>7</v>
      </c>
      <c r="D1924" t="str" cm="1">
        <f t="array" aca="1" ref="D1924" ca="1">CELL("nomfichier",INDIRECT(A1924))</f>
        <v>G:\SCPE\sdc\bq\6 - Mentions valorisantes\Certification environnementale\TEXTES_REGLEMENTATION_CE\Plans_contrôle et grilles\Grille audit niveau 3\Grille d'audit v1.11\[grille-audit-hvev4-v1.11-vf.xlsx]Phyto</v>
      </c>
      <c r="E1924">
        <f t="shared" ca="1" si="121"/>
        <v>200</v>
      </c>
      <c r="F1924">
        <f t="shared" ca="1" si="122"/>
        <v>205</v>
      </c>
      <c r="G1924" t="str">
        <f t="shared" ca="1" si="123"/>
        <v>Phyto</v>
      </c>
      <c r="H1924" cm="1">
        <f t="array" aca="1" ref="H1924" ca="1">ROW(INDIRECT(A1924))</f>
        <v>99</v>
      </c>
      <c r="I1924" cm="1">
        <f t="array" aca="1" ref="I1924" ca="1">COLUMN(INDIRECT(A1924))</f>
        <v>12</v>
      </c>
      <c r="M1924" t="str" cm="1">
        <f t="array" aca="1" ref="M1924" ca="1">IF(AND(J1924="O",ISBLANK(INDIRECT(A1924))),"Valeur obligatoire non renseignée","")</f>
        <v/>
      </c>
    </row>
    <row r="1925" spans="1:13" x14ac:dyDescent="0.25">
      <c r="A1925" t="s">
        <v>5203</v>
      </c>
      <c r="B1925" cm="1">
        <f t="array" aca="1" ref="B1925" ca="1">INDIRECT(A1925)</f>
        <v>0</v>
      </c>
      <c r="C1925">
        <f t="shared" ca="1" si="120"/>
        <v>7</v>
      </c>
      <c r="D1925" t="str" cm="1">
        <f t="array" aca="1" ref="D1925" ca="1">CELL("nomfichier",INDIRECT(A1925))</f>
        <v>G:\SCPE\sdc\bq\6 - Mentions valorisantes\Certification environnementale\TEXTES_REGLEMENTATION_CE\Plans_contrôle et grilles\Grille audit niveau 3\Grille d'audit v1.11\[grille-audit-hvev4-v1.11-vf.xlsx]Phyto</v>
      </c>
      <c r="E1925">
        <f t="shared" ca="1" si="121"/>
        <v>200</v>
      </c>
      <c r="F1925">
        <f t="shared" ca="1" si="122"/>
        <v>205</v>
      </c>
      <c r="G1925" t="str">
        <f t="shared" ca="1" si="123"/>
        <v>Phyto</v>
      </c>
      <c r="H1925" cm="1">
        <f t="array" aca="1" ref="H1925" ca="1">ROW(INDIRECT(A1925))</f>
        <v>101</v>
      </c>
      <c r="I1925" cm="1">
        <f t="array" aca="1" ref="I1925" ca="1">COLUMN(INDIRECT(A1925))</f>
        <v>12</v>
      </c>
      <c r="M1925" t="str" cm="1">
        <f t="array" aca="1" ref="M1925" ca="1">IF(AND(J1925="O",ISBLANK(INDIRECT(A1925))),"Valeur obligatoire non renseignée","")</f>
        <v/>
      </c>
    </row>
    <row r="1926" spans="1:13" x14ac:dyDescent="0.25">
      <c r="A1926" t="s">
        <v>5204</v>
      </c>
      <c r="B1926" cm="1">
        <f t="array" aca="1" ref="B1926" ca="1">INDIRECT(A1926)</f>
        <v>0</v>
      </c>
      <c r="C1926">
        <f t="shared" ca="1" si="120"/>
        <v>7</v>
      </c>
      <c r="D1926" t="str" cm="1">
        <f t="array" aca="1" ref="D1926" ca="1">CELL("nomfichier",INDIRECT(A1926))</f>
        <v>G:\SCPE\sdc\bq\6 - Mentions valorisantes\Certification environnementale\TEXTES_REGLEMENTATION_CE\Plans_contrôle et grilles\Grille audit niveau 3\Grille d'audit v1.11\[grille-audit-hvev4-v1.11-vf.xlsx]Phyto</v>
      </c>
      <c r="E1926">
        <f t="shared" ca="1" si="121"/>
        <v>200</v>
      </c>
      <c r="F1926">
        <f t="shared" ca="1" si="122"/>
        <v>205</v>
      </c>
      <c r="G1926" t="str">
        <f t="shared" ca="1" si="123"/>
        <v>Phyto</v>
      </c>
      <c r="H1926" cm="1">
        <f t="array" aca="1" ref="H1926" ca="1">ROW(INDIRECT(A1926))</f>
        <v>96</v>
      </c>
      <c r="I1926" cm="1">
        <f t="array" aca="1" ref="I1926" ca="1">COLUMN(INDIRECT(A1926))</f>
        <v>14</v>
      </c>
      <c r="M1926" t="str" cm="1">
        <f t="array" aca="1" ref="M1926" ca="1">IF(AND(J1926="O",ISBLANK(INDIRECT(A1926))),"Valeur obligatoire non renseignée","")</f>
        <v/>
      </c>
    </row>
    <row r="1927" spans="1:13" x14ac:dyDescent="0.25">
      <c r="A1927" t="s">
        <v>5205</v>
      </c>
      <c r="B1927" cm="1">
        <f t="array" aca="1" ref="B1927" ca="1">INDIRECT(A1927)</f>
        <v>0</v>
      </c>
      <c r="C1927">
        <f t="shared" ca="1" si="120"/>
        <v>7</v>
      </c>
      <c r="D1927" t="str" cm="1">
        <f t="array" aca="1" ref="D1927" ca="1">CELL("nomfichier",INDIRECT(A1927))</f>
        <v>G:\SCPE\sdc\bq\6 - Mentions valorisantes\Certification environnementale\TEXTES_REGLEMENTATION_CE\Plans_contrôle et grilles\Grille audit niveau 3\Grille d'audit v1.11\[grille-audit-hvev4-v1.11-vf.xlsx]Phyto</v>
      </c>
      <c r="E1927">
        <f t="shared" ca="1" si="121"/>
        <v>200</v>
      </c>
      <c r="F1927">
        <f t="shared" ca="1" si="122"/>
        <v>205</v>
      </c>
      <c r="G1927" t="str">
        <f t="shared" ca="1" si="123"/>
        <v>Phyto</v>
      </c>
      <c r="H1927" cm="1">
        <f t="array" aca="1" ref="H1927" ca="1">ROW(INDIRECT(A1927))</f>
        <v>98</v>
      </c>
      <c r="I1927" cm="1">
        <f t="array" aca="1" ref="I1927" ca="1">COLUMN(INDIRECT(A1927))</f>
        <v>14</v>
      </c>
      <c r="M1927" t="str" cm="1">
        <f t="array" aca="1" ref="M1927" ca="1">IF(AND(J1927="O",ISBLANK(INDIRECT(A1927))),"Valeur obligatoire non renseignée","")</f>
        <v/>
      </c>
    </row>
    <row r="1928" spans="1:13" x14ac:dyDescent="0.25">
      <c r="A1928" t="s">
        <v>5206</v>
      </c>
      <c r="B1928" cm="1">
        <f t="array" aca="1" ref="B1928" ca="1">INDIRECT(A1928)</f>
        <v>0</v>
      </c>
      <c r="C1928">
        <f t="shared" ca="1" si="120"/>
        <v>7</v>
      </c>
      <c r="D1928" t="str" cm="1">
        <f t="array" aca="1" ref="D1928" ca="1">CELL("nomfichier",INDIRECT(A1928))</f>
        <v>G:\SCPE\sdc\bq\6 - Mentions valorisantes\Certification environnementale\TEXTES_REGLEMENTATION_CE\Plans_contrôle et grilles\Grille audit niveau 3\Grille d'audit v1.11\[grille-audit-hvev4-v1.11-vf.xlsx]Phyto</v>
      </c>
      <c r="E1928">
        <f t="shared" ca="1" si="121"/>
        <v>200</v>
      </c>
      <c r="F1928">
        <f t="shared" ca="1" si="122"/>
        <v>205</v>
      </c>
      <c r="G1928" t="str">
        <f t="shared" ca="1" si="123"/>
        <v>Phyto</v>
      </c>
      <c r="H1928" cm="1">
        <f t="array" aca="1" ref="H1928" ca="1">ROW(INDIRECT(A1928))</f>
        <v>100</v>
      </c>
      <c r="I1928" cm="1">
        <f t="array" aca="1" ref="I1928" ca="1">COLUMN(INDIRECT(A1928))</f>
        <v>14</v>
      </c>
      <c r="M1928" t="str" cm="1">
        <f t="array" aca="1" ref="M1928" ca="1">IF(AND(J1928="O",ISBLANK(INDIRECT(A1928))),"Valeur obligatoire non renseignée","")</f>
        <v/>
      </c>
    </row>
    <row r="1929" spans="1:13" x14ac:dyDescent="0.25">
      <c r="A1929" t="s">
        <v>5207</v>
      </c>
      <c r="B1929" cm="1">
        <f t="array" aca="1" ref="B1929" ca="1">INDIRECT(A1929)</f>
        <v>0</v>
      </c>
      <c r="C1929">
        <f t="shared" ca="1" si="120"/>
        <v>7</v>
      </c>
      <c r="D1929" t="str" cm="1">
        <f t="array" aca="1" ref="D1929" ca="1">CELL("nomfichier",INDIRECT(A1929))</f>
        <v>G:\SCPE\sdc\bq\6 - Mentions valorisantes\Certification environnementale\TEXTES_REGLEMENTATION_CE\Plans_contrôle et grilles\Grille audit niveau 3\Grille d'audit v1.11\[grille-audit-hvev4-v1.11-vf.xlsx]Phyto</v>
      </c>
      <c r="E1929">
        <f t="shared" ca="1" si="121"/>
        <v>200</v>
      </c>
      <c r="F1929">
        <f t="shared" ca="1" si="122"/>
        <v>205</v>
      </c>
      <c r="G1929" t="str">
        <f t="shared" ca="1" si="123"/>
        <v>Phyto</v>
      </c>
      <c r="H1929" cm="1">
        <f t="array" aca="1" ref="H1929" ca="1">ROW(INDIRECT(A1929))</f>
        <v>97</v>
      </c>
      <c r="I1929" cm="1">
        <f t="array" aca="1" ref="I1929" ca="1">COLUMN(INDIRECT(A1929))</f>
        <v>14</v>
      </c>
      <c r="M1929" t="str" cm="1">
        <f t="array" aca="1" ref="M1929" ca="1">IF(AND(J1929="O",ISBLANK(INDIRECT(A1929))),"Valeur obligatoire non renseignée","")</f>
        <v/>
      </c>
    </row>
    <row r="1930" spans="1:13" x14ac:dyDescent="0.25">
      <c r="A1930" t="s">
        <v>5208</v>
      </c>
      <c r="B1930" cm="1">
        <f t="array" aca="1" ref="B1930" ca="1">INDIRECT(A1930)</f>
        <v>0</v>
      </c>
      <c r="C1930">
        <f t="shared" ca="1" si="120"/>
        <v>7</v>
      </c>
      <c r="D1930" t="str" cm="1">
        <f t="array" aca="1" ref="D1930" ca="1">CELL("nomfichier",INDIRECT(A1930))</f>
        <v>G:\SCPE\sdc\bq\6 - Mentions valorisantes\Certification environnementale\TEXTES_REGLEMENTATION_CE\Plans_contrôle et grilles\Grille audit niveau 3\Grille d'audit v1.11\[grille-audit-hvev4-v1.11-vf.xlsx]Phyto</v>
      </c>
      <c r="E1930">
        <f t="shared" ca="1" si="121"/>
        <v>200</v>
      </c>
      <c r="F1930">
        <f t="shared" ca="1" si="122"/>
        <v>205</v>
      </c>
      <c r="G1930" t="str">
        <f t="shared" ca="1" si="123"/>
        <v>Phyto</v>
      </c>
      <c r="H1930" cm="1">
        <f t="array" aca="1" ref="H1930" ca="1">ROW(INDIRECT(A1930))</f>
        <v>99</v>
      </c>
      <c r="I1930" cm="1">
        <f t="array" aca="1" ref="I1930" ca="1">COLUMN(INDIRECT(A1930))</f>
        <v>14</v>
      </c>
      <c r="M1930" t="str" cm="1">
        <f t="array" aca="1" ref="M1930" ca="1">IF(AND(J1930="O",ISBLANK(INDIRECT(A1930))),"Valeur obligatoire non renseignée","")</f>
        <v/>
      </c>
    </row>
    <row r="1931" spans="1:13" x14ac:dyDescent="0.25">
      <c r="A1931" t="s">
        <v>5209</v>
      </c>
      <c r="B1931" cm="1">
        <f t="array" aca="1" ref="B1931" ca="1">INDIRECT(A1931)</f>
        <v>0</v>
      </c>
      <c r="C1931">
        <f t="shared" ca="1" si="120"/>
        <v>7</v>
      </c>
      <c r="D1931" t="str" cm="1">
        <f t="array" aca="1" ref="D1931" ca="1">CELL("nomfichier",INDIRECT(A1931))</f>
        <v>G:\SCPE\sdc\bq\6 - Mentions valorisantes\Certification environnementale\TEXTES_REGLEMENTATION_CE\Plans_contrôle et grilles\Grille audit niveau 3\Grille d'audit v1.11\[grille-audit-hvev4-v1.11-vf.xlsx]Phyto</v>
      </c>
      <c r="E1931">
        <f t="shared" ca="1" si="121"/>
        <v>200</v>
      </c>
      <c r="F1931">
        <f t="shared" ca="1" si="122"/>
        <v>205</v>
      </c>
      <c r="G1931" t="str">
        <f t="shared" ca="1" si="123"/>
        <v>Phyto</v>
      </c>
      <c r="H1931" cm="1">
        <f t="array" aca="1" ref="H1931" ca="1">ROW(INDIRECT(A1931))</f>
        <v>101</v>
      </c>
      <c r="I1931" cm="1">
        <f t="array" aca="1" ref="I1931" ca="1">COLUMN(INDIRECT(A1931))</f>
        <v>14</v>
      </c>
      <c r="M1931" t="str" cm="1">
        <f t="array" aca="1" ref="M1931" ca="1">IF(AND(J1931="O",ISBLANK(INDIRECT(A1931))),"Valeur obligatoire non renseignée","")</f>
        <v/>
      </c>
    </row>
    <row r="1932" spans="1:13" x14ac:dyDescent="0.25">
      <c r="A1932" t="s">
        <v>5210</v>
      </c>
      <c r="B1932" cm="1">
        <f t="array" aca="1" ref="B1932" ca="1">INDIRECT(A1932)</f>
        <v>0</v>
      </c>
      <c r="C1932">
        <f t="shared" ca="1" si="120"/>
        <v>7</v>
      </c>
      <c r="D1932" t="str" cm="1">
        <f t="array" aca="1" ref="D1932" ca="1">CELL("nomfichier",INDIRECT(A1932))</f>
        <v>G:\SCPE\sdc\bq\6 - Mentions valorisantes\Certification environnementale\TEXTES_REGLEMENTATION_CE\Plans_contrôle et grilles\Grille audit niveau 3\Grille d'audit v1.11\[grille-audit-hvev4-v1.11-vf.xlsx]Phyto</v>
      </c>
      <c r="E1932">
        <f t="shared" ca="1" si="121"/>
        <v>200</v>
      </c>
      <c r="F1932">
        <f t="shared" ca="1" si="122"/>
        <v>205</v>
      </c>
      <c r="G1932" t="str">
        <f t="shared" ca="1" si="123"/>
        <v>Phyto</v>
      </c>
      <c r="H1932" cm="1">
        <f t="array" aca="1" ref="H1932" ca="1">ROW(INDIRECT(A1932))</f>
        <v>96</v>
      </c>
      <c r="I1932" cm="1">
        <f t="array" aca="1" ref="I1932" ca="1">COLUMN(INDIRECT(A1932))</f>
        <v>16</v>
      </c>
      <c r="M1932" t="str" cm="1">
        <f t="array" aca="1" ref="M1932" ca="1">IF(AND(J1932="O",ISBLANK(INDIRECT(A1932))),"Valeur obligatoire non renseignée","")</f>
        <v/>
      </c>
    </row>
    <row r="1933" spans="1:13" x14ac:dyDescent="0.25">
      <c r="A1933" t="s">
        <v>5211</v>
      </c>
      <c r="B1933" cm="1">
        <f t="array" aca="1" ref="B1933" ca="1">INDIRECT(A1933)</f>
        <v>0</v>
      </c>
      <c r="C1933">
        <f t="shared" ca="1" si="120"/>
        <v>7</v>
      </c>
      <c r="D1933" t="str" cm="1">
        <f t="array" aca="1" ref="D1933" ca="1">CELL("nomfichier",INDIRECT(A1933))</f>
        <v>G:\SCPE\sdc\bq\6 - Mentions valorisantes\Certification environnementale\TEXTES_REGLEMENTATION_CE\Plans_contrôle et grilles\Grille audit niveau 3\Grille d'audit v1.11\[grille-audit-hvev4-v1.11-vf.xlsx]Phyto</v>
      </c>
      <c r="E1933">
        <f t="shared" ca="1" si="121"/>
        <v>200</v>
      </c>
      <c r="F1933">
        <f t="shared" ca="1" si="122"/>
        <v>205</v>
      </c>
      <c r="G1933" t="str">
        <f t="shared" ca="1" si="123"/>
        <v>Phyto</v>
      </c>
      <c r="H1933" cm="1">
        <f t="array" aca="1" ref="H1933" ca="1">ROW(INDIRECT(A1933))</f>
        <v>98</v>
      </c>
      <c r="I1933" cm="1">
        <f t="array" aca="1" ref="I1933" ca="1">COLUMN(INDIRECT(A1933))</f>
        <v>16</v>
      </c>
      <c r="M1933" t="str" cm="1">
        <f t="array" aca="1" ref="M1933" ca="1">IF(AND(J1933="O",ISBLANK(INDIRECT(A1933))),"Valeur obligatoire non renseignée","")</f>
        <v/>
      </c>
    </row>
    <row r="1934" spans="1:13" x14ac:dyDescent="0.25">
      <c r="A1934" t="s">
        <v>5212</v>
      </c>
      <c r="B1934" cm="1">
        <f t="array" aca="1" ref="B1934" ca="1">INDIRECT(A1934)</f>
        <v>0</v>
      </c>
      <c r="C1934">
        <f t="shared" ca="1" si="120"/>
        <v>7</v>
      </c>
      <c r="D1934" t="str" cm="1">
        <f t="array" aca="1" ref="D1934" ca="1">CELL("nomfichier",INDIRECT(A1934))</f>
        <v>G:\SCPE\sdc\bq\6 - Mentions valorisantes\Certification environnementale\TEXTES_REGLEMENTATION_CE\Plans_contrôle et grilles\Grille audit niveau 3\Grille d'audit v1.11\[grille-audit-hvev4-v1.11-vf.xlsx]Phyto</v>
      </c>
      <c r="E1934">
        <f t="shared" ca="1" si="121"/>
        <v>200</v>
      </c>
      <c r="F1934">
        <f t="shared" ca="1" si="122"/>
        <v>205</v>
      </c>
      <c r="G1934" t="str">
        <f t="shared" ca="1" si="123"/>
        <v>Phyto</v>
      </c>
      <c r="H1934" cm="1">
        <f t="array" aca="1" ref="H1934" ca="1">ROW(INDIRECT(A1934))</f>
        <v>100</v>
      </c>
      <c r="I1934" cm="1">
        <f t="array" aca="1" ref="I1934" ca="1">COLUMN(INDIRECT(A1934))</f>
        <v>16</v>
      </c>
      <c r="M1934" t="str" cm="1">
        <f t="array" aca="1" ref="M1934" ca="1">IF(AND(J1934="O",ISBLANK(INDIRECT(A1934))),"Valeur obligatoire non renseignée","")</f>
        <v/>
      </c>
    </row>
    <row r="1935" spans="1:13" x14ac:dyDescent="0.25">
      <c r="A1935" t="s">
        <v>5213</v>
      </c>
      <c r="B1935" cm="1">
        <f t="array" aca="1" ref="B1935" ca="1">INDIRECT(A1935)</f>
        <v>0</v>
      </c>
      <c r="C1935">
        <f t="shared" ca="1" si="120"/>
        <v>7</v>
      </c>
      <c r="D1935" t="str" cm="1">
        <f t="array" aca="1" ref="D1935" ca="1">CELL("nomfichier",INDIRECT(A1935))</f>
        <v>G:\SCPE\sdc\bq\6 - Mentions valorisantes\Certification environnementale\TEXTES_REGLEMENTATION_CE\Plans_contrôle et grilles\Grille audit niveau 3\Grille d'audit v1.11\[grille-audit-hvev4-v1.11-vf.xlsx]Phyto</v>
      </c>
      <c r="E1935">
        <f t="shared" ca="1" si="121"/>
        <v>200</v>
      </c>
      <c r="F1935">
        <f t="shared" ca="1" si="122"/>
        <v>205</v>
      </c>
      <c r="G1935" t="str">
        <f t="shared" ca="1" si="123"/>
        <v>Phyto</v>
      </c>
      <c r="H1935" cm="1">
        <f t="array" aca="1" ref="H1935" ca="1">ROW(INDIRECT(A1935))</f>
        <v>97</v>
      </c>
      <c r="I1935" cm="1">
        <f t="array" aca="1" ref="I1935" ca="1">COLUMN(INDIRECT(A1935))</f>
        <v>16</v>
      </c>
      <c r="M1935" t="str" cm="1">
        <f t="array" aca="1" ref="M1935" ca="1">IF(AND(J1935="O",ISBLANK(INDIRECT(A1935))),"Valeur obligatoire non renseignée","")</f>
        <v/>
      </c>
    </row>
    <row r="1936" spans="1:13" x14ac:dyDescent="0.25">
      <c r="A1936" t="s">
        <v>5214</v>
      </c>
      <c r="B1936" cm="1">
        <f t="array" aca="1" ref="B1936" ca="1">INDIRECT(A1936)</f>
        <v>0</v>
      </c>
      <c r="C1936">
        <f t="shared" ca="1" si="120"/>
        <v>7</v>
      </c>
      <c r="D1936" t="str" cm="1">
        <f t="array" aca="1" ref="D1936" ca="1">CELL("nomfichier",INDIRECT(A1936))</f>
        <v>G:\SCPE\sdc\bq\6 - Mentions valorisantes\Certification environnementale\TEXTES_REGLEMENTATION_CE\Plans_contrôle et grilles\Grille audit niveau 3\Grille d'audit v1.11\[grille-audit-hvev4-v1.11-vf.xlsx]Phyto</v>
      </c>
      <c r="E1936">
        <f t="shared" ca="1" si="121"/>
        <v>200</v>
      </c>
      <c r="F1936">
        <f t="shared" ca="1" si="122"/>
        <v>205</v>
      </c>
      <c r="G1936" t="str">
        <f t="shared" ca="1" si="123"/>
        <v>Phyto</v>
      </c>
      <c r="H1936" cm="1">
        <f t="array" aca="1" ref="H1936" ca="1">ROW(INDIRECT(A1936))</f>
        <v>99</v>
      </c>
      <c r="I1936" cm="1">
        <f t="array" aca="1" ref="I1936" ca="1">COLUMN(INDIRECT(A1936))</f>
        <v>16</v>
      </c>
      <c r="M1936" t="str" cm="1">
        <f t="array" aca="1" ref="M1936" ca="1">IF(AND(J1936="O",ISBLANK(INDIRECT(A1936))),"Valeur obligatoire non renseignée","")</f>
        <v/>
      </c>
    </row>
    <row r="1937" spans="1:13" x14ac:dyDescent="0.25">
      <c r="A1937" t="s">
        <v>5215</v>
      </c>
      <c r="B1937" cm="1">
        <f t="array" aca="1" ref="B1937" ca="1">INDIRECT(A1937)</f>
        <v>0</v>
      </c>
      <c r="C1937">
        <f t="shared" ca="1" si="120"/>
        <v>7</v>
      </c>
      <c r="D1937" t="str" cm="1">
        <f t="array" aca="1" ref="D1937" ca="1">CELL("nomfichier",INDIRECT(A1937))</f>
        <v>G:\SCPE\sdc\bq\6 - Mentions valorisantes\Certification environnementale\TEXTES_REGLEMENTATION_CE\Plans_contrôle et grilles\Grille audit niveau 3\Grille d'audit v1.11\[grille-audit-hvev4-v1.11-vf.xlsx]Phyto</v>
      </c>
      <c r="E1937">
        <f t="shared" ca="1" si="121"/>
        <v>200</v>
      </c>
      <c r="F1937">
        <f t="shared" ca="1" si="122"/>
        <v>205</v>
      </c>
      <c r="G1937" t="str">
        <f t="shared" ca="1" si="123"/>
        <v>Phyto</v>
      </c>
      <c r="H1937" cm="1">
        <f t="array" aca="1" ref="H1937" ca="1">ROW(INDIRECT(A1937))</f>
        <v>101</v>
      </c>
      <c r="I1937" cm="1">
        <f t="array" aca="1" ref="I1937" ca="1">COLUMN(INDIRECT(A1937))</f>
        <v>16</v>
      </c>
      <c r="M1937" t="str" cm="1">
        <f t="array" aca="1" ref="M1937" ca="1">IF(AND(J1937="O",ISBLANK(INDIRECT(A1937))),"Valeur obligatoire non renseignée","")</f>
        <v/>
      </c>
    </row>
    <row r="1938" spans="1:13" x14ac:dyDescent="0.25">
      <c r="A1938" t="s">
        <v>5181</v>
      </c>
      <c r="B1938" cm="1">
        <f t="array" aca="1" ref="B1938" ca="1">INDIRECT(A1938)</f>
        <v>0</v>
      </c>
      <c r="C1938">
        <f t="shared" ca="1" si="120"/>
        <v>8</v>
      </c>
      <c r="D1938" t="str" cm="1">
        <f t="array" aca="1" ref="D1938" ca="1">CELL("nomfichier",INDIRECT(A1938))</f>
        <v>G:\SCPE\sdc\bq\6 - Mentions valorisantes\Certification environnementale\TEXTES_REGLEMENTATION_CE\Plans_contrôle et grilles\Grille audit niveau 3\Grille d'audit v1.11\[grille-audit-hvev4-v1.11-vf.xlsx]Fertilisation</v>
      </c>
      <c r="E1938">
        <f t="shared" ca="1" si="121"/>
        <v>200</v>
      </c>
      <c r="F1938">
        <f t="shared" ca="1" si="122"/>
        <v>213</v>
      </c>
      <c r="G1938" t="str">
        <f t="shared" ca="1" si="123"/>
        <v>Fertilisation</v>
      </c>
      <c r="H1938" cm="1">
        <f t="array" aca="1" ref="H1938" ca="1">ROW(INDIRECT(A1938))</f>
        <v>283</v>
      </c>
      <c r="I1938" cm="1">
        <f t="array" aca="1" ref="I1938" ca="1">COLUMN(INDIRECT(A1938))</f>
        <v>15</v>
      </c>
      <c r="M1938" t="str" cm="1">
        <f t="array" aca="1" ref="M1938" ca="1">IF(AND(J1938="O",ISBLANK(INDIRECT(A1938))),"Valeur obligatoire non renseignée","")</f>
        <v/>
      </c>
    </row>
    <row r="1939" spans="1:13" x14ac:dyDescent="0.25">
      <c r="A1939" t="s">
        <v>5250</v>
      </c>
      <c r="B1939" t="e" cm="1">
        <f t="array" aca="1" ref="B1939" ca="1">INDIRECT(A1939)</f>
        <v>#N/A</v>
      </c>
      <c r="C1939">
        <f t="shared" ca="1" si="120"/>
        <v>3</v>
      </c>
      <c r="D1939" t="str" cm="1">
        <f t="array" aca="1" ref="D1939" ca="1">CELL("nomfichier",INDIRECT(A1939))</f>
        <v>G:\SCPE\sdc\bq\6 - Mentions valorisantes\Certification environnementale\TEXTES_REGLEMENTATION_CE\Plans_contrôle et grilles\Grille audit niveau 3\Grille d'audit v1.11\[grille-audit-hvev4-v1.11-vf.xlsx]Identification</v>
      </c>
      <c r="E1939">
        <f t="shared" ca="1" si="121"/>
        <v>200</v>
      </c>
      <c r="F1939">
        <f t="shared" ca="1" si="122"/>
        <v>214</v>
      </c>
      <c r="G1939" t="str">
        <f t="shared" ca="1" si="123"/>
        <v>Identification</v>
      </c>
      <c r="H1939" cm="1">
        <f t="array" aca="1" ref="H1939" ca="1">ROW(INDIRECT(A1939))</f>
        <v>56</v>
      </c>
      <c r="I1939" cm="1">
        <f t="array" aca="1" ref="I1939" ca="1">COLUMN(INDIRECT(A1939))</f>
        <v>10</v>
      </c>
      <c r="M1939" t="str" cm="1">
        <f t="array" aca="1" ref="M1939" ca="1">IF(AND(J1939="O",ISBLANK(INDIRECT(A1939))),"Valeur obligatoire non renseignée","")</f>
        <v/>
      </c>
    </row>
    <row r="1940" spans="1:13" x14ac:dyDescent="0.25">
      <c r="A1940" t="s">
        <v>5251</v>
      </c>
      <c r="B1940" t="e" cm="1">
        <f t="array" aca="1" ref="B1940" ca="1">INDIRECT(A1940)</f>
        <v>#N/A</v>
      </c>
      <c r="C1940">
        <f t="shared" ref="C1940:C1946" ca="1" si="124">_xlfn.SHEET(INDIRECT(A1940))</f>
        <v>3</v>
      </c>
      <c r="D1940" t="str" cm="1">
        <f t="array" aca="1" ref="D1940" ca="1">CELL("nomfichier",INDIRECT(A1940))</f>
        <v>G:\SCPE\sdc\bq\6 - Mentions valorisantes\Certification environnementale\TEXTES_REGLEMENTATION_CE\Plans_contrôle et grilles\Grille audit niveau 3\Grille d'audit v1.11\[grille-audit-hvev4-v1.11-vf.xlsx]Identification</v>
      </c>
      <c r="E1940">
        <f t="shared" ref="E1940:E1946" ca="1" si="125">FIND("]",D1940)</f>
        <v>200</v>
      </c>
      <c r="F1940">
        <f t="shared" ref="F1940:F1946" ca="1" si="126">LEN(D1940)</f>
        <v>214</v>
      </c>
      <c r="G1940" t="str">
        <f t="shared" ref="G1940:G1946" ca="1" si="127">RIGHT(D1940,F1940-E1940)</f>
        <v>Identification</v>
      </c>
      <c r="H1940" cm="1">
        <f t="array" aca="1" ref="H1940" ca="1">ROW(INDIRECT(A1940))</f>
        <v>61</v>
      </c>
      <c r="I1940" cm="1">
        <f t="array" aca="1" ref="I1940" ca="1">COLUMN(INDIRECT(A1940))</f>
        <v>13</v>
      </c>
      <c r="M1940" t="str" cm="1">
        <f t="array" aca="1" ref="M1940" ca="1">IF(AND(J1940="O",ISBLANK(INDIRECT(A1940))),"Valeur obligatoire non renseignée","")</f>
        <v/>
      </c>
    </row>
    <row r="1941" spans="1:13" x14ac:dyDescent="0.25">
      <c r="A1941" t="s">
        <v>5252</v>
      </c>
      <c r="B1941" t="e" cm="1">
        <f t="array" aca="1" ref="B1941" ca="1">INDIRECT(A1941)</f>
        <v>#N/A</v>
      </c>
      <c r="C1941">
        <f t="shared" ca="1" si="124"/>
        <v>3</v>
      </c>
      <c r="D1941" t="str" cm="1">
        <f t="array" aca="1" ref="D1941" ca="1">CELL("nomfichier",INDIRECT(A1941))</f>
        <v>G:\SCPE\sdc\bq\6 - Mentions valorisantes\Certification environnementale\TEXTES_REGLEMENTATION_CE\Plans_contrôle et grilles\Grille audit niveau 3\Grille d'audit v1.11\[grille-audit-hvev4-v1.11-vf.xlsx]Identification</v>
      </c>
      <c r="E1941">
        <f t="shared" ca="1" si="125"/>
        <v>200</v>
      </c>
      <c r="F1941">
        <f t="shared" ca="1" si="126"/>
        <v>214</v>
      </c>
      <c r="G1941" t="str">
        <f t="shared" ca="1" si="127"/>
        <v>Identification</v>
      </c>
      <c r="H1941" cm="1">
        <f t="array" aca="1" ref="H1941" ca="1">ROW(INDIRECT(A1941))</f>
        <v>63</v>
      </c>
      <c r="I1941" cm="1">
        <f t="array" aca="1" ref="I1941" ca="1">COLUMN(INDIRECT(A1941))</f>
        <v>13</v>
      </c>
      <c r="M1941" t="str" cm="1">
        <f t="array" aca="1" ref="M1941" ca="1">IF(AND(J1941="O",ISBLANK(INDIRECT(A1941))),"Valeur obligatoire non renseignée","")</f>
        <v/>
      </c>
    </row>
    <row r="1942" spans="1:13" x14ac:dyDescent="0.25">
      <c r="A1942" t="s">
        <v>5253</v>
      </c>
      <c r="B1942" t="e" cm="1">
        <f t="array" aca="1" ref="B1942" ca="1">INDIRECT(A1942)</f>
        <v>#N/A</v>
      </c>
      <c r="C1942">
        <f t="shared" ca="1" si="124"/>
        <v>3</v>
      </c>
      <c r="D1942" t="str" cm="1">
        <f t="array" aca="1" ref="D1942" ca="1">CELL("nomfichier",INDIRECT(A1942))</f>
        <v>G:\SCPE\sdc\bq\6 - Mentions valorisantes\Certification environnementale\TEXTES_REGLEMENTATION_CE\Plans_contrôle et grilles\Grille audit niveau 3\Grille d'audit v1.11\[grille-audit-hvev4-v1.11-vf.xlsx]Identification</v>
      </c>
      <c r="E1942">
        <f t="shared" ca="1" si="125"/>
        <v>200</v>
      </c>
      <c r="F1942">
        <f t="shared" ca="1" si="126"/>
        <v>214</v>
      </c>
      <c r="G1942" t="str">
        <f t="shared" ca="1" si="127"/>
        <v>Identification</v>
      </c>
      <c r="H1942" cm="1">
        <f t="array" aca="1" ref="H1942" ca="1">ROW(INDIRECT(A1942))</f>
        <v>65</v>
      </c>
      <c r="I1942" cm="1">
        <f t="array" aca="1" ref="I1942" ca="1">COLUMN(INDIRECT(A1942))</f>
        <v>13</v>
      </c>
      <c r="M1942" t="str" cm="1">
        <f t="array" aca="1" ref="M1942" ca="1">IF(AND(J1942="O",ISBLANK(INDIRECT(A1942))),"Valeur obligatoire non renseignée","")</f>
        <v/>
      </c>
    </row>
    <row r="1943" spans="1:13" x14ac:dyDescent="0.25">
      <c r="A1943" t="s">
        <v>5254</v>
      </c>
      <c r="B1943" t="e" cm="1">
        <f t="array" aca="1" ref="B1943" ca="1">INDIRECT(A1943)</f>
        <v>#N/A</v>
      </c>
      <c r="C1943">
        <f t="shared" ca="1" si="124"/>
        <v>3</v>
      </c>
      <c r="D1943" t="str" cm="1">
        <f t="array" aca="1" ref="D1943" ca="1">CELL("nomfichier",INDIRECT(A1943))</f>
        <v>G:\SCPE\sdc\bq\6 - Mentions valorisantes\Certification environnementale\TEXTES_REGLEMENTATION_CE\Plans_contrôle et grilles\Grille audit niveau 3\Grille d'audit v1.11\[grille-audit-hvev4-v1.11-vf.xlsx]Identification</v>
      </c>
      <c r="E1943">
        <f t="shared" ca="1" si="125"/>
        <v>200</v>
      </c>
      <c r="F1943">
        <f t="shared" ca="1" si="126"/>
        <v>214</v>
      </c>
      <c r="G1943" t="str">
        <f t="shared" ca="1" si="127"/>
        <v>Identification</v>
      </c>
      <c r="H1943" cm="1">
        <f t="array" aca="1" ref="H1943" ca="1">ROW(INDIRECT(A1943))</f>
        <v>61</v>
      </c>
      <c r="I1943" cm="1">
        <f t="array" aca="1" ref="I1943" ca="1">COLUMN(INDIRECT(A1943))</f>
        <v>25</v>
      </c>
      <c r="M1943" t="str" cm="1">
        <f t="array" aca="1" ref="M1943" ca="1">IF(AND(J1943="O",ISBLANK(INDIRECT(A1943))),"Valeur obligatoire non renseignée","")</f>
        <v/>
      </c>
    </row>
    <row r="1944" spans="1:13" x14ac:dyDescent="0.25">
      <c r="A1944" t="s">
        <v>5255</v>
      </c>
      <c r="B1944" t="e" cm="1">
        <f t="array" aca="1" ref="B1944" ca="1">INDIRECT(A1944)</f>
        <v>#N/A</v>
      </c>
      <c r="C1944">
        <f t="shared" ca="1" si="124"/>
        <v>3</v>
      </c>
      <c r="D1944" t="str" cm="1">
        <f t="array" aca="1" ref="D1944" ca="1">CELL("nomfichier",INDIRECT(A1944))</f>
        <v>G:\SCPE\sdc\bq\6 - Mentions valorisantes\Certification environnementale\TEXTES_REGLEMENTATION_CE\Plans_contrôle et grilles\Grille audit niveau 3\Grille d'audit v1.11\[grille-audit-hvev4-v1.11-vf.xlsx]Identification</v>
      </c>
      <c r="E1944">
        <f t="shared" ca="1" si="125"/>
        <v>200</v>
      </c>
      <c r="F1944">
        <f t="shared" ca="1" si="126"/>
        <v>214</v>
      </c>
      <c r="G1944" t="str">
        <f t="shared" ca="1" si="127"/>
        <v>Identification</v>
      </c>
      <c r="H1944" cm="1">
        <f t="array" aca="1" ref="H1944" ca="1">ROW(INDIRECT(A1944))</f>
        <v>63</v>
      </c>
      <c r="I1944" cm="1">
        <f t="array" aca="1" ref="I1944" ca="1">COLUMN(INDIRECT(A1944))</f>
        <v>25</v>
      </c>
      <c r="M1944" t="str" cm="1">
        <f t="array" aca="1" ref="M1944" ca="1">IF(AND(J1944="O",ISBLANK(INDIRECT(A1944))),"Valeur obligatoire non renseignée","")</f>
        <v/>
      </c>
    </row>
    <row r="1945" spans="1:13" x14ac:dyDescent="0.25">
      <c r="A1945" t="s">
        <v>5256</v>
      </c>
      <c r="B1945" t="e" cm="1">
        <f t="array" aca="1" ref="B1945" ca="1">INDIRECT(A1945)</f>
        <v>#N/A</v>
      </c>
      <c r="C1945">
        <f t="shared" ca="1" si="124"/>
        <v>3</v>
      </c>
      <c r="D1945" t="str" cm="1">
        <f t="array" aca="1" ref="D1945" ca="1">CELL("nomfichier",INDIRECT(A1945))</f>
        <v>G:\SCPE\sdc\bq\6 - Mentions valorisantes\Certification environnementale\TEXTES_REGLEMENTATION_CE\Plans_contrôle et grilles\Grille audit niveau 3\Grille d'audit v1.11\[grille-audit-hvev4-v1.11-vf.xlsx]Identification</v>
      </c>
      <c r="E1945">
        <f t="shared" ca="1" si="125"/>
        <v>200</v>
      </c>
      <c r="F1945">
        <f t="shared" ca="1" si="126"/>
        <v>214</v>
      </c>
      <c r="G1945" t="str">
        <f t="shared" ca="1" si="127"/>
        <v>Identification</v>
      </c>
      <c r="H1945" cm="1">
        <f t="array" aca="1" ref="H1945" ca="1">ROW(INDIRECT(A1945))</f>
        <v>65</v>
      </c>
      <c r="I1945" cm="1">
        <f t="array" aca="1" ref="I1945" ca="1">COLUMN(INDIRECT(A1945))</f>
        <v>25</v>
      </c>
      <c r="M1945" t="str" cm="1">
        <f t="array" aca="1" ref="M1945" ca="1">IF(AND(J1945="O",ISBLANK(INDIRECT(A1945))),"Valeur obligatoire non renseignée","")</f>
        <v/>
      </c>
    </row>
    <row r="1946" spans="1:13" x14ac:dyDescent="0.25">
      <c r="A1946" t="s">
        <v>5257</v>
      </c>
      <c r="B1946" t="e" cm="1">
        <f t="array" aca="1" ref="B1946" ca="1">INDIRECT(A1946)</f>
        <v>#N/A</v>
      </c>
      <c r="C1946">
        <f t="shared" ca="1" si="124"/>
        <v>3</v>
      </c>
      <c r="D1946" t="str" cm="1">
        <f t="array" aca="1" ref="D1946" ca="1">CELL("nomfichier",INDIRECT(A1946))</f>
        <v>G:\SCPE\sdc\bq\6 - Mentions valorisantes\Certification environnementale\TEXTES_REGLEMENTATION_CE\Plans_contrôle et grilles\Grille audit niveau 3\Grille d'audit v1.11\[grille-audit-hvev4-v1.11-vf.xlsx]Identification</v>
      </c>
      <c r="E1946">
        <f t="shared" ca="1" si="125"/>
        <v>200</v>
      </c>
      <c r="F1946">
        <f t="shared" ca="1" si="126"/>
        <v>214</v>
      </c>
      <c r="G1946" t="str">
        <f t="shared" ca="1" si="127"/>
        <v>Identification</v>
      </c>
      <c r="H1946" cm="1">
        <f t="array" aca="1" ref="H1946" ca="1">ROW(INDIRECT(A1946))</f>
        <v>81</v>
      </c>
      <c r="I1946" cm="1">
        <f t="array" aca="1" ref="I1946" ca="1">COLUMN(INDIRECT(A1946))</f>
        <v>24</v>
      </c>
      <c r="M1946" t="str" cm="1">
        <f t="array" aca="1" ref="M1946" ca="1">IF(AND(J1946="O",ISBLANK(INDIRECT(A1946))),"Valeur obligatoire non renseignée","")</f>
        <v/>
      </c>
    </row>
  </sheetData>
  <autoFilter ref="A1:N1">
    <sortState ref="A2:N1906">
      <sortCondition ref="C1"/>
    </sortState>
  </autoFilter>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AT113"/>
  <sheetViews>
    <sheetView topLeftCell="AF39" zoomScale="85" zoomScaleNormal="85" workbookViewId="0">
      <selection activeCell="H16" sqref="H16"/>
    </sheetView>
  </sheetViews>
  <sheetFormatPr baseColWidth="10" defaultColWidth="9.140625" defaultRowHeight="15" x14ac:dyDescent="0.25"/>
  <cols>
    <col min="2" max="2" width="45.85546875" bestFit="1" customWidth="1"/>
    <col min="3" max="3" width="9.28515625" customWidth="1"/>
    <col min="5" max="5" width="26.42578125" bestFit="1" customWidth="1"/>
    <col min="7" max="7" width="56.5703125" bestFit="1" customWidth="1"/>
    <col min="8" max="8" width="14" customWidth="1"/>
    <col min="10" max="10" width="15.5703125" bestFit="1" customWidth="1"/>
    <col min="11" max="11" width="15.5703125" customWidth="1"/>
    <col min="13" max="13" width="31.42578125" bestFit="1" customWidth="1"/>
    <col min="15" max="15" width="44.140625" bestFit="1" customWidth="1"/>
    <col min="16" max="16" width="44.140625" customWidth="1"/>
    <col min="18" max="18" width="30.28515625" bestFit="1" customWidth="1"/>
    <col min="19" max="19" width="13" bestFit="1" customWidth="1"/>
    <col min="21" max="21" width="20" style="36" bestFit="1" customWidth="1"/>
    <col min="22" max="22" width="20" style="36" customWidth="1"/>
    <col min="24" max="24" width="27.42578125" bestFit="1" customWidth="1"/>
    <col min="26" max="26" width="10.5703125" bestFit="1" customWidth="1"/>
    <col min="27" max="27" width="70.7109375" bestFit="1" customWidth="1"/>
    <col min="29" max="29" width="26.5703125" style="36" bestFit="1" customWidth="1"/>
    <col min="31" max="31" width="20" bestFit="1" customWidth="1"/>
    <col min="33" max="33" width="18.28515625" bestFit="1" customWidth="1"/>
    <col min="35" max="35" width="14.5703125" bestFit="1" customWidth="1"/>
    <col min="37" max="37" width="13.5703125" bestFit="1" customWidth="1"/>
    <col min="39" max="39" width="23.85546875" bestFit="1" customWidth="1"/>
    <col min="41" max="41" width="108.28515625" bestFit="1" customWidth="1"/>
    <col min="42" max="42" width="16.140625" bestFit="1" customWidth="1"/>
    <col min="44" max="44" width="24.5703125" bestFit="1" customWidth="1"/>
    <col min="46" max="46" width="28.7109375" bestFit="1" customWidth="1"/>
  </cols>
  <sheetData>
    <row r="1" spans="1:46" x14ac:dyDescent="0.25">
      <c r="A1" s="2" t="s">
        <v>0</v>
      </c>
    </row>
    <row r="3" spans="1:46" x14ac:dyDescent="0.25">
      <c r="B3" s="1" t="s">
        <v>2537</v>
      </c>
      <c r="C3" s="577" t="s">
        <v>2495</v>
      </c>
      <c r="E3" s="1" t="s">
        <v>9</v>
      </c>
      <c r="G3" s="1" t="s">
        <v>858</v>
      </c>
      <c r="H3" s="577" t="s">
        <v>2495</v>
      </c>
      <c r="J3" s="1" t="s">
        <v>32</v>
      </c>
      <c r="K3" s="577" t="s">
        <v>2495</v>
      </c>
      <c r="M3" s="1" t="s">
        <v>5101</v>
      </c>
      <c r="O3" s="1" t="s">
        <v>2773</v>
      </c>
      <c r="P3" s="1" t="s">
        <v>4822</v>
      </c>
      <c r="R3" s="1" t="s">
        <v>860</v>
      </c>
      <c r="S3" s="1" t="s">
        <v>4822</v>
      </c>
      <c r="U3" s="59" t="s">
        <v>129</v>
      </c>
      <c r="V3" s="59" t="s">
        <v>742</v>
      </c>
      <c r="X3" s="59" t="s">
        <v>2539</v>
      </c>
      <c r="Z3" s="144" t="s">
        <v>438</v>
      </c>
      <c r="AA3" s="144" t="s">
        <v>439</v>
      </c>
      <c r="AC3" s="144" t="s">
        <v>555</v>
      </c>
      <c r="AE3" s="144" t="s">
        <v>2538</v>
      </c>
      <c r="AG3" s="144" t="s">
        <v>2499</v>
      </c>
      <c r="AI3" s="144" t="s">
        <v>4810</v>
      </c>
      <c r="AK3" s="144" t="s">
        <v>4811</v>
      </c>
      <c r="AM3" s="144" t="s">
        <v>4812</v>
      </c>
      <c r="AO3" s="144" t="s">
        <v>4964</v>
      </c>
      <c r="AP3" s="144" t="s">
        <v>4822</v>
      </c>
      <c r="AR3" s="144" t="s">
        <v>5100</v>
      </c>
      <c r="AT3" s="550" t="s">
        <v>5122</v>
      </c>
    </row>
    <row r="4" spans="1:46" x14ac:dyDescent="0.25">
      <c r="B4" s="136" t="s">
        <v>5221</v>
      </c>
      <c r="C4" s="303" t="s">
        <v>5223</v>
      </c>
      <c r="E4" s="303" t="s">
        <v>893</v>
      </c>
      <c r="G4" s="578" t="s">
        <v>35</v>
      </c>
      <c r="H4" s="303" t="s">
        <v>5246</v>
      </c>
      <c r="J4" s="578" t="s">
        <v>36</v>
      </c>
      <c r="K4" s="303" t="s">
        <v>5230</v>
      </c>
      <c r="M4" s="303" t="s">
        <v>63</v>
      </c>
      <c r="O4" s="303" t="s">
        <v>4535</v>
      </c>
      <c r="P4" s="303" t="s">
        <v>4846</v>
      </c>
      <c r="R4" s="303" t="s">
        <v>4838</v>
      </c>
      <c r="S4" s="303" t="s">
        <v>4838</v>
      </c>
      <c r="U4" s="309" t="s">
        <v>130</v>
      </c>
      <c r="V4" s="309" t="s">
        <v>130</v>
      </c>
      <c r="X4" s="137" t="s">
        <v>328</v>
      </c>
      <c r="Z4" s="136">
        <v>4500</v>
      </c>
      <c r="AA4" s="136" t="s">
        <v>427</v>
      </c>
      <c r="AC4" s="137" t="s">
        <v>456</v>
      </c>
      <c r="AE4" s="136" t="s">
        <v>622</v>
      </c>
      <c r="AG4" s="136" t="s">
        <v>2500</v>
      </c>
      <c r="AI4" s="136" t="s">
        <v>4813</v>
      </c>
      <c r="AK4" s="136" t="s">
        <v>4815</v>
      </c>
      <c r="AM4" s="136" t="s">
        <v>4813</v>
      </c>
      <c r="AO4" s="303" t="s">
        <v>5026</v>
      </c>
      <c r="AP4" s="303" t="s">
        <v>5026</v>
      </c>
      <c r="AR4" s="136" t="s">
        <v>4955</v>
      </c>
      <c r="AT4" s="303" t="s">
        <v>845</v>
      </c>
    </row>
    <row r="5" spans="1:46" x14ac:dyDescent="0.25">
      <c r="B5" s="136" t="s">
        <v>2</v>
      </c>
      <c r="C5" s="303" t="s">
        <v>2</v>
      </c>
      <c r="E5" s="303" t="s">
        <v>894</v>
      </c>
      <c r="G5" s="578" t="s">
        <v>560</v>
      </c>
      <c r="H5" s="303" t="s">
        <v>5241</v>
      </c>
      <c r="J5" s="578" t="s">
        <v>37</v>
      </c>
      <c r="K5" s="303" t="s">
        <v>5231</v>
      </c>
      <c r="M5" s="303" t="s">
        <v>64</v>
      </c>
      <c r="O5" s="303" t="s">
        <v>4821</v>
      </c>
      <c r="P5" s="303" t="s">
        <v>4847</v>
      </c>
      <c r="R5" s="303" t="s">
        <v>4823</v>
      </c>
      <c r="S5" s="303" t="s">
        <v>4839</v>
      </c>
      <c r="U5" s="309" t="s">
        <v>131</v>
      </c>
      <c r="V5" s="309" t="s">
        <v>173</v>
      </c>
      <c r="X5" s="137" t="s">
        <v>329</v>
      </c>
      <c r="Z5" s="136">
        <v>4600</v>
      </c>
      <c r="AA5" s="136" t="s">
        <v>428</v>
      </c>
      <c r="AC5" s="137" t="s">
        <v>457</v>
      </c>
      <c r="AE5" s="136" t="s">
        <v>627</v>
      </c>
      <c r="AG5" s="136" t="s">
        <v>2501</v>
      </c>
      <c r="AI5" s="136" t="s">
        <v>4814</v>
      </c>
      <c r="AK5" s="136" t="s">
        <v>4816</v>
      </c>
      <c r="AM5" s="136" t="s">
        <v>4814</v>
      </c>
      <c r="AO5" s="303" t="s">
        <v>5096</v>
      </c>
      <c r="AP5" s="303" t="s">
        <v>5049</v>
      </c>
      <c r="AR5" s="136" t="s">
        <v>5099</v>
      </c>
      <c r="AT5" s="303" t="s">
        <v>846</v>
      </c>
    </row>
    <row r="6" spans="1:46" x14ac:dyDescent="0.25">
      <c r="B6" s="136" t="s">
        <v>1</v>
      </c>
      <c r="C6" s="576" t="s">
        <v>1</v>
      </c>
      <c r="E6" s="303" t="s">
        <v>15</v>
      </c>
      <c r="G6" s="578" t="s">
        <v>4937</v>
      </c>
      <c r="H6" s="303" t="s">
        <v>5247</v>
      </c>
      <c r="J6" s="578" t="s">
        <v>38</v>
      </c>
      <c r="K6" s="303" t="s">
        <v>5232</v>
      </c>
      <c r="M6" s="303" t="s">
        <v>65</v>
      </c>
      <c r="R6" s="303" t="s">
        <v>4824</v>
      </c>
      <c r="S6" s="303" t="s">
        <v>4840</v>
      </c>
      <c r="U6" s="309" t="s">
        <v>132</v>
      </c>
      <c r="V6" s="309" t="s">
        <v>173</v>
      </c>
      <c r="Z6" s="136">
        <v>4700</v>
      </c>
      <c r="AA6" s="136" t="s">
        <v>429</v>
      </c>
      <c r="AC6" s="137" t="s">
        <v>458</v>
      </c>
      <c r="AE6" s="136" t="s">
        <v>623</v>
      </c>
      <c r="AG6" s="136" t="s">
        <v>2502</v>
      </c>
      <c r="AK6" s="136" t="s">
        <v>4817</v>
      </c>
      <c r="AO6" s="303" t="s">
        <v>5022</v>
      </c>
      <c r="AP6" s="303" t="s">
        <v>5022</v>
      </c>
    </row>
    <row r="7" spans="1:46" x14ac:dyDescent="0.25">
      <c r="B7" s="136" t="s">
        <v>3</v>
      </c>
      <c r="C7" s="576" t="s">
        <v>5224</v>
      </c>
      <c r="E7" s="303" t="s">
        <v>895</v>
      </c>
      <c r="G7" s="578" t="s">
        <v>4239</v>
      </c>
      <c r="H7" s="303" t="s">
        <v>5242</v>
      </c>
      <c r="J7" s="578" t="s">
        <v>39</v>
      </c>
      <c r="K7" s="303" t="s">
        <v>5233</v>
      </c>
      <c r="M7" s="303" t="s">
        <v>4878</v>
      </c>
      <c r="R7" s="303" t="s">
        <v>4825</v>
      </c>
      <c r="S7" s="303" t="s">
        <v>4841</v>
      </c>
      <c r="U7" s="309" t="s">
        <v>172</v>
      </c>
      <c r="V7" s="309" t="s">
        <v>173</v>
      </c>
      <c r="Z7" s="136">
        <v>4810</v>
      </c>
      <c r="AA7" s="136" t="s">
        <v>430</v>
      </c>
      <c r="AC7" s="137" t="s">
        <v>459</v>
      </c>
      <c r="AE7" s="136" t="s">
        <v>634</v>
      </c>
      <c r="AG7" s="136" t="s">
        <v>2503</v>
      </c>
      <c r="AO7" s="303" t="s">
        <v>5003</v>
      </c>
      <c r="AP7" s="303" t="s">
        <v>5072</v>
      </c>
      <c r="AT7" s="550" t="s">
        <v>5123</v>
      </c>
    </row>
    <row r="8" spans="1:46" x14ac:dyDescent="0.25">
      <c r="B8" s="136" t="s">
        <v>4</v>
      </c>
      <c r="C8" s="576" t="s">
        <v>5225</v>
      </c>
      <c r="E8" s="303" t="s">
        <v>18</v>
      </c>
      <c r="G8" s="578" t="s">
        <v>33</v>
      </c>
      <c r="H8" s="303" t="s">
        <v>5243</v>
      </c>
      <c r="J8" s="578" t="s">
        <v>40</v>
      </c>
      <c r="K8" s="303" t="s">
        <v>5234</v>
      </c>
      <c r="R8" s="303" t="s">
        <v>4826</v>
      </c>
      <c r="S8" s="303" t="s">
        <v>4826</v>
      </c>
      <c r="U8" s="309" t="s">
        <v>187</v>
      </c>
      <c r="V8" s="309" t="s">
        <v>173</v>
      </c>
      <c r="Z8" s="136">
        <v>4820</v>
      </c>
      <c r="AA8" s="136" t="s">
        <v>431</v>
      </c>
      <c r="AC8" s="137" t="s">
        <v>460</v>
      </c>
      <c r="AE8" s="136" t="s">
        <v>630</v>
      </c>
      <c r="AO8" s="303" t="s">
        <v>5001</v>
      </c>
      <c r="AP8" s="303" t="s">
        <v>5070</v>
      </c>
      <c r="AT8" s="303" t="s">
        <v>814</v>
      </c>
    </row>
    <row r="9" spans="1:46" x14ac:dyDescent="0.25">
      <c r="B9" s="136" t="s">
        <v>5</v>
      </c>
      <c r="C9" s="576" t="s">
        <v>5226</v>
      </c>
      <c r="E9" s="303" t="s">
        <v>896</v>
      </c>
      <c r="G9" s="578" t="s">
        <v>2353</v>
      </c>
      <c r="H9" s="303" t="s">
        <v>5248</v>
      </c>
      <c r="J9" s="578" t="s">
        <v>41</v>
      </c>
      <c r="K9" s="303" t="s">
        <v>5235</v>
      </c>
      <c r="R9" s="303" t="s">
        <v>4536</v>
      </c>
      <c r="S9" s="303" t="s">
        <v>4536</v>
      </c>
      <c r="U9" s="309" t="s">
        <v>133</v>
      </c>
      <c r="V9" s="309" t="s">
        <v>173</v>
      </c>
      <c r="Z9" s="136">
        <v>4830</v>
      </c>
      <c r="AA9" s="136" t="s">
        <v>432</v>
      </c>
      <c r="AC9" s="137" t="s">
        <v>461</v>
      </c>
      <c r="AE9" s="136" t="s">
        <v>624</v>
      </c>
      <c r="AO9" s="303" t="s">
        <v>4981</v>
      </c>
      <c r="AP9" s="303" t="s">
        <v>5048</v>
      </c>
      <c r="AT9" s="303" t="s">
        <v>813</v>
      </c>
    </row>
    <row r="10" spans="1:46" x14ac:dyDescent="0.25">
      <c r="B10" s="136" t="s">
        <v>8</v>
      </c>
      <c r="C10" s="576" t="s">
        <v>5227</v>
      </c>
      <c r="E10" s="303" t="s">
        <v>897</v>
      </c>
      <c r="G10" s="578" t="s">
        <v>561</v>
      </c>
      <c r="H10" s="303" t="s">
        <v>5244</v>
      </c>
      <c r="J10" s="578" t="s">
        <v>42</v>
      </c>
      <c r="K10" s="303" t="s">
        <v>5236</v>
      </c>
      <c r="M10" s="1" t="s">
        <v>5102</v>
      </c>
      <c r="R10" s="303" t="s">
        <v>4827</v>
      </c>
      <c r="S10" s="303" t="s">
        <v>4827</v>
      </c>
      <c r="U10" s="309" t="s">
        <v>174</v>
      </c>
      <c r="V10" s="309" t="s">
        <v>174</v>
      </c>
      <c r="Z10" s="136">
        <v>4840</v>
      </c>
      <c r="AA10" s="136" t="s">
        <v>433</v>
      </c>
      <c r="AC10" s="137" t="s">
        <v>462</v>
      </c>
      <c r="AE10" s="136" t="s">
        <v>626</v>
      </c>
      <c r="AO10" s="303" t="s">
        <v>5006</v>
      </c>
      <c r="AP10" s="303" t="s">
        <v>5075</v>
      </c>
    </row>
    <row r="11" spans="1:46" x14ac:dyDescent="0.25">
      <c r="B11" s="136" t="s">
        <v>6</v>
      </c>
      <c r="C11" s="576" t="s">
        <v>5228</v>
      </c>
      <c r="E11" s="303" t="s">
        <v>296</v>
      </c>
      <c r="G11" s="578" t="s">
        <v>4938</v>
      </c>
      <c r="H11" s="303" t="s">
        <v>5249</v>
      </c>
      <c r="J11" s="578" t="s">
        <v>43</v>
      </c>
      <c r="K11" s="303" t="s">
        <v>5237</v>
      </c>
      <c r="M11" s="303" t="s">
        <v>63</v>
      </c>
      <c r="R11" s="303" t="s">
        <v>4828</v>
      </c>
      <c r="S11" s="303" t="s">
        <v>4828</v>
      </c>
      <c r="U11" s="309" t="s">
        <v>175</v>
      </c>
      <c r="V11" s="309" t="s">
        <v>173</v>
      </c>
      <c r="Z11" s="136">
        <v>8320</v>
      </c>
      <c r="AA11" s="136" t="s">
        <v>434</v>
      </c>
      <c r="AC11" s="137" t="s">
        <v>463</v>
      </c>
      <c r="AE11" s="136" t="s">
        <v>629</v>
      </c>
      <c r="AO11" s="303" t="s">
        <v>5021</v>
      </c>
      <c r="AP11" s="303" t="s">
        <v>5090</v>
      </c>
    </row>
    <row r="12" spans="1:46" x14ac:dyDescent="0.25">
      <c r="B12" s="136" t="s">
        <v>7</v>
      </c>
      <c r="C12" s="576" t="s">
        <v>5229</v>
      </c>
      <c r="E12" s="303" t="s">
        <v>898</v>
      </c>
      <c r="G12" s="578" t="s">
        <v>34</v>
      </c>
      <c r="H12" s="303" t="s">
        <v>5245</v>
      </c>
      <c r="J12" s="578" t="s">
        <v>44</v>
      </c>
      <c r="K12" s="303" t="s">
        <v>5238</v>
      </c>
      <c r="M12" s="303" t="s">
        <v>64</v>
      </c>
      <c r="R12" s="303" t="s">
        <v>4829</v>
      </c>
      <c r="S12" s="303" t="s">
        <v>4842</v>
      </c>
      <c r="U12" s="309" t="s">
        <v>176</v>
      </c>
      <c r="V12" s="309" t="s">
        <v>173</v>
      </c>
      <c r="Z12" s="136">
        <v>8330</v>
      </c>
      <c r="AA12" s="136" t="s">
        <v>435</v>
      </c>
      <c r="AC12" s="137" t="s">
        <v>464</v>
      </c>
      <c r="AE12" s="136" t="s">
        <v>632</v>
      </c>
      <c r="AO12" s="303" t="s">
        <v>4990</v>
      </c>
      <c r="AP12" s="303" t="s">
        <v>5059</v>
      </c>
    </row>
    <row r="13" spans="1:46" x14ac:dyDescent="0.25">
      <c r="E13" s="303" t="s">
        <v>899</v>
      </c>
      <c r="J13" s="578" t="s">
        <v>45</v>
      </c>
      <c r="K13" s="303" t="s">
        <v>5239</v>
      </c>
      <c r="M13" s="303" t="s">
        <v>65</v>
      </c>
      <c r="R13" s="303" t="s">
        <v>4830</v>
      </c>
      <c r="S13" s="303" t="s">
        <v>4830</v>
      </c>
      <c r="U13" s="309" t="s">
        <v>134</v>
      </c>
      <c r="V13" s="309" t="s">
        <v>173</v>
      </c>
      <c r="Z13" s="136">
        <v>8340</v>
      </c>
      <c r="AA13" s="136" t="s">
        <v>436</v>
      </c>
      <c r="AC13" s="137" t="s">
        <v>465</v>
      </c>
      <c r="AE13" s="136" t="s">
        <v>631</v>
      </c>
      <c r="AO13" s="303" t="s">
        <v>5007</v>
      </c>
      <c r="AP13" s="303" t="s">
        <v>5076</v>
      </c>
    </row>
    <row r="14" spans="1:46" x14ac:dyDescent="0.25">
      <c r="E14" s="303" t="s">
        <v>900</v>
      </c>
      <c r="J14" s="578" t="s">
        <v>46</v>
      </c>
      <c r="K14" s="303" t="s">
        <v>5240</v>
      </c>
      <c r="R14" s="303" t="s">
        <v>4831</v>
      </c>
      <c r="S14" s="303" t="s">
        <v>4831</v>
      </c>
      <c r="U14" s="309" t="s">
        <v>135</v>
      </c>
      <c r="V14" s="309" t="s">
        <v>135</v>
      </c>
      <c r="Z14" s="136">
        <v>8420</v>
      </c>
      <c r="AA14" s="136" t="s">
        <v>437</v>
      </c>
      <c r="AC14" s="137" t="s">
        <v>466</v>
      </c>
      <c r="AE14" s="136" t="s">
        <v>628</v>
      </c>
      <c r="AO14" s="303" t="s">
        <v>4983</v>
      </c>
      <c r="AP14" s="303" t="s">
        <v>5052</v>
      </c>
    </row>
    <row r="15" spans="1:46" x14ac:dyDescent="0.25">
      <c r="E15" s="303" t="s">
        <v>27</v>
      </c>
      <c r="R15" s="303" t="s">
        <v>4832</v>
      </c>
      <c r="S15" s="303" t="s">
        <v>4832</v>
      </c>
      <c r="U15" s="309" t="s">
        <v>136</v>
      </c>
      <c r="V15" s="309" t="s">
        <v>173</v>
      </c>
      <c r="AC15" s="137" t="s">
        <v>467</v>
      </c>
      <c r="AE15" s="136" t="s">
        <v>633</v>
      </c>
      <c r="AO15" s="303" t="s">
        <v>4995</v>
      </c>
      <c r="AP15" s="303" t="s">
        <v>5064</v>
      </c>
    </row>
    <row r="16" spans="1:46" x14ac:dyDescent="0.25">
      <c r="E16" s="303" t="s">
        <v>30</v>
      </c>
      <c r="R16" s="303" t="s">
        <v>4833</v>
      </c>
      <c r="S16" s="303" t="s">
        <v>4843</v>
      </c>
      <c r="U16" s="309" t="s">
        <v>177</v>
      </c>
      <c r="V16" s="309" t="s">
        <v>173</v>
      </c>
      <c r="AC16" s="137" t="s">
        <v>468</v>
      </c>
      <c r="AE16" s="136" t="s">
        <v>625</v>
      </c>
      <c r="AO16" s="303" t="s">
        <v>4991</v>
      </c>
      <c r="AP16" s="303" t="s">
        <v>5060</v>
      </c>
    </row>
    <row r="17" spans="5:42" x14ac:dyDescent="0.25">
      <c r="E17" s="159"/>
      <c r="R17" s="303" t="s">
        <v>4834</v>
      </c>
      <c r="S17" s="303" t="s">
        <v>4834</v>
      </c>
      <c r="U17" s="309" t="s">
        <v>137</v>
      </c>
      <c r="V17" s="309" t="s">
        <v>639</v>
      </c>
      <c r="AC17" s="137" t="s">
        <v>469</v>
      </c>
      <c r="AO17" s="303" t="s">
        <v>5005</v>
      </c>
      <c r="AP17" s="303" t="s">
        <v>5074</v>
      </c>
    </row>
    <row r="18" spans="5:42" x14ac:dyDescent="0.25">
      <c r="R18" s="303" t="s">
        <v>4835</v>
      </c>
      <c r="S18" s="303" t="s">
        <v>4844</v>
      </c>
      <c r="U18" s="309" t="s">
        <v>138</v>
      </c>
      <c r="V18" s="309" t="s">
        <v>639</v>
      </c>
      <c r="AC18" s="137" t="s">
        <v>470</v>
      </c>
      <c r="AO18" s="303" t="s">
        <v>4999</v>
      </c>
      <c r="AP18" s="303" t="s">
        <v>5068</v>
      </c>
    </row>
    <row r="19" spans="5:42" x14ac:dyDescent="0.25">
      <c r="R19" s="303" t="s">
        <v>4836</v>
      </c>
      <c r="S19" s="303" t="s">
        <v>4836</v>
      </c>
      <c r="U19" s="309" t="s">
        <v>139</v>
      </c>
      <c r="V19" s="309" t="s">
        <v>173</v>
      </c>
      <c r="AC19" s="137" t="s">
        <v>471</v>
      </c>
      <c r="AO19" s="303" t="s">
        <v>4989</v>
      </c>
      <c r="AP19" s="303" t="s">
        <v>5058</v>
      </c>
    </row>
    <row r="20" spans="5:42" x14ac:dyDescent="0.25">
      <c r="R20" s="303" t="s">
        <v>4837</v>
      </c>
      <c r="S20" s="303" t="s">
        <v>4837</v>
      </c>
      <c r="U20" s="309" t="s">
        <v>178</v>
      </c>
      <c r="V20" s="309" t="s">
        <v>173</v>
      </c>
      <c r="AC20" s="137" t="s">
        <v>472</v>
      </c>
      <c r="AO20" s="303" t="s">
        <v>4980</v>
      </c>
      <c r="AP20" s="303" t="s">
        <v>5047</v>
      </c>
    </row>
    <row r="21" spans="5:42" x14ac:dyDescent="0.25">
      <c r="U21" s="309" t="s">
        <v>140</v>
      </c>
      <c r="V21" s="309" t="s">
        <v>173</v>
      </c>
      <c r="AC21" s="137" t="s">
        <v>473</v>
      </c>
      <c r="AO21" s="303" t="s">
        <v>4974</v>
      </c>
      <c r="AP21" s="303" t="s">
        <v>5039</v>
      </c>
    </row>
    <row r="22" spans="5:42" x14ac:dyDescent="0.25">
      <c r="U22" s="309" t="s">
        <v>141</v>
      </c>
      <c r="V22" s="309" t="s">
        <v>173</v>
      </c>
      <c r="AC22" s="137" t="s">
        <v>474</v>
      </c>
      <c r="AO22" s="303" t="s">
        <v>4986</v>
      </c>
      <c r="AP22" s="303" t="s">
        <v>5055</v>
      </c>
    </row>
    <row r="23" spans="5:42" x14ac:dyDescent="0.25">
      <c r="U23" s="309" t="s">
        <v>142</v>
      </c>
      <c r="V23" s="309" t="s">
        <v>173</v>
      </c>
      <c r="AC23" s="137" t="s">
        <v>475</v>
      </c>
      <c r="AO23" s="303" t="s">
        <v>4982</v>
      </c>
      <c r="AP23" s="303" t="s">
        <v>5051</v>
      </c>
    </row>
    <row r="24" spans="5:42" x14ac:dyDescent="0.25">
      <c r="U24" s="309" t="s">
        <v>180</v>
      </c>
      <c r="V24" s="309" t="s">
        <v>173</v>
      </c>
      <c r="AC24" s="137" t="s">
        <v>476</v>
      </c>
      <c r="AO24" s="303" t="s">
        <v>4985</v>
      </c>
      <c r="AP24" s="303" t="s">
        <v>5054</v>
      </c>
    </row>
    <row r="25" spans="5:42" x14ac:dyDescent="0.25">
      <c r="U25" s="309" t="s">
        <v>179</v>
      </c>
      <c r="V25" s="309" t="s">
        <v>173</v>
      </c>
      <c r="AC25" s="137" t="s">
        <v>477</v>
      </c>
      <c r="AO25" s="303" t="s">
        <v>5002</v>
      </c>
      <c r="AP25" s="303" t="s">
        <v>5071</v>
      </c>
    </row>
    <row r="26" spans="5:42" x14ac:dyDescent="0.25">
      <c r="U26" s="309" t="s">
        <v>181</v>
      </c>
      <c r="V26" s="309" t="s">
        <v>173</v>
      </c>
      <c r="AC26" s="137" t="s">
        <v>478</v>
      </c>
      <c r="AO26" s="303" t="s">
        <v>4987</v>
      </c>
      <c r="AP26" s="303" t="s">
        <v>5056</v>
      </c>
    </row>
    <row r="27" spans="5:42" x14ac:dyDescent="0.25">
      <c r="U27" s="309" t="s">
        <v>168</v>
      </c>
      <c r="V27" s="309" t="s">
        <v>173</v>
      </c>
      <c r="AC27" s="137" t="s">
        <v>479</v>
      </c>
      <c r="AO27" s="303" t="s">
        <v>4988</v>
      </c>
      <c r="AP27" s="303" t="s">
        <v>5057</v>
      </c>
    </row>
    <row r="28" spans="5:42" x14ac:dyDescent="0.25">
      <c r="U28" s="309" t="s">
        <v>182</v>
      </c>
      <c r="V28" s="309" t="s">
        <v>173</v>
      </c>
      <c r="AC28" s="137" t="s">
        <v>480</v>
      </c>
      <c r="AO28" s="303" t="s">
        <v>5027</v>
      </c>
      <c r="AP28" s="303" t="s">
        <v>5027</v>
      </c>
    </row>
    <row r="29" spans="5:42" x14ac:dyDescent="0.25">
      <c r="U29" s="309" t="s">
        <v>143</v>
      </c>
      <c r="V29" s="309" t="s">
        <v>173</v>
      </c>
      <c r="AC29" s="137" t="s">
        <v>481</v>
      </c>
      <c r="AO29" s="303" t="s">
        <v>4992</v>
      </c>
      <c r="AP29" s="303" t="s">
        <v>5061</v>
      </c>
    </row>
    <row r="30" spans="5:42" x14ac:dyDescent="0.25">
      <c r="U30" s="309" t="s">
        <v>144</v>
      </c>
      <c r="V30" s="309" t="s">
        <v>173</v>
      </c>
      <c r="AC30" s="137" t="s">
        <v>482</v>
      </c>
      <c r="AO30" s="303" t="s">
        <v>4994</v>
      </c>
      <c r="AP30" s="303" t="s">
        <v>5063</v>
      </c>
    </row>
    <row r="31" spans="5:42" x14ac:dyDescent="0.25">
      <c r="U31" s="309" t="s">
        <v>167</v>
      </c>
      <c r="V31" s="309" t="s">
        <v>173</v>
      </c>
      <c r="AC31" s="137" t="s">
        <v>483</v>
      </c>
      <c r="AO31" s="303" t="s">
        <v>5019</v>
      </c>
      <c r="AP31" s="303" t="s">
        <v>5088</v>
      </c>
    </row>
    <row r="32" spans="5:42" x14ac:dyDescent="0.25">
      <c r="U32" s="309" t="s">
        <v>170</v>
      </c>
      <c r="V32" s="309" t="s">
        <v>173</v>
      </c>
      <c r="AC32" s="137" t="s">
        <v>484</v>
      </c>
      <c r="AO32" s="303" t="s">
        <v>5008</v>
      </c>
      <c r="AP32" s="303" t="s">
        <v>5077</v>
      </c>
    </row>
    <row r="33" spans="21:42" x14ac:dyDescent="0.25">
      <c r="U33" s="309" t="s">
        <v>145</v>
      </c>
      <c r="V33" s="309" t="s">
        <v>173</v>
      </c>
      <c r="AC33" s="137" t="s">
        <v>485</v>
      </c>
      <c r="AO33" s="303" t="s">
        <v>4998</v>
      </c>
      <c r="AP33" s="303" t="s">
        <v>5067</v>
      </c>
    </row>
    <row r="34" spans="21:42" x14ac:dyDescent="0.25">
      <c r="U34" s="309" t="s">
        <v>743</v>
      </c>
      <c r="V34" s="309" t="s">
        <v>639</v>
      </c>
      <c r="AC34" s="137" t="s">
        <v>486</v>
      </c>
      <c r="AO34" s="303" t="s">
        <v>4997</v>
      </c>
      <c r="AP34" s="303" t="s">
        <v>5066</v>
      </c>
    </row>
    <row r="35" spans="21:42" x14ac:dyDescent="0.25">
      <c r="U35" s="309" t="s">
        <v>146</v>
      </c>
      <c r="V35" s="309" t="s">
        <v>639</v>
      </c>
      <c r="AC35" s="137" t="s">
        <v>487</v>
      </c>
      <c r="AO35" s="303" t="s">
        <v>4984</v>
      </c>
      <c r="AP35" s="303" t="s">
        <v>5053</v>
      </c>
    </row>
    <row r="36" spans="21:42" x14ac:dyDescent="0.25">
      <c r="U36" s="309" t="s">
        <v>183</v>
      </c>
      <c r="V36" s="309" t="s">
        <v>173</v>
      </c>
      <c r="AC36" s="137" t="s">
        <v>488</v>
      </c>
      <c r="AO36" s="303" t="s">
        <v>4996</v>
      </c>
      <c r="AP36" s="303" t="s">
        <v>5065</v>
      </c>
    </row>
    <row r="37" spans="21:42" x14ac:dyDescent="0.25">
      <c r="U37" s="309" t="s">
        <v>184</v>
      </c>
      <c r="V37" s="309" t="s">
        <v>173</v>
      </c>
      <c r="AC37" s="137" t="s">
        <v>489</v>
      </c>
      <c r="AO37" s="303" t="s">
        <v>5018</v>
      </c>
      <c r="AP37" s="303" t="s">
        <v>5087</v>
      </c>
    </row>
    <row r="38" spans="21:42" x14ac:dyDescent="0.25">
      <c r="U38" s="309" t="s">
        <v>147</v>
      </c>
      <c r="V38" s="309" t="s">
        <v>639</v>
      </c>
      <c r="AC38" s="137" t="s">
        <v>490</v>
      </c>
      <c r="AO38" s="303" t="s">
        <v>5028</v>
      </c>
      <c r="AP38" s="303" t="s">
        <v>5028</v>
      </c>
    </row>
    <row r="39" spans="21:42" x14ac:dyDescent="0.25">
      <c r="U39" s="309" t="s">
        <v>185</v>
      </c>
      <c r="V39" s="309" t="s">
        <v>173</v>
      </c>
      <c r="AC39" s="137" t="s">
        <v>491</v>
      </c>
      <c r="AO39" s="303" t="s">
        <v>5000</v>
      </c>
      <c r="AP39" s="303" t="s">
        <v>5069</v>
      </c>
    </row>
    <row r="40" spans="21:42" x14ac:dyDescent="0.25">
      <c r="U40" s="309" t="s">
        <v>148</v>
      </c>
      <c r="V40" s="309" t="s">
        <v>148</v>
      </c>
      <c r="AC40" s="137" t="s">
        <v>492</v>
      </c>
      <c r="AO40" s="303" t="s">
        <v>5020</v>
      </c>
      <c r="AP40" s="303" t="s">
        <v>5089</v>
      </c>
    </row>
    <row r="41" spans="21:42" x14ac:dyDescent="0.25">
      <c r="U41" s="309" t="s">
        <v>149</v>
      </c>
      <c r="V41" s="309" t="s">
        <v>173</v>
      </c>
      <c r="AC41" s="137" t="s">
        <v>493</v>
      </c>
      <c r="AO41" s="303" t="s">
        <v>5173</v>
      </c>
      <c r="AP41" s="303" t="s">
        <v>5172</v>
      </c>
    </row>
    <row r="42" spans="21:42" x14ac:dyDescent="0.25">
      <c r="U42" s="309" t="s">
        <v>151</v>
      </c>
      <c r="V42" s="309" t="s">
        <v>173</v>
      </c>
      <c r="AC42" s="137" t="s">
        <v>494</v>
      </c>
      <c r="AO42" s="303" t="s">
        <v>5013</v>
      </c>
      <c r="AP42" s="303" t="s">
        <v>5082</v>
      </c>
    </row>
    <row r="43" spans="21:42" x14ac:dyDescent="0.25">
      <c r="U43" s="309" t="s">
        <v>150</v>
      </c>
      <c r="V43" s="309" t="s">
        <v>173</v>
      </c>
      <c r="AC43" s="137" t="s">
        <v>495</v>
      </c>
      <c r="AO43" s="303" t="s">
        <v>4967</v>
      </c>
      <c r="AP43" s="303" t="s">
        <v>5032</v>
      </c>
    </row>
    <row r="44" spans="21:42" x14ac:dyDescent="0.25">
      <c r="U44" s="309" t="s">
        <v>152</v>
      </c>
      <c r="V44" s="309" t="s">
        <v>173</v>
      </c>
      <c r="AC44" s="137" t="s">
        <v>496</v>
      </c>
      <c r="AO44" s="303" t="s">
        <v>4971</v>
      </c>
      <c r="AP44" s="303" t="s">
        <v>5036</v>
      </c>
    </row>
    <row r="45" spans="21:42" x14ac:dyDescent="0.25">
      <c r="U45" s="309" t="s">
        <v>153</v>
      </c>
      <c r="V45" s="309" t="s">
        <v>173</v>
      </c>
      <c r="AC45" s="137" t="s">
        <v>497</v>
      </c>
      <c r="AO45" s="303" t="s">
        <v>4977</v>
      </c>
      <c r="AP45" s="303" t="s">
        <v>5044</v>
      </c>
    </row>
    <row r="46" spans="21:42" x14ac:dyDescent="0.25">
      <c r="U46" s="309" t="s">
        <v>154</v>
      </c>
      <c r="V46" s="309" t="s">
        <v>154</v>
      </c>
      <c r="AC46" s="137" t="s">
        <v>498</v>
      </c>
      <c r="AO46" s="303" t="s">
        <v>4973</v>
      </c>
      <c r="AP46" s="303" t="s">
        <v>5038</v>
      </c>
    </row>
    <row r="47" spans="21:42" x14ac:dyDescent="0.25">
      <c r="U47" s="309" t="s">
        <v>155</v>
      </c>
      <c r="V47" s="309" t="s">
        <v>173</v>
      </c>
      <c r="AC47" s="137" t="s">
        <v>499</v>
      </c>
      <c r="AO47" s="303" t="s">
        <v>4968</v>
      </c>
      <c r="AP47" s="303" t="s">
        <v>5033</v>
      </c>
    </row>
    <row r="48" spans="21:42" x14ac:dyDescent="0.25">
      <c r="U48" s="309" t="s">
        <v>156</v>
      </c>
      <c r="V48" s="309" t="s">
        <v>173</v>
      </c>
      <c r="AC48" s="137" t="s">
        <v>500</v>
      </c>
      <c r="AO48" s="303" t="s">
        <v>4970</v>
      </c>
      <c r="AP48" s="303" t="s">
        <v>5035</v>
      </c>
    </row>
    <row r="49" spans="21:42" x14ac:dyDescent="0.25">
      <c r="U49" s="309" t="s">
        <v>157</v>
      </c>
      <c r="V49" s="309" t="s">
        <v>157</v>
      </c>
      <c r="AC49" s="137" t="s">
        <v>501</v>
      </c>
      <c r="AO49" s="303" t="s">
        <v>4978</v>
      </c>
      <c r="AP49" s="303" t="s">
        <v>5045</v>
      </c>
    </row>
    <row r="50" spans="21:42" x14ac:dyDescent="0.25">
      <c r="U50" s="309" t="s">
        <v>158</v>
      </c>
      <c r="V50" s="309" t="s">
        <v>173</v>
      </c>
      <c r="AC50" s="137" t="s">
        <v>502</v>
      </c>
      <c r="AO50" s="303" t="s">
        <v>5149</v>
      </c>
      <c r="AP50" s="303" t="s">
        <v>5148</v>
      </c>
    </row>
    <row r="51" spans="21:42" x14ac:dyDescent="0.25">
      <c r="U51" s="309" t="s">
        <v>159</v>
      </c>
      <c r="V51" s="309" t="s">
        <v>639</v>
      </c>
      <c r="AC51" s="137" t="s">
        <v>503</v>
      </c>
      <c r="AO51" s="303" t="s">
        <v>5094</v>
      </c>
      <c r="AP51" s="303" t="s">
        <v>5041</v>
      </c>
    </row>
    <row r="52" spans="21:42" x14ac:dyDescent="0.25">
      <c r="U52" s="309" t="s">
        <v>160</v>
      </c>
      <c r="V52" s="309" t="s">
        <v>639</v>
      </c>
      <c r="AC52" s="137" t="s">
        <v>504</v>
      </c>
      <c r="AO52" s="303" t="s">
        <v>4975</v>
      </c>
      <c r="AP52" s="303" t="s">
        <v>5040</v>
      </c>
    </row>
    <row r="53" spans="21:42" x14ac:dyDescent="0.25">
      <c r="U53" s="309" t="s">
        <v>186</v>
      </c>
      <c r="V53" s="309" t="s">
        <v>173</v>
      </c>
      <c r="AC53" s="137" t="s">
        <v>505</v>
      </c>
      <c r="AO53" s="303" t="s">
        <v>4972</v>
      </c>
      <c r="AP53" s="303" t="s">
        <v>5037</v>
      </c>
    </row>
    <row r="54" spans="21:42" x14ac:dyDescent="0.25">
      <c r="U54" s="309" t="s">
        <v>161</v>
      </c>
      <c r="V54" s="309" t="s">
        <v>161</v>
      </c>
      <c r="AC54" s="137" t="s">
        <v>506</v>
      </c>
      <c r="AO54" s="303" t="s">
        <v>4845</v>
      </c>
      <c r="AP54" s="303" t="s">
        <v>5030</v>
      </c>
    </row>
    <row r="55" spans="21:42" x14ac:dyDescent="0.25">
      <c r="U55" s="309" t="s">
        <v>169</v>
      </c>
      <c r="V55" s="309" t="s">
        <v>173</v>
      </c>
      <c r="AC55" s="137" t="s">
        <v>507</v>
      </c>
      <c r="AO55" s="303" t="s">
        <v>4966</v>
      </c>
      <c r="AP55" s="559" t="s">
        <v>5031</v>
      </c>
    </row>
    <row r="56" spans="21:42" x14ac:dyDescent="0.25">
      <c r="U56" s="309" t="s">
        <v>162</v>
      </c>
      <c r="V56" s="309" t="s">
        <v>162</v>
      </c>
      <c r="AC56" s="137" t="s">
        <v>508</v>
      </c>
      <c r="AO56" s="303" t="s">
        <v>4965</v>
      </c>
      <c r="AP56" s="303" t="s">
        <v>5029</v>
      </c>
    </row>
    <row r="57" spans="21:42" x14ac:dyDescent="0.25">
      <c r="U57" s="309" t="s">
        <v>163</v>
      </c>
      <c r="V57" s="309" t="s">
        <v>173</v>
      </c>
      <c r="AC57" s="137" t="s">
        <v>509</v>
      </c>
      <c r="AO57" s="303" t="s">
        <v>4979</v>
      </c>
      <c r="AP57" s="303" t="s">
        <v>5046</v>
      </c>
    </row>
    <row r="58" spans="21:42" x14ac:dyDescent="0.25">
      <c r="U58" s="309" t="s">
        <v>164</v>
      </c>
      <c r="V58" s="309" t="s">
        <v>164</v>
      </c>
      <c r="AC58" s="137" t="s">
        <v>510</v>
      </c>
      <c r="AO58" s="303" t="s">
        <v>4976</v>
      </c>
      <c r="AP58" s="303" t="s">
        <v>5043</v>
      </c>
    </row>
    <row r="59" spans="21:42" x14ac:dyDescent="0.25">
      <c r="U59" s="309" t="s">
        <v>165</v>
      </c>
      <c r="V59" s="309" t="s">
        <v>165</v>
      </c>
      <c r="AC59" s="137" t="s">
        <v>511</v>
      </c>
      <c r="AO59" s="303" t="s">
        <v>4993</v>
      </c>
      <c r="AP59" s="303" t="s">
        <v>5062</v>
      </c>
    </row>
    <row r="60" spans="21:42" x14ac:dyDescent="0.25">
      <c r="U60" s="309" t="s">
        <v>171</v>
      </c>
      <c r="V60" s="309" t="s">
        <v>173</v>
      </c>
      <c r="AC60" s="137" t="s">
        <v>512</v>
      </c>
      <c r="AO60" s="303" t="s">
        <v>5014</v>
      </c>
      <c r="AP60" s="303" t="s">
        <v>5083</v>
      </c>
    </row>
    <row r="61" spans="21:42" x14ac:dyDescent="0.25">
      <c r="U61" s="309" t="s">
        <v>166</v>
      </c>
      <c r="V61" s="309" t="s">
        <v>173</v>
      </c>
      <c r="AC61" s="137" t="s">
        <v>513</v>
      </c>
      <c r="AO61" s="303" t="s">
        <v>5009</v>
      </c>
      <c r="AP61" s="303" t="s">
        <v>5078</v>
      </c>
    </row>
    <row r="62" spans="21:42" x14ac:dyDescent="0.25">
      <c r="AC62" s="137" t="s">
        <v>514</v>
      </c>
      <c r="AO62" s="303" t="s">
        <v>5016</v>
      </c>
      <c r="AP62" s="303" t="s">
        <v>5085</v>
      </c>
    </row>
    <row r="63" spans="21:42" x14ac:dyDescent="0.25">
      <c r="AC63" s="137" t="s">
        <v>515</v>
      </c>
      <c r="AO63" s="303" t="s">
        <v>4969</v>
      </c>
      <c r="AP63" s="303" t="s">
        <v>5034</v>
      </c>
    </row>
    <row r="64" spans="21:42" x14ac:dyDescent="0.25">
      <c r="AC64" s="137" t="s">
        <v>516</v>
      </c>
      <c r="AO64" s="303" t="s">
        <v>5017</v>
      </c>
      <c r="AP64" s="303" t="s">
        <v>5086</v>
      </c>
    </row>
    <row r="65" spans="29:42" x14ac:dyDescent="0.25">
      <c r="AC65" s="137" t="s">
        <v>517</v>
      </c>
      <c r="AO65" s="303" t="s">
        <v>5011</v>
      </c>
      <c r="AP65" s="303" t="s">
        <v>5080</v>
      </c>
    </row>
    <row r="66" spans="29:42" x14ac:dyDescent="0.25">
      <c r="AC66" s="137" t="s">
        <v>518</v>
      </c>
      <c r="AO66" s="303" t="s">
        <v>5015</v>
      </c>
      <c r="AP66" s="303" t="s">
        <v>5084</v>
      </c>
    </row>
    <row r="67" spans="29:42" x14ac:dyDescent="0.25">
      <c r="AC67" s="137" t="s">
        <v>519</v>
      </c>
      <c r="AO67" s="303" t="s">
        <v>5174</v>
      </c>
      <c r="AP67" s="303" t="s">
        <v>5175</v>
      </c>
    </row>
    <row r="68" spans="29:42" x14ac:dyDescent="0.25">
      <c r="AC68" s="137" t="s">
        <v>520</v>
      </c>
      <c r="AO68" s="303" t="s">
        <v>5025</v>
      </c>
      <c r="AP68" s="303" t="s">
        <v>5093</v>
      </c>
    </row>
    <row r="69" spans="29:42" x14ac:dyDescent="0.25">
      <c r="AC69" s="137" t="s">
        <v>521</v>
      </c>
      <c r="AO69" s="303" t="s">
        <v>5097</v>
      </c>
      <c r="AP69" s="303" t="s">
        <v>5050</v>
      </c>
    </row>
    <row r="70" spans="29:42" x14ac:dyDescent="0.25">
      <c r="AC70" s="137" t="s">
        <v>522</v>
      </c>
      <c r="AO70" s="303" t="s">
        <v>5024</v>
      </c>
      <c r="AP70" s="303" t="s">
        <v>5092</v>
      </c>
    </row>
    <row r="71" spans="29:42" x14ac:dyDescent="0.25">
      <c r="AC71" s="137" t="s">
        <v>523</v>
      </c>
      <c r="AO71" s="303" t="s">
        <v>5098</v>
      </c>
      <c r="AP71" s="303" t="s">
        <v>5091</v>
      </c>
    </row>
    <row r="72" spans="29:42" x14ac:dyDescent="0.25">
      <c r="AC72" s="137" t="s">
        <v>524</v>
      </c>
      <c r="AO72" s="303" t="s">
        <v>5012</v>
      </c>
      <c r="AP72" s="303" t="s">
        <v>5081</v>
      </c>
    </row>
    <row r="73" spans="29:42" x14ac:dyDescent="0.25">
      <c r="AC73" s="137" t="s">
        <v>525</v>
      </c>
      <c r="AO73" s="303" t="s">
        <v>5023</v>
      </c>
      <c r="AP73" s="303" t="s">
        <v>5023</v>
      </c>
    </row>
    <row r="74" spans="29:42" x14ac:dyDescent="0.25">
      <c r="AC74" s="137" t="s">
        <v>526</v>
      </c>
      <c r="AO74" s="303" t="s">
        <v>5004</v>
      </c>
      <c r="AP74" s="303" t="s">
        <v>5073</v>
      </c>
    </row>
    <row r="75" spans="29:42" x14ac:dyDescent="0.25">
      <c r="AC75" s="137" t="s">
        <v>527</v>
      </c>
      <c r="AO75" s="303" t="s">
        <v>5095</v>
      </c>
      <c r="AP75" s="303" t="s">
        <v>5042</v>
      </c>
    </row>
    <row r="76" spans="29:42" x14ac:dyDescent="0.25">
      <c r="AC76" s="137" t="s">
        <v>528</v>
      </c>
      <c r="AO76" s="303" t="s">
        <v>5010</v>
      </c>
      <c r="AP76" s="303" t="s">
        <v>5079</v>
      </c>
    </row>
    <row r="77" spans="29:42" x14ac:dyDescent="0.25">
      <c r="AC77" s="137" t="s">
        <v>529</v>
      </c>
    </row>
    <row r="78" spans="29:42" x14ac:dyDescent="0.25">
      <c r="AC78" s="137" t="s">
        <v>530</v>
      </c>
    </row>
    <row r="79" spans="29:42" x14ac:dyDescent="0.25">
      <c r="AC79" s="137" t="s">
        <v>531</v>
      </c>
    </row>
    <row r="80" spans="29:42" x14ac:dyDescent="0.25">
      <c r="AC80" s="137" t="s">
        <v>532</v>
      </c>
    </row>
    <row r="81" spans="29:29" x14ac:dyDescent="0.25">
      <c r="AC81" s="137" t="s">
        <v>533</v>
      </c>
    </row>
    <row r="82" spans="29:29" x14ac:dyDescent="0.25">
      <c r="AC82" s="137" t="s">
        <v>534</v>
      </c>
    </row>
    <row r="83" spans="29:29" x14ac:dyDescent="0.25">
      <c r="AC83" s="137" t="s">
        <v>535</v>
      </c>
    </row>
    <row r="84" spans="29:29" x14ac:dyDescent="0.25">
      <c r="AC84" s="137" t="s">
        <v>536</v>
      </c>
    </row>
    <row r="85" spans="29:29" x14ac:dyDescent="0.25">
      <c r="AC85" s="137" t="s">
        <v>537</v>
      </c>
    </row>
    <row r="86" spans="29:29" x14ac:dyDescent="0.25">
      <c r="AC86" s="137" t="s">
        <v>538</v>
      </c>
    </row>
    <row r="87" spans="29:29" x14ac:dyDescent="0.25">
      <c r="AC87" s="137" t="s">
        <v>539</v>
      </c>
    </row>
    <row r="88" spans="29:29" x14ac:dyDescent="0.25">
      <c r="AC88" s="137" t="s">
        <v>540</v>
      </c>
    </row>
    <row r="89" spans="29:29" x14ac:dyDescent="0.25">
      <c r="AC89" s="137" t="s">
        <v>541</v>
      </c>
    </row>
    <row r="90" spans="29:29" x14ac:dyDescent="0.25">
      <c r="AC90" s="137" t="s">
        <v>542</v>
      </c>
    </row>
    <row r="91" spans="29:29" x14ac:dyDescent="0.25">
      <c r="AC91" s="137" t="s">
        <v>543</v>
      </c>
    </row>
    <row r="92" spans="29:29" x14ac:dyDescent="0.25">
      <c r="AC92" s="137" t="s">
        <v>544</v>
      </c>
    </row>
    <row r="93" spans="29:29" x14ac:dyDescent="0.25">
      <c r="AC93" s="137" t="s">
        <v>545</v>
      </c>
    </row>
    <row r="94" spans="29:29" x14ac:dyDescent="0.25">
      <c r="AC94" s="137" t="s">
        <v>546</v>
      </c>
    </row>
    <row r="95" spans="29:29" x14ac:dyDescent="0.25">
      <c r="AC95" s="137" t="s">
        <v>547</v>
      </c>
    </row>
    <row r="96" spans="29:29" x14ac:dyDescent="0.25">
      <c r="AC96" s="137" t="s">
        <v>548</v>
      </c>
    </row>
    <row r="97" spans="29:29" x14ac:dyDescent="0.25">
      <c r="AC97" s="137" t="s">
        <v>549</v>
      </c>
    </row>
    <row r="98" spans="29:29" x14ac:dyDescent="0.25">
      <c r="AC98" s="137" t="s">
        <v>550</v>
      </c>
    </row>
    <row r="99" spans="29:29" x14ac:dyDescent="0.25">
      <c r="AC99" s="137" t="s">
        <v>551</v>
      </c>
    </row>
    <row r="100" spans="29:29" x14ac:dyDescent="0.25">
      <c r="AC100" s="137" t="s">
        <v>552</v>
      </c>
    </row>
    <row r="101" spans="29:29" x14ac:dyDescent="0.25">
      <c r="AC101" s="137" t="s">
        <v>553</v>
      </c>
    </row>
    <row r="102" spans="29:29" x14ac:dyDescent="0.25">
      <c r="AC102" s="137" t="s">
        <v>554</v>
      </c>
    </row>
    <row r="103" spans="29:29" x14ac:dyDescent="0.25">
      <c r="AC103" s="309" t="s">
        <v>5106</v>
      </c>
    </row>
    <row r="104" spans="29:29" x14ac:dyDescent="0.25">
      <c r="AC104" s="309" t="s">
        <v>842</v>
      </c>
    </row>
    <row r="105" spans="29:29" x14ac:dyDescent="0.25">
      <c r="AC105" s="309" t="s">
        <v>5107</v>
      </c>
    </row>
    <row r="106" spans="29:29" x14ac:dyDescent="0.25">
      <c r="AC106" s="309" t="s">
        <v>5108</v>
      </c>
    </row>
    <row r="107" spans="29:29" x14ac:dyDescent="0.25">
      <c r="AC107" s="309" t="s">
        <v>5109</v>
      </c>
    </row>
    <row r="108" spans="29:29" x14ac:dyDescent="0.25">
      <c r="AC108" s="309" t="s">
        <v>5110</v>
      </c>
    </row>
    <row r="109" spans="29:29" x14ac:dyDescent="0.25">
      <c r="AC109" s="309" t="s">
        <v>5111</v>
      </c>
    </row>
    <row r="110" spans="29:29" x14ac:dyDescent="0.25">
      <c r="AC110" s="309" t="s">
        <v>5112</v>
      </c>
    </row>
    <row r="111" spans="29:29" x14ac:dyDescent="0.25">
      <c r="AC111" s="309" t="s">
        <v>5113</v>
      </c>
    </row>
    <row r="112" spans="29:29" x14ac:dyDescent="0.25">
      <c r="AC112" s="309" t="s">
        <v>843</v>
      </c>
    </row>
    <row r="113" spans="29:29" x14ac:dyDescent="0.25">
      <c r="AC113" s="309" t="s">
        <v>844</v>
      </c>
    </row>
  </sheetData>
  <sheetProtection algorithmName="SHA-512" hashValue="xFcVWswizNCyB/U+lLtxVuBp2OSiv3zOKGgZ1Vw/pXPv98t+U4WHcULxngckos0u0TD2V1CtJm2OICQzkE8mWQ==" saltValue="yPnGfXdHiYYB/2ZvYTjEKA==" spinCount="100000" sheet="1" scenarios="1"/>
  <sortState ref="AO5:AP76">
    <sortCondition ref="AO4"/>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B1:BQ281"/>
  <sheetViews>
    <sheetView topLeftCell="AI1" zoomScale="70" zoomScaleNormal="70" workbookViewId="0">
      <selection activeCell="AL6" sqref="AL6"/>
    </sheetView>
  </sheetViews>
  <sheetFormatPr baseColWidth="10" defaultColWidth="9.140625" defaultRowHeight="15" outlineLevelCol="1" x14ac:dyDescent="0.25"/>
  <cols>
    <col min="2" max="2" width="76.7109375" bestFit="1" customWidth="1"/>
    <col min="3" max="3" width="11.85546875" style="36" customWidth="1"/>
    <col min="4" max="4" width="12" style="36" customWidth="1"/>
    <col min="5" max="5" width="10" style="36" bestFit="1" customWidth="1"/>
    <col min="6" max="6" width="16.5703125" style="36" bestFit="1" customWidth="1"/>
    <col min="7" max="8" width="16.5703125" style="36" customWidth="1"/>
    <col min="10" max="10" width="80" bestFit="1" customWidth="1"/>
    <col min="11" max="11" width="17.28515625" bestFit="1" customWidth="1"/>
    <col min="16" max="16" width="52.42578125" bestFit="1" customWidth="1"/>
    <col min="17" max="20" width="15.140625" customWidth="1"/>
    <col min="21" max="23" width="14.7109375" customWidth="1" outlineLevel="1"/>
    <col min="24" max="35" width="18.140625" customWidth="1"/>
    <col min="37" max="37" width="39.140625" bestFit="1" customWidth="1"/>
    <col min="38" max="38" width="26.85546875" bestFit="1" customWidth="1"/>
    <col min="39" max="39" width="24.7109375" bestFit="1" customWidth="1"/>
    <col min="41" max="41" width="42.5703125" customWidth="1"/>
    <col min="42" max="47" width="19.42578125" customWidth="1"/>
    <col min="49" max="49" width="26.42578125" bestFit="1" customWidth="1"/>
    <col min="50" max="50" width="11" bestFit="1" customWidth="1"/>
    <col min="51" max="51" width="18.140625" bestFit="1" customWidth="1"/>
    <col min="52" max="52" width="54.140625" bestFit="1" customWidth="1"/>
    <col min="54" max="54" width="18.5703125" style="104" bestFit="1" customWidth="1"/>
    <col min="55" max="55" width="24.42578125" style="36" bestFit="1" customWidth="1"/>
    <col min="56" max="56" width="8" style="36" bestFit="1" customWidth="1"/>
    <col min="57" max="57" width="29.28515625" style="36" bestFit="1" customWidth="1"/>
    <col min="58" max="58" width="53.140625" style="36" customWidth="1"/>
    <col min="59" max="59" width="31.28515625" bestFit="1" customWidth="1"/>
    <col min="60" max="60" width="53.140625" style="36" bestFit="1" customWidth="1"/>
    <col min="61" max="61" width="43" style="36" bestFit="1" customWidth="1"/>
    <col min="63" max="63" width="25.7109375" customWidth="1"/>
    <col min="64" max="64" width="27.42578125" customWidth="1"/>
    <col min="67" max="67" width="9.140625" style="410"/>
    <col min="68" max="68" width="32.42578125" bestFit="1" customWidth="1"/>
  </cols>
  <sheetData>
    <row r="1" spans="2:69" ht="15.75" thickBot="1" x14ac:dyDescent="0.3"/>
    <row r="2" spans="2:69" ht="15.75" thickTop="1" x14ac:dyDescent="0.25">
      <c r="B2" s="70" t="s">
        <v>2850</v>
      </c>
      <c r="J2" s="70" t="s">
        <v>228</v>
      </c>
      <c r="P2" s="651" t="s">
        <v>2849</v>
      </c>
      <c r="Q2" s="651"/>
      <c r="R2" s="651"/>
      <c r="S2" s="651"/>
      <c r="X2" s="1025" t="s">
        <v>92</v>
      </c>
      <c r="Y2" s="1026"/>
      <c r="Z2" s="1026"/>
      <c r="AA2" s="1027"/>
      <c r="AB2" s="1025" t="s">
        <v>93</v>
      </c>
      <c r="AC2" s="1026"/>
      <c r="AD2" s="1026"/>
      <c r="AE2" s="1027"/>
      <c r="AF2" s="1025" t="s">
        <v>94</v>
      </c>
      <c r="AG2" s="1026"/>
      <c r="AH2" s="1026"/>
      <c r="AI2" s="1027"/>
      <c r="AK2" s="70" t="s">
        <v>2851</v>
      </c>
      <c r="BB2" s="547" t="s">
        <v>2852</v>
      </c>
    </row>
    <row r="3" spans="2:69" x14ac:dyDescent="0.25">
      <c r="Q3" s="1012" t="s">
        <v>393</v>
      </c>
      <c r="R3" s="1012"/>
      <c r="S3" s="1012" t="s">
        <v>394</v>
      </c>
      <c r="T3" s="1012"/>
      <c r="U3" s="1012" t="s">
        <v>2848</v>
      </c>
      <c r="V3" s="1012"/>
      <c r="W3" s="1012"/>
      <c r="X3" s="1012" t="s">
        <v>2856</v>
      </c>
      <c r="Y3" s="1012"/>
      <c r="Z3" s="1012" t="s">
        <v>2857</v>
      </c>
      <c r="AA3" s="1012"/>
      <c r="AB3" s="1012" t="s">
        <v>2856</v>
      </c>
      <c r="AC3" s="1012"/>
      <c r="AD3" s="1012" t="s">
        <v>2857</v>
      </c>
      <c r="AE3" s="1012"/>
      <c r="AF3" s="1012" t="s">
        <v>2856</v>
      </c>
      <c r="AG3" s="1012"/>
      <c r="AH3" s="1012" t="s">
        <v>2857</v>
      </c>
      <c r="AI3" s="1012"/>
      <c r="AO3" s="279" t="s">
        <v>673</v>
      </c>
    </row>
    <row r="4" spans="2:69" x14ac:dyDescent="0.25">
      <c r="B4" s="68" t="s">
        <v>203</v>
      </c>
      <c r="C4" s="69" t="s">
        <v>204</v>
      </c>
      <c r="D4" s="69" t="s">
        <v>205</v>
      </c>
      <c r="E4" s="69" t="s">
        <v>206</v>
      </c>
      <c r="F4" s="69" t="s">
        <v>207</v>
      </c>
      <c r="G4" s="59" t="s">
        <v>241</v>
      </c>
      <c r="H4" s="59" t="s">
        <v>242</v>
      </c>
      <c r="J4" s="69" t="s">
        <v>229</v>
      </c>
      <c r="K4" s="69" t="s">
        <v>230</v>
      </c>
      <c r="L4" s="59" t="s">
        <v>249</v>
      </c>
      <c r="M4" s="59" t="s">
        <v>250</v>
      </c>
      <c r="N4" s="131"/>
      <c r="O4" s="1013" t="s">
        <v>399</v>
      </c>
      <c r="P4" s="59" t="s">
        <v>400</v>
      </c>
      <c r="Q4" s="59" t="s">
        <v>293</v>
      </c>
      <c r="R4" s="59" t="s">
        <v>294</v>
      </c>
      <c r="S4" s="59" t="s">
        <v>293</v>
      </c>
      <c r="T4" s="59" t="s">
        <v>294</v>
      </c>
      <c r="U4" s="59" t="s">
        <v>92</v>
      </c>
      <c r="V4" s="59" t="s">
        <v>93</v>
      </c>
      <c r="W4" s="59" t="s">
        <v>94</v>
      </c>
      <c r="X4" s="59" t="s">
        <v>584</v>
      </c>
      <c r="Y4" s="59" t="s">
        <v>585</v>
      </c>
      <c r="Z4" s="59" t="s">
        <v>584</v>
      </c>
      <c r="AA4" s="59" t="s">
        <v>585</v>
      </c>
      <c r="AB4" s="59" t="s">
        <v>584</v>
      </c>
      <c r="AC4" s="59" t="s">
        <v>585</v>
      </c>
      <c r="AD4" s="59" t="s">
        <v>584</v>
      </c>
      <c r="AE4" s="59" t="s">
        <v>585</v>
      </c>
      <c r="AF4" s="59" t="s">
        <v>584</v>
      </c>
      <c r="AG4" s="59" t="s">
        <v>585</v>
      </c>
      <c r="AH4" s="59" t="s">
        <v>584</v>
      </c>
      <c r="AI4" s="59" t="s">
        <v>585</v>
      </c>
      <c r="AK4" s="59" t="s">
        <v>417</v>
      </c>
      <c r="AL4" s="59" t="s">
        <v>418</v>
      </c>
      <c r="AM4" s="59" t="s">
        <v>419</v>
      </c>
      <c r="AO4" s="59" t="s">
        <v>662</v>
      </c>
      <c r="AP4" s="59" t="s">
        <v>663</v>
      </c>
      <c r="AQ4" s="59" t="s">
        <v>664</v>
      </c>
      <c r="AR4" s="59" t="s">
        <v>665</v>
      </c>
      <c r="AS4" s="59" t="s">
        <v>666</v>
      </c>
      <c r="AT4" s="59" t="s">
        <v>667</v>
      </c>
      <c r="AU4" s="59" t="s">
        <v>668</v>
      </c>
      <c r="AW4" s="59" t="s">
        <v>285</v>
      </c>
      <c r="AX4" s="59" t="s">
        <v>637</v>
      </c>
      <c r="AY4" s="59" t="s">
        <v>689</v>
      </c>
      <c r="AZ4" s="59" t="s">
        <v>690</v>
      </c>
      <c r="BB4" s="549" t="s">
        <v>745</v>
      </c>
      <c r="BC4" s="59" t="s">
        <v>746</v>
      </c>
      <c r="BD4" s="59" t="s">
        <v>747</v>
      </c>
      <c r="BE4" s="59" t="s">
        <v>748</v>
      </c>
      <c r="BF4" s="59" t="s">
        <v>2302</v>
      </c>
      <c r="BH4" s="59" t="s">
        <v>749</v>
      </c>
      <c r="BI4" s="59" t="s">
        <v>690</v>
      </c>
      <c r="BK4" s="1012" t="s">
        <v>2532</v>
      </c>
      <c r="BL4" s="1012"/>
      <c r="BP4" s="59" t="s">
        <v>2308</v>
      </c>
    </row>
    <row r="5" spans="2:69" ht="18" x14ac:dyDescent="0.25">
      <c r="B5" s="67" t="s">
        <v>208</v>
      </c>
      <c r="C5" s="37" t="s">
        <v>209</v>
      </c>
      <c r="D5" s="37" t="s">
        <v>209</v>
      </c>
      <c r="E5" s="37" t="s">
        <v>210</v>
      </c>
      <c r="F5" s="37">
        <v>20</v>
      </c>
      <c r="G5" s="37">
        <v>1</v>
      </c>
      <c r="H5" s="37" t="s">
        <v>244</v>
      </c>
      <c r="J5" s="37" t="s">
        <v>231</v>
      </c>
      <c r="K5" s="37">
        <v>0</v>
      </c>
      <c r="L5" s="67">
        <v>0</v>
      </c>
      <c r="M5" s="67">
        <v>3.9999899999999999</v>
      </c>
      <c r="O5" s="1013"/>
      <c r="P5" t="s">
        <v>395</v>
      </c>
      <c r="Q5" s="104">
        <v>12</v>
      </c>
      <c r="R5" s="104">
        <v>35</v>
      </c>
      <c r="S5" s="104">
        <v>350</v>
      </c>
      <c r="T5" s="133">
        <v>750</v>
      </c>
      <c r="U5" s="183">
        <f>Surfaces!O173</f>
        <v>0</v>
      </c>
      <c r="V5" s="184">
        <f>Surfaces!P173</f>
        <v>0</v>
      </c>
      <c r="W5" s="185">
        <f>Surfaces!Q173</f>
        <v>0</v>
      </c>
      <c r="X5" s="192">
        <f>Q5*U5</f>
        <v>0</v>
      </c>
      <c r="Y5" s="104">
        <f>R5*U5</f>
        <v>0</v>
      </c>
      <c r="Z5" s="104">
        <f>S5*U5</f>
        <v>0</v>
      </c>
      <c r="AA5" s="133">
        <f>T5*U5</f>
        <v>0</v>
      </c>
      <c r="AB5" s="192">
        <f>Q5*V5</f>
        <v>0</v>
      </c>
      <c r="AC5" s="104">
        <f>R5*V5</f>
        <v>0</v>
      </c>
      <c r="AD5" s="104">
        <f>S5*V5</f>
        <v>0</v>
      </c>
      <c r="AE5" s="133">
        <f>T5*V5</f>
        <v>0</v>
      </c>
      <c r="AF5" s="192">
        <f>Q5*W5</f>
        <v>0</v>
      </c>
      <c r="AG5" s="104">
        <f>R5*W5</f>
        <v>0</v>
      </c>
      <c r="AH5" s="104">
        <f>S5*W5</f>
        <v>0</v>
      </c>
      <c r="AI5" s="133">
        <f>T5*W5</f>
        <v>0</v>
      </c>
      <c r="AK5" s="136" t="s">
        <v>420</v>
      </c>
      <c r="AL5" s="572" t="s">
        <v>5258</v>
      </c>
      <c r="AM5" s="136">
        <v>2025</v>
      </c>
      <c r="AO5" s="283" t="s">
        <v>674</v>
      </c>
      <c r="AP5" s="282">
        <v>5</v>
      </c>
      <c r="AQ5" s="282">
        <v>5</v>
      </c>
      <c r="AR5" s="282">
        <v>5</v>
      </c>
      <c r="AS5" s="282">
        <v>5</v>
      </c>
      <c r="AT5" s="282">
        <v>3</v>
      </c>
      <c r="AU5" s="282">
        <v>3</v>
      </c>
      <c r="AW5" s="136" t="s">
        <v>10</v>
      </c>
      <c r="AX5" s="136" t="s">
        <v>639</v>
      </c>
      <c r="AY5" s="136" t="s">
        <v>138</v>
      </c>
      <c r="AZ5" s="136" t="str">
        <f>AW5&amp;AX5&amp;AY5</f>
        <v>AlsaceAgrumesClémentinier</v>
      </c>
      <c r="BB5" s="104" t="s">
        <v>676</v>
      </c>
      <c r="BC5" s="36" t="s">
        <v>750</v>
      </c>
      <c r="BD5" s="36">
        <v>82</v>
      </c>
      <c r="BE5" s="36" t="s">
        <v>31</v>
      </c>
      <c r="BF5" s="36" t="s">
        <v>893</v>
      </c>
      <c r="BG5" s="36"/>
      <c r="BH5" s="36" t="s">
        <v>52</v>
      </c>
      <c r="BI5" s="36" t="s">
        <v>750</v>
      </c>
      <c r="BK5" s="59" t="s">
        <v>2533</v>
      </c>
      <c r="BL5" s="59" t="s">
        <v>2534</v>
      </c>
      <c r="BP5" s="341" t="str">
        <f>IF(Identification!F23="","N",Identification!F23)</f>
        <v>N</v>
      </c>
      <c r="BQ5" t="s">
        <v>2309</v>
      </c>
    </row>
    <row r="6" spans="2:69" x14ac:dyDescent="0.25">
      <c r="B6" s="67" t="s">
        <v>211</v>
      </c>
      <c r="C6" s="37" t="s">
        <v>209</v>
      </c>
      <c r="D6" s="37" t="s">
        <v>209</v>
      </c>
      <c r="E6" s="37" t="s">
        <v>210</v>
      </c>
      <c r="F6" s="37">
        <v>10</v>
      </c>
      <c r="G6" s="37">
        <v>2</v>
      </c>
      <c r="H6" s="37" t="s">
        <v>244</v>
      </c>
      <c r="J6" s="37" t="s">
        <v>232</v>
      </c>
      <c r="K6" s="37">
        <v>1</v>
      </c>
      <c r="L6" s="67">
        <v>4</v>
      </c>
      <c r="M6" s="67">
        <v>4.9999900000000004</v>
      </c>
      <c r="O6" s="1013"/>
      <c r="P6" t="s">
        <v>389</v>
      </c>
      <c r="Q6" s="104">
        <v>5</v>
      </c>
      <c r="R6" s="104">
        <v>50</v>
      </c>
      <c r="S6" s="104">
        <v>225</v>
      </c>
      <c r="T6" s="133">
        <v>1250</v>
      </c>
      <c r="U6" s="186">
        <f>Surfaces!O174</f>
        <v>0</v>
      </c>
      <c r="V6" s="187">
        <f>Surfaces!P174</f>
        <v>0</v>
      </c>
      <c r="W6" s="188">
        <f>Surfaces!Q174</f>
        <v>0</v>
      </c>
      <c r="X6" s="192">
        <f t="shared" ref="X6:X25" si="0">Q6*U6</f>
        <v>0</v>
      </c>
      <c r="Y6" s="104">
        <f t="shared" ref="Y6:Y25" si="1">R6*U6</f>
        <v>0</v>
      </c>
      <c r="Z6" s="104">
        <f t="shared" ref="Z6:Z25" si="2">S6*U6</f>
        <v>0</v>
      </c>
      <c r="AA6" s="133">
        <f t="shared" ref="AA6:AA25" si="3">T6*U6</f>
        <v>0</v>
      </c>
      <c r="AB6" s="192">
        <f t="shared" ref="AB6:AB25" si="4">Q6*V6</f>
        <v>0</v>
      </c>
      <c r="AC6" s="104">
        <f t="shared" ref="AC6:AC25" si="5">R6*V6</f>
        <v>0</v>
      </c>
      <c r="AD6" s="104">
        <f t="shared" ref="AD6:AD25" si="6">S6*V6</f>
        <v>0</v>
      </c>
      <c r="AE6" s="133">
        <f t="shared" ref="AE6:AE25" si="7">T6*V6</f>
        <v>0</v>
      </c>
      <c r="AF6" s="192">
        <f t="shared" ref="AF6:AF25" si="8">Q6*W6</f>
        <v>0</v>
      </c>
      <c r="AG6" s="104">
        <f t="shared" ref="AG6:AG25" si="9">R6*W6</f>
        <v>0</v>
      </c>
      <c r="AH6" s="104">
        <f t="shared" ref="AH6:AH25" si="10">S6*W6</f>
        <v>0</v>
      </c>
      <c r="AI6" s="133">
        <f t="shared" ref="AI6:AI25" si="11">T6*W6</f>
        <v>0</v>
      </c>
      <c r="AK6" s="136" t="s">
        <v>34</v>
      </c>
      <c r="AL6" s="136"/>
      <c r="AM6" s="136"/>
      <c r="AO6" s="284"/>
      <c r="AP6" s="284"/>
      <c r="AQ6" s="284"/>
      <c r="AR6" s="284"/>
      <c r="AS6" s="284"/>
      <c r="AT6" s="284"/>
      <c r="AU6" s="284"/>
      <c r="AW6" s="136" t="s">
        <v>10</v>
      </c>
      <c r="AX6" s="136" t="s">
        <v>173</v>
      </c>
      <c r="AY6" s="136" t="s">
        <v>165</v>
      </c>
      <c r="AZ6" s="136" t="str">
        <f>AW6&amp;AX6&amp;AY6</f>
        <v>AlsaceAutresPrunier</v>
      </c>
      <c r="BB6" s="104" t="s">
        <v>677</v>
      </c>
      <c r="BC6" s="36" t="s">
        <v>751</v>
      </c>
      <c r="BD6" s="36">
        <v>22</v>
      </c>
      <c r="BE6" s="36" t="s">
        <v>28</v>
      </c>
      <c r="BF6" s="36" t="s">
        <v>897</v>
      </c>
      <c r="BG6" s="36"/>
      <c r="BH6" s="36" t="s">
        <v>650</v>
      </c>
      <c r="BI6" s="36" t="s">
        <v>751</v>
      </c>
      <c r="BK6" s="303"/>
      <c r="BL6" s="303"/>
      <c r="BP6" t="str">
        <f>IF(cCampagneN="N","N-1",INT(LEFT(BP5,4)))</f>
        <v>N-1</v>
      </c>
    </row>
    <row r="7" spans="2:69" x14ac:dyDescent="0.25">
      <c r="B7" s="67" t="s">
        <v>212</v>
      </c>
      <c r="C7" s="37" t="s">
        <v>209</v>
      </c>
      <c r="D7" s="37" t="s">
        <v>209</v>
      </c>
      <c r="E7" s="37" t="s">
        <v>213</v>
      </c>
      <c r="F7" s="37">
        <v>30</v>
      </c>
      <c r="G7" s="37">
        <v>3</v>
      </c>
      <c r="H7" s="37" t="s">
        <v>244</v>
      </c>
      <c r="J7" s="37" t="s">
        <v>233</v>
      </c>
      <c r="K7" s="37">
        <v>2</v>
      </c>
      <c r="L7" s="67">
        <v>5</v>
      </c>
      <c r="M7" s="67">
        <v>5.9999900000000004</v>
      </c>
      <c r="O7" s="1013"/>
      <c r="P7" t="s">
        <v>396</v>
      </c>
      <c r="Q7" s="104">
        <v>45</v>
      </c>
      <c r="R7" s="104">
        <v>60</v>
      </c>
      <c r="S7" s="104">
        <v>200</v>
      </c>
      <c r="T7" s="133">
        <v>400</v>
      </c>
      <c r="U7" s="186">
        <f>Surfaces!O175</f>
        <v>0</v>
      </c>
      <c r="V7" s="187">
        <f>Surfaces!P175</f>
        <v>0</v>
      </c>
      <c r="W7" s="188">
        <f>Surfaces!Q175</f>
        <v>0</v>
      </c>
      <c r="X7" s="192">
        <f t="shared" si="0"/>
        <v>0</v>
      </c>
      <c r="Y7" s="104">
        <f t="shared" si="1"/>
        <v>0</v>
      </c>
      <c r="Z7" s="104">
        <f t="shared" si="2"/>
        <v>0</v>
      </c>
      <c r="AA7" s="133">
        <f t="shared" si="3"/>
        <v>0</v>
      </c>
      <c r="AB7" s="192">
        <f t="shared" si="4"/>
        <v>0</v>
      </c>
      <c r="AC7" s="104">
        <f t="shared" si="5"/>
        <v>0</v>
      </c>
      <c r="AD7" s="104">
        <f t="shared" si="6"/>
        <v>0</v>
      </c>
      <c r="AE7" s="133">
        <f t="shared" si="7"/>
        <v>0</v>
      </c>
      <c r="AF7" s="192">
        <f t="shared" si="8"/>
        <v>0</v>
      </c>
      <c r="AG7" s="104">
        <f t="shared" si="9"/>
        <v>0</v>
      </c>
      <c r="AH7" s="104">
        <f t="shared" si="10"/>
        <v>0</v>
      </c>
      <c r="AI7" s="133">
        <f t="shared" si="11"/>
        <v>0</v>
      </c>
      <c r="AK7" s="136" t="s">
        <v>308</v>
      </c>
      <c r="AL7" s="136"/>
      <c r="AM7" s="136"/>
      <c r="AO7" s="280" t="s">
        <v>2406</v>
      </c>
      <c r="AP7" s="281">
        <v>0</v>
      </c>
      <c r="AQ7" s="281">
        <v>0</v>
      </c>
      <c r="AR7" s="281">
        <v>0</v>
      </c>
      <c r="AS7" s="281">
        <v>0</v>
      </c>
      <c r="AT7" s="281">
        <v>0</v>
      </c>
      <c r="AU7" s="281">
        <v>0</v>
      </c>
      <c r="AW7" s="136" t="s">
        <v>10</v>
      </c>
      <c r="AX7" s="136" t="s">
        <v>135</v>
      </c>
      <c r="AY7" s="136" t="s">
        <v>135</v>
      </c>
      <c r="AZ7" s="136" t="str">
        <f t="shared" ref="AZ7:AZ69" si="12">AW7&amp;AX7&amp;AY7</f>
        <v>AlsaceCerisierCerisier</v>
      </c>
      <c r="BB7" s="104" t="s">
        <v>682</v>
      </c>
      <c r="BC7" s="36" t="s">
        <v>752</v>
      </c>
      <c r="BD7" s="36">
        <v>83</v>
      </c>
      <c r="BE7" s="36" t="s">
        <v>12</v>
      </c>
      <c r="BF7" s="36" t="s">
        <v>893</v>
      </c>
      <c r="BG7" s="36"/>
      <c r="BH7" s="36" t="s">
        <v>658</v>
      </c>
      <c r="BI7" s="36" t="s">
        <v>752</v>
      </c>
      <c r="BK7" s="303"/>
      <c r="BL7" s="303"/>
      <c r="BP7" t="str">
        <f>IF(cCampagneN="N","N-2",INT(RIGHT(BP5,2)))</f>
        <v>N-2</v>
      </c>
    </row>
    <row r="8" spans="2:69" x14ac:dyDescent="0.25">
      <c r="B8" s="67" t="s">
        <v>214</v>
      </c>
      <c r="C8" s="37" t="s">
        <v>209</v>
      </c>
      <c r="D8" s="37" t="s">
        <v>209</v>
      </c>
      <c r="E8" s="37" t="s">
        <v>2324</v>
      </c>
      <c r="F8" s="37">
        <v>1.5</v>
      </c>
      <c r="G8" s="37">
        <v>4</v>
      </c>
      <c r="H8" s="37" t="s">
        <v>244</v>
      </c>
      <c r="J8" s="37" t="s">
        <v>234</v>
      </c>
      <c r="K8" s="37">
        <v>3</v>
      </c>
      <c r="L8" s="67">
        <v>6</v>
      </c>
      <c r="M8" s="67">
        <v>6.9999900000000004</v>
      </c>
      <c r="O8" s="1013"/>
      <c r="P8" t="s">
        <v>397</v>
      </c>
      <c r="Q8" s="104">
        <v>5</v>
      </c>
      <c r="R8" s="104">
        <v>50</v>
      </c>
      <c r="S8" s="104">
        <v>225</v>
      </c>
      <c r="T8" s="133">
        <v>1250</v>
      </c>
      <c r="U8" s="186">
        <f>Surfaces!O176</f>
        <v>0</v>
      </c>
      <c r="V8" s="491">
        <f>Surfaces!P176</f>
        <v>0</v>
      </c>
      <c r="W8" s="492">
        <f>Surfaces!Q176</f>
        <v>0</v>
      </c>
      <c r="X8" s="192">
        <f t="shared" si="0"/>
        <v>0</v>
      </c>
      <c r="Y8" s="104">
        <f t="shared" si="1"/>
        <v>0</v>
      </c>
      <c r="Z8" s="104">
        <f t="shared" si="2"/>
        <v>0</v>
      </c>
      <c r="AA8" s="133">
        <f t="shared" si="3"/>
        <v>0</v>
      </c>
      <c r="AB8" s="192">
        <f t="shared" si="4"/>
        <v>0</v>
      </c>
      <c r="AC8" s="104">
        <f t="shared" si="5"/>
        <v>0</v>
      </c>
      <c r="AD8" s="104">
        <f t="shared" si="6"/>
        <v>0</v>
      </c>
      <c r="AE8" s="133">
        <f t="shared" si="7"/>
        <v>0</v>
      </c>
      <c r="AF8" s="192">
        <f t="shared" si="8"/>
        <v>0</v>
      </c>
      <c r="AG8" s="104">
        <f t="shared" si="9"/>
        <v>0</v>
      </c>
      <c r="AH8" s="104">
        <f t="shared" si="10"/>
        <v>0</v>
      </c>
      <c r="AI8" s="133">
        <f t="shared" si="11"/>
        <v>0</v>
      </c>
      <c r="AO8" s="280" t="s">
        <v>669</v>
      </c>
      <c r="AP8" s="281">
        <f t="shared" ref="AP8:AU8" si="13">AP$5*1/5</f>
        <v>1</v>
      </c>
      <c r="AQ8" s="281">
        <f t="shared" si="13"/>
        <v>1</v>
      </c>
      <c r="AR8" s="281">
        <f t="shared" si="13"/>
        <v>1</v>
      </c>
      <c r="AS8" s="281">
        <f t="shared" si="13"/>
        <v>1</v>
      </c>
      <c r="AT8" s="281">
        <f t="shared" si="13"/>
        <v>0.6</v>
      </c>
      <c r="AU8" s="281">
        <f t="shared" si="13"/>
        <v>0.6</v>
      </c>
      <c r="AW8" s="136" t="s">
        <v>10</v>
      </c>
      <c r="AX8" s="136" t="s">
        <v>148</v>
      </c>
      <c r="AY8" s="136" t="s">
        <v>148</v>
      </c>
      <c r="AZ8" s="136" t="str">
        <f t="shared" si="12"/>
        <v>AlsaceMirabellierMirabellier</v>
      </c>
      <c r="BB8" s="104" t="s">
        <v>678</v>
      </c>
      <c r="BC8" s="36" t="s">
        <v>753</v>
      </c>
      <c r="BD8" s="36">
        <v>93</v>
      </c>
      <c r="BE8" s="36" t="s">
        <v>30</v>
      </c>
      <c r="BF8" s="36" t="s">
        <v>30</v>
      </c>
      <c r="BG8" s="36"/>
      <c r="BH8" s="36" t="s">
        <v>654</v>
      </c>
      <c r="BI8" s="36" t="s">
        <v>753</v>
      </c>
      <c r="BK8" s="303"/>
      <c r="BL8" s="303"/>
      <c r="BP8" t="str">
        <f>IF(cCampagneN="N","N-1",BP6-1 &amp;"-"&amp;BP7-1)</f>
        <v>N-1</v>
      </c>
      <c r="BQ8" t="s">
        <v>2310</v>
      </c>
    </row>
    <row r="9" spans="2:69" x14ac:dyDescent="0.25">
      <c r="B9" s="67" t="s">
        <v>215</v>
      </c>
      <c r="C9" s="37" t="s">
        <v>209</v>
      </c>
      <c r="D9" s="37" t="s">
        <v>209</v>
      </c>
      <c r="E9" s="37" t="s">
        <v>2324</v>
      </c>
      <c r="F9" s="37">
        <v>1.5</v>
      </c>
      <c r="G9" s="37">
        <v>5</v>
      </c>
      <c r="H9" s="37" t="s">
        <v>245</v>
      </c>
      <c r="J9" s="37" t="s">
        <v>235</v>
      </c>
      <c r="K9" s="37">
        <v>4</v>
      </c>
      <c r="L9" s="67">
        <v>7</v>
      </c>
      <c r="M9" s="67">
        <v>7.9999900000000004</v>
      </c>
      <c r="O9" s="1013"/>
      <c r="P9" t="s">
        <v>390</v>
      </c>
      <c r="Q9" s="104">
        <v>8</v>
      </c>
      <c r="R9" s="104">
        <v>20</v>
      </c>
      <c r="S9" s="104">
        <v>200</v>
      </c>
      <c r="T9" s="133">
        <v>400</v>
      </c>
      <c r="U9" s="183">
        <f>Surfaces!O177</f>
        <v>0</v>
      </c>
      <c r="V9" s="184">
        <f>Surfaces!P177</f>
        <v>0</v>
      </c>
      <c r="W9" s="185">
        <f>Surfaces!Q177</f>
        <v>0</v>
      </c>
      <c r="X9" s="192">
        <f t="shared" si="0"/>
        <v>0</v>
      </c>
      <c r="Y9" s="104">
        <f t="shared" si="1"/>
        <v>0</v>
      </c>
      <c r="Z9" s="104">
        <f t="shared" si="2"/>
        <v>0</v>
      </c>
      <c r="AA9" s="133">
        <f t="shared" si="3"/>
        <v>0</v>
      </c>
      <c r="AB9" s="192">
        <f t="shared" si="4"/>
        <v>0</v>
      </c>
      <c r="AC9" s="104">
        <f t="shared" si="5"/>
        <v>0</v>
      </c>
      <c r="AD9" s="104">
        <f t="shared" si="6"/>
        <v>0</v>
      </c>
      <c r="AE9" s="133">
        <f t="shared" si="7"/>
        <v>0</v>
      </c>
      <c r="AF9" s="192">
        <f t="shared" si="8"/>
        <v>0</v>
      </c>
      <c r="AG9" s="104">
        <f t="shared" si="9"/>
        <v>0</v>
      </c>
      <c r="AH9" s="104">
        <f t="shared" si="10"/>
        <v>0</v>
      </c>
      <c r="AI9" s="133">
        <f t="shared" si="11"/>
        <v>0</v>
      </c>
      <c r="AK9" s="1015" t="s">
        <v>852</v>
      </c>
      <c r="AL9" s="1015"/>
      <c r="AM9" s="311">
        <v>2</v>
      </c>
      <c r="AO9" s="280" t="s">
        <v>670</v>
      </c>
      <c r="AP9" s="281">
        <f t="shared" ref="AP9:AU9" si="14">AP$5*2/5</f>
        <v>2</v>
      </c>
      <c r="AQ9" s="281">
        <f t="shared" si="14"/>
        <v>2</v>
      </c>
      <c r="AR9" s="281">
        <f t="shared" si="14"/>
        <v>2</v>
      </c>
      <c r="AS9" s="281">
        <f t="shared" si="14"/>
        <v>2</v>
      </c>
      <c r="AT9" s="281">
        <f t="shared" si="14"/>
        <v>1.2</v>
      </c>
      <c r="AU9" s="281">
        <f t="shared" si="14"/>
        <v>1.2</v>
      </c>
      <c r="AW9" s="136" t="s">
        <v>10</v>
      </c>
      <c r="AX9" s="136" t="s">
        <v>154</v>
      </c>
      <c r="AY9" s="136" t="s">
        <v>640</v>
      </c>
      <c r="AZ9" s="136" t="str">
        <f t="shared" si="12"/>
        <v>AlsaceNectarinierNectarinier-Pêcher</v>
      </c>
      <c r="BB9" s="104" t="s">
        <v>680</v>
      </c>
      <c r="BC9" s="36" t="s">
        <v>755</v>
      </c>
      <c r="BD9" s="36">
        <v>93</v>
      </c>
      <c r="BE9" s="36" t="s">
        <v>30</v>
      </c>
      <c r="BF9" s="36" t="s">
        <v>30</v>
      </c>
      <c r="BG9" s="36"/>
      <c r="BH9" s="36" t="s">
        <v>654</v>
      </c>
      <c r="BI9" s="36" t="s">
        <v>754</v>
      </c>
      <c r="BK9" s="303"/>
      <c r="BL9" s="303"/>
      <c r="BP9" t="str">
        <f>IF(cCampagneN="N","N-2",BP6-2 &amp;"-"&amp;BP7-2)</f>
        <v>N-2</v>
      </c>
      <c r="BQ9" t="s">
        <v>2311</v>
      </c>
    </row>
    <row r="10" spans="2:69" x14ac:dyDescent="0.25">
      <c r="B10" s="67" t="s">
        <v>216</v>
      </c>
      <c r="C10" s="37" t="s">
        <v>209</v>
      </c>
      <c r="D10" s="37" t="s">
        <v>209</v>
      </c>
      <c r="E10" s="37" t="s">
        <v>210</v>
      </c>
      <c r="F10" s="37">
        <v>10</v>
      </c>
      <c r="G10" s="37">
        <v>6</v>
      </c>
      <c r="H10" s="37" t="s">
        <v>245</v>
      </c>
      <c r="J10" s="37" t="s">
        <v>236</v>
      </c>
      <c r="K10" s="37">
        <v>5</v>
      </c>
      <c r="L10" s="67">
        <v>8</v>
      </c>
      <c r="M10" s="67">
        <v>8.9999900000000004</v>
      </c>
      <c r="O10" s="1013"/>
      <c r="P10" t="s">
        <v>398</v>
      </c>
      <c r="Q10" s="104">
        <v>15</v>
      </c>
      <c r="R10" s="104">
        <v>25</v>
      </c>
      <c r="S10" s="104">
        <v>175</v>
      </c>
      <c r="T10" s="133">
        <v>600</v>
      </c>
      <c r="U10" s="186">
        <f>Surfaces!O178</f>
        <v>0</v>
      </c>
      <c r="V10" s="187">
        <f>Surfaces!P178</f>
        <v>0</v>
      </c>
      <c r="W10" s="188">
        <f>Surfaces!Q178</f>
        <v>0</v>
      </c>
      <c r="X10" s="192">
        <f t="shared" si="0"/>
        <v>0</v>
      </c>
      <c r="Y10" s="104">
        <f t="shared" si="1"/>
        <v>0</v>
      </c>
      <c r="Z10" s="104">
        <f t="shared" si="2"/>
        <v>0</v>
      </c>
      <c r="AA10" s="133">
        <f t="shared" si="3"/>
        <v>0</v>
      </c>
      <c r="AB10" s="192">
        <f t="shared" si="4"/>
        <v>0</v>
      </c>
      <c r="AC10" s="104">
        <f t="shared" si="5"/>
        <v>0</v>
      </c>
      <c r="AD10" s="104">
        <f t="shared" si="6"/>
        <v>0</v>
      </c>
      <c r="AE10" s="133">
        <f t="shared" si="7"/>
        <v>0</v>
      </c>
      <c r="AF10" s="192">
        <f t="shared" si="8"/>
        <v>0</v>
      </c>
      <c r="AG10" s="104">
        <f t="shared" si="9"/>
        <v>0</v>
      </c>
      <c r="AH10" s="104">
        <f t="shared" si="10"/>
        <v>0</v>
      </c>
      <c r="AI10" s="133">
        <f t="shared" si="11"/>
        <v>0</v>
      </c>
      <c r="AK10" s="1016" t="s">
        <v>853</v>
      </c>
      <c r="AL10" s="1017"/>
      <c r="AM10" s="1018"/>
      <c r="AO10" s="280" t="s">
        <v>671</v>
      </c>
      <c r="AP10" s="281">
        <f t="shared" ref="AP10:AU10" si="15">AP$5*3/5</f>
        <v>3</v>
      </c>
      <c r="AQ10" s="281">
        <f t="shared" si="15"/>
        <v>3</v>
      </c>
      <c r="AR10" s="281">
        <f t="shared" si="15"/>
        <v>3</v>
      </c>
      <c r="AS10" s="281">
        <f t="shared" si="15"/>
        <v>3</v>
      </c>
      <c r="AT10" s="281">
        <f t="shared" si="15"/>
        <v>1.8</v>
      </c>
      <c r="AU10" s="281">
        <f t="shared" si="15"/>
        <v>1.8</v>
      </c>
      <c r="AW10" s="136" t="s">
        <v>10</v>
      </c>
      <c r="AX10" s="136" t="s">
        <v>157</v>
      </c>
      <c r="AY10" s="136" t="s">
        <v>157</v>
      </c>
      <c r="AZ10" s="136" t="str">
        <f t="shared" si="12"/>
        <v>AlsaceNoyerNoyer</v>
      </c>
      <c r="BB10" s="104" t="s">
        <v>756</v>
      </c>
      <c r="BC10" s="36" t="s">
        <v>757</v>
      </c>
      <c r="BD10" s="36">
        <v>82</v>
      </c>
      <c r="BE10" s="36" t="s">
        <v>31</v>
      </c>
      <c r="BF10" s="36" t="s">
        <v>893</v>
      </c>
      <c r="BG10" s="36"/>
      <c r="BH10" s="36" t="s">
        <v>654</v>
      </c>
      <c r="BI10" s="36" t="s">
        <v>755</v>
      </c>
      <c r="BK10" s="303"/>
      <c r="BL10" s="303"/>
    </row>
    <row r="11" spans="2:69" x14ac:dyDescent="0.25">
      <c r="B11" s="67" t="s">
        <v>217</v>
      </c>
      <c r="C11" s="37" t="s">
        <v>209</v>
      </c>
      <c r="D11" s="37" t="s">
        <v>209</v>
      </c>
      <c r="E11" s="37" t="s">
        <v>210</v>
      </c>
      <c r="F11" s="37">
        <v>1</v>
      </c>
      <c r="G11" s="37">
        <v>7</v>
      </c>
      <c r="H11" s="37" t="s">
        <v>246</v>
      </c>
      <c r="J11" s="37" t="s">
        <v>237</v>
      </c>
      <c r="K11" s="37">
        <v>6</v>
      </c>
      <c r="L11" s="67">
        <v>9</v>
      </c>
      <c r="M11" s="67">
        <v>9.9999900000000004</v>
      </c>
      <c r="O11" s="1013"/>
      <c r="P11" t="s">
        <v>391</v>
      </c>
      <c r="Q11" s="104">
        <v>20</v>
      </c>
      <c r="R11" s="104">
        <v>125</v>
      </c>
      <c r="S11" s="104">
        <v>800</v>
      </c>
      <c r="T11" s="133">
        <v>2000</v>
      </c>
      <c r="U11" s="186">
        <f>Surfaces!O179</f>
        <v>0</v>
      </c>
      <c r="V11" s="491">
        <f>Surfaces!P179</f>
        <v>0</v>
      </c>
      <c r="W11" s="492">
        <f>Surfaces!Q179</f>
        <v>0</v>
      </c>
      <c r="X11" s="192">
        <f t="shared" si="0"/>
        <v>0</v>
      </c>
      <c r="Y11" s="104">
        <f t="shared" si="1"/>
        <v>0</v>
      </c>
      <c r="Z11" s="104">
        <f t="shared" si="2"/>
        <v>0</v>
      </c>
      <c r="AA11" s="133">
        <f t="shared" si="3"/>
        <v>0</v>
      </c>
      <c r="AB11" s="192">
        <f t="shared" si="4"/>
        <v>0</v>
      </c>
      <c r="AC11" s="104">
        <f t="shared" si="5"/>
        <v>0</v>
      </c>
      <c r="AD11" s="104">
        <f t="shared" si="6"/>
        <v>0</v>
      </c>
      <c r="AE11" s="133">
        <f t="shared" si="7"/>
        <v>0</v>
      </c>
      <c r="AF11" s="192">
        <f t="shared" si="8"/>
        <v>0</v>
      </c>
      <c r="AG11" s="104">
        <f t="shared" si="9"/>
        <v>0</v>
      </c>
      <c r="AH11" s="104">
        <f t="shared" si="10"/>
        <v>0</v>
      </c>
      <c r="AI11" s="133">
        <f t="shared" si="11"/>
        <v>0</v>
      </c>
      <c r="AK11" s="1019" t="s">
        <v>854</v>
      </c>
      <c r="AL11" s="1020"/>
      <c r="AM11" s="1021"/>
      <c r="AO11" s="280" t="s">
        <v>672</v>
      </c>
      <c r="AP11" s="281">
        <f t="shared" ref="AP11:AU11" si="16">AP$5*4/5</f>
        <v>4</v>
      </c>
      <c r="AQ11" s="281">
        <f t="shared" si="16"/>
        <v>4</v>
      </c>
      <c r="AR11" s="281">
        <f t="shared" si="16"/>
        <v>4</v>
      </c>
      <c r="AS11" s="281">
        <f t="shared" si="16"/>
        <v>4</v>
      </c>
      <c r="AT11" s="281">
        <f t="shared" si="16"/>
        <v>2.4</v>
      </c>
      <c r="AU11" s="281">
        <f t="shared" si="16"/>
        <v>2.4</v>
      </c>
      <c r="AW11" s="136" t="s">
        <v>10</v>
      </c>
      <c r="AX11" s="136" t="s">
        <v>161</v>
      </c>
      <c r="AY11" s="136" t="s">
        <v>640</v>
      </c>
      <c r="AZ11" s="136" t="str">
        <f t="shared" si="12"/>
        <v>AlsacePêcherNectarinier-Pêcher</v>
      </c>
      <c r="BB11" s="104" t="s">
        <v>758</v>
      </c>
      <c r="BC11" s="36" t="s">
        <v>759</v>
      </c>
      <c r="BD11" s="36">
        <v>21</v>
      </c>
      <c r="BE11" s="36" t="s">
        <v>17</v>
      </c>
      <c r="BF11" s="36" t="s">
        <v>896</v>
      </c>
      <c r="BG11" s="36"/>
      <c r="BH11" s="36" t="s">
        <v>652</v>
      </c>
      <c r="BI11" s="36" t="s">
        <v>5104</v>
      </c>
      <c r="BK11" s="303"/>
      <c r="BL11" s="303"/>
    </row>
    <row r="12" spans="2:69" ht="15.75" thickBot="1" x14ac:dyDescent="0.3">
      <c r="B12" s="67" t="s">
        <v>218</v>
      </c>
      <c r="C12" s="37" t="s">
        <v>209</v>
      </c>
      <c r="D12" s="37" t="s">
        <v>209</v>
      </c>
      <c r="E12" s="37" t="s">
        <v>210</v>
      </c>
      <c r="F12" s="37">
        <v>9</v>
      </c>
      <c r="G12" s="37">
        <v>8</v>
      </c>
      <c r="H12" s="37" t="s">
        <v>247</v>
      </c>
      <c r="J12" s="37" t="s">
        <v>238</v>
      </c>
      <c r="K12" s="37">
        <v>7</v>
      </c>
      <c r="L12" s="67">
        <v>10</v>
      </c>
      <c r="M12" s="67">
        <v>9999999</v>
      </c>
      <c r="O12" s="1013"/>
      <c r="P12" s="167" t="s">
        <v>392</v>
      </c>
      <c r="Q12" s="168">
        <v>25</v>
      </c>
      <c r="R12" s="168">
        <v>60</v>
      </c>
      <c r="S12" s="168">
        <v>400</v>
      </c>
      <c r="T12" s="169">
        <v>900</v>
      </c>
      <c r="U12" s="379">
        <f>Surfaces!O180</f>
        <v>0</v>
      </c>
      <c r="V12" s="380">
        <f>Surfaces!P180</f>
        <v>0</v>
      </c>
      <c r="W12" s="381">
        <f>Surfaces!Q180</f>
        <v>0</v>
      </c>
      <c r="X12" s="194">
        <f t="shared" si="0"/>
        <v>0</v>
      </c>
      <c r="Y12" s="168">
        <f t="shared" si="1"/>
        <v>0</v>
      </c>
      <c r="Z12" s="168">
        <f t="shared" si="2"/>
        <v>0</v>
      </c>
      <c r="AA12" s="169">
        <f t="shared" si="3"/>
        <v>0</v>
      </c>
      <c r="AB12" s="194">
        <f t="shared" si="4"/>
        <v>0</v>
      </c>
      <c r="AC12" s="168">
        <f t="shared" si="5"/>
        <v>0</v>
      </c>
      <c r="AD12" s="168">
        <f t="shared" si="6"/>
        <v>0</v>
      </c>
      <c r="AE12" s="169">
        <f t="shared" si="7"/>
        <v>0</v>
      </c>
      <c r="AF12" s="194">
        <f t="shared" si="8"/>
        <v>0</v>
      </c>
      <c r="AG12" s="168">
        <f t="shared" si="9"/>
        <v>0</v>
      </c>
      <c r="AH12" s="168">
        <f t="shared" si="10"/>
        <v>0</v>
      </c>
      <c r="AI12" s="169">
        <f t="shared" si="11"/>
        <v>0</v>
      </c>
      <c r="AK12" s="1022" t="s">
        <v>855</v>
      </c>
      <c r="AL12" s="1023"/>
      <c r="AM12" s="1024"/>
      <c r="AO12" s="280" t="s">
        <v>2407</v>
      </c>
      <c r="AP12" s="281">
        <f t="shared" ref="AP12:AU12" si="17">AP$5*5/5</f>
        <v>5</v>
      </c>
      <c r="AQ12" s="281">
        <f t="shared" si="17"/>
        <v>5</v>
      </c>
      <c r="AR12" s="281">
        <f t="shared" si="17"/>
        <v>5</v>
      </c>
      <c r="AS12" s="281">
        <f t="shared" si="17"/>
        <v>5</v>
      </c>
      <c r="AT12" s="281">
        <f t="shared" si="17"/>
        <v>3</v>
      </c>
      <c r="AU12" s="281">
        <f t="shared" si="17"/>
        <v>3</v>
      </c>
      <c r="AW12" s="136" t="s">
        <v>10</v>
      </c>
      <c r="AX12" s="136" t="s">
        <v>162</v>
      </c>
      <c r="AY12" s="136" t="s">
        <v>162</v>
      </c>
      <c r="AZ12" s="136" t="str">
        <f t="shared" si="12"/>
        <v>AlsacePoirierPoirier</v>
      </c>
      <c r="BB12" s="104" t="s">
        <v>681</v>
      </c>
      <c r="BC12" s="36" t="s">
        <v>760</v>
      </c>
      <c r="BD12" s="36">
        <v>73</v>
      </c>
      <c r="BE12" s="36" t="s">
        <v>25</v>
      </c>
      <c r="BF12" s="36" t="s">
        <v>900</v>
      </c>
      <c r="BG12" s="36"/>
      <c r="BH12" s="36" t="s">
        <v>653</v>
      </c>
      <c r="BI12" s="36" t="s">
        <v>5117</v>
      </c>
      <c r="BK12" s="303"/>
      <c r="BL12" s="303"/>
    </row>
    <row r="13" spans="2:69" ht="15" customHeight="1" thickTop="1" x14ac:dyDescent="0.25">
      <c r="B13" s="67" t="s">
        <v>219</v>
      </c>
      <c r="C13" s="37"/>
      <c r="D13" s="37" t="s">
        <v>209</v>
      </c>
      <c r="E13" s="37" t="s">
        <v>210</v>
      </c>
      <c r="F13" s="37">
        <v>9</v>
      </c>
      <c r="G13" s="37">
        <v>9</v>
      </c>
      <c r="H13" s="37" t="s">
        <v>247</v>
      </c>
      <c r="O13" s="1014" t="s">
        <v>404</v>
      </c>
      <c r="P13" t="s">
        <v>401</v>
      </c>
      <c r="Q13" s="104">
        <v>5</v>
      </c>
      <c r="R13" s="104">
        <v>25</v>
      </c>
      <c r="S13" s="104">
        <v>200</v>
      </c>
      <c r="T13" s="133">
        <v>500</v>
      </c>
      <c r="U13" s="183">
        <f>Surfaces!O182</f>
        <v>0</v>
      </c>
      <c r="V13" s="184">
        <f>Surfaces!P182</f>
        <v>0</v>
      </c>
      <c r="W13" s="185">
        <f>Surfaces!Q182</f>
        <v>0</v>
      </c>
      <c r="X13" s="192">
        <f t="shared" si="0"/>
        <v>0</v>
      </c>
      <c r="Y13" s="104">
        <f t="shared" si="1"/>
        <v>0</v>
      </c>
      <c r="Z13" s="104">
        <f t="shared" si="2"/>
        <v>0</v>
      </c>
      <c r="AA13" s="133">
        <f t="shared" si="3"/>
        <v>0</v>
      </c>
      <c r="AB13" s="192">
        <f t="shared" si="4"/>
        <v>0</v>
      </c>
      <c r="AC13" s="104">
        <f t="shared" si="5"/>
        <v>0</v>
      </c>
      <c r="AD13" s="104">
        <f t="shared" si="6"/>
        <v>0</v>
      </c>
      <c r="AE13" s="133">
        <f t="shared" si="7"/>
        <v>0</v>
      </c>
      <c r="AF13" s="192">
        <f t="shared" si="8"/>
        <v>0</v>
      </c>
      <c r="AG13" s="104">
        <f t="shared" si="9"/>
        <v>0</v>
      </c>
      <c r="AH13" s="104">
        <f t="shared" si="10"/>
        <v>0</v>
      </c>
      <c r="AI13" s="133">
        <f t="shared" si="11"/>
        <v>0</v>
      </c>
      <c r="AW13" s="136" t="s">
        <v>10</v>
      </c>
      <c r="AX13" s="136" t="s">
        <v>164</v>
      </c>
      <c r="AY13" s="136" t="s">
        <v>164</v>
      </c>
      <c r="AZ13" s="136" t="str">
        <f t="shared" si="12"/>
        <v>AlsacePommierPommier</v>
      </c>
      <c r="BB13" s="104">
        <v>10</v>
      </c>
      <c r="BC13" s="36" t="s">
        <v>761</v>
      </c>
      <c r="BD13" s="36">
        <v>21</v>
      </c>
      <c r="BE13" s="36" t="s">
        <v>17</v>
      </c>
      <c r="BF13" s="36" t="s">
        <v>896</v>
      </c>
      <c r="BG13" s="36"/>
      <c r="BH13" s="36" t="s">
        <v>659</v>
      </c>
      <c r="BI13" s="36" t="s">
        <v>759</v>
      </c>
      <c r="BK13" s="303"/>
      <c r="BL13" s="303"/>
    </row>
    <row r="14" spans="2:69" x14ac:dyDescent="0.25">
      <c r="B14" s="67" t="s">
        <v>220</v>
      </c>
      <c r="C14" s="37" t="s">
        <v>209</v>
      </c>
      <c r="D14" s="37" t="s">
        <v>209</v>
      </c>
      <c r="E14" s="37" t="s">
        <v>2324</v>
      </c>
      <c r="F14" s="37">
        <v>1</v>
      </c>
      <c r="G14" s="37">
        <v>10</v>
      </c>
      <c r="H14" s="37" t="s">
        <v>247</v>
      </c>
      <c r="O14" s="1014"/>
      <c r="P14" t="s">
        <v>402</v>
      </c>
      <c r="Q14" s="104">
        <v>8</v>
      </c>
      <c r="R14" s="104">
        <v>20</v>
      </c>
      <c r="S14" s="104">
        <v>100</v>
      </c>
      <c r="T14" s="133">
        <v>250</v>
      </c>
      <c r="U14" s="186">
        <f>Surfaces!O183</f>
        <v>0</v>
      </c>
      <c r="V14" s="187">
        <f>Surfaces!P183</f>
        <v>0</v>
      </c>
      <c r="W14" s="188">
        <f>Surfaces!Q183</f>
        <v>0</v>
      </c>
      <c r="X14" s="192">
        <f t="shared" si="0"/>
        <v>0</v>
      </c>
      <c r="Y14" s="104">
        <f t="shared" si="1"/>
        <v>0</v>
      </c>
      <c r="Z14" s="104">
        <f t="shared" si="2"/>
        <v>0</v>
      </c>
      <c r="AA14" s="133">
        <f t="shared" si="3"/>
        <v>0</v>
      </c>
      <c r="AB14" s="192">
        <f t="shared" si="4"/>
        <v>0</v>
      </c>
      <c r="AC14" s="104">
        <f t="shared" si="5"/>
        <v>0</v>
      </c>
      <c r="AD14" s="104">
        <f t="shared" si="6"/>
        <v>0</v>
      </c>
      <c r="AE14" s="133">
        <f t="shared" si="7"/>
        <v>0</v>
      </c>
      <c r="AF14" s="192">
        <f t="shared" si="8"/>
        <v>0</v>
      </c>
      <c r="AG14" s="104">
        <f t="shared" si="9"/>
        <v>0</v>
      </c>
      <c r="AH14" s="104">
        <f t="shared" si="10"/>
        <v>0</v>
      </c>
      <c r="AI14" s="133">
        <f t="shared" si="11"/>
        <v>0</v>
      </c>
      <c r="AW14" s="136" t="s">
        <v>10</v>
      </c>
      <c r="AX14" s="136" t="s">
        <v>165</v>
      </c>
      <c r="AY14" s="136" t="s">
        <v>165</v>
      </c>
      <c r="AZ14" s="136" t="str">
        <f t="shared" si="12"/>
        <v>AlsacePrunierPrunier</v>
      </c>
      <c r="BB14" s="104">
        <v>11</v>
      </c>
      <c r="BC14" s="36" t="s">
        <v>762</v>
      </c>
      <c r="BD14" s="36">
        <v>91</v>
      </c>
      <c r="BE14" s="36" t="s">
        <v>22</v>
      </c>
      <c r="BF14" s="36" t="s">
        <v>900</v>
      </c>
      <c r="BG14" s="36"/>
      <c r="BH14" s="36" t="s">
        <v>656</v>
      </c>
      <c r="BI14" s="36" t="s">
        <v>760</v>
      </c>
      <c r="BK14" s="303"/>
      <c r="BL14" s="303"/>
    </row>
    <row r="15" spans="2:69" x14ac:dyDescent="0.25">
      <c r="B15" s="67" t="s">
        <v>221</v>
      </c>
      <c r="C15" s="37" t="s">
        <v>209</v>
      </c>
      <c r="D15" s="37" t="s">
        <v>209</v>
      </c>
      <c r="E15" s="37" t="s">
        <v>2324</v>
      </c>
      <c r="F15" s="37">
        <v>1.5</v>
      </c>
      <c r="G15" s="37">
        <v>11</v>
      </c>
      <c r="H15" s="37" t="s">
        <v>247</v>
      </c>
      <c r="O15" s="1014"/>
      <c r="P15" t="s">
        <v>403</v>
      </c>
      <c r="Q15" s="104">
        <v>10</v>
      </c>
      <c r="R15" s="104">
        <v>25</v>
      </c>
      <c r="S15" s="104">
        <v>175</v>
      </c>
      <c r="T15" s="133">
        <v>325</v>
      </c>
      <c r="U15" s="186">
        <f>Surfaces!O184</f>
        <v>0</v>
      </c>
      <c r="V15" s="187">
        <f>Surfaces!P184</f>
        <v>0</v>
      </c>
      <c r="W15" s="188">
        <f>Surfaces!Q184</f>
        <v>0</v>
      </c>
      <c r="X15" s="192">
        <f t="shared" si="0"/>
        <v>0</v>
      </c>
      <c r="Y15" s="104">
        <f t="shared" si="1"/>
        <v>0</v>
      </c>
      <c r="Z15" s="104">
        <f t="shared" si="2"/>
        <v>0</v>
      </c>
      <c r="AA15" s="133">
        <f t="shared" si="3"/>
        <v>0</v>
      </c>
      <c r="AB15" s="192">
        <f t="shared" si="4"/>
        <v>0</v>
      </c>
      <c r="AC15" s="104">
        <f t="shared" si="5"/>
        <v>0</v>
      </c>
      <c r="AD15" s="104">
        <f t="shared" si="6"/>
        <v>0</v>
      </c>
      <c r="AE15" s="133">
        <f t="shared" si="7"/>
        <v>0</v>
      </c>
      <c r="AF15" s="192">
        <f t="shared" si="8"/>
        <v>0</v>
      </c>
      <c r="AG15" s="104">
        <f t="shared" si="9"/>
        <v>0</v>
      </c>
      <c r="AH15" s="104">
        <f t="shared" si="10"/>
        <v>0</v>
      </c>
      <c r="AI15" s="133">
        <f t="shared" si="11"/>
        <v>0</v>
      </c>
      <c r="AW15" s="136" t="s">
        <v>11</v>
      </c>
      <c r="AX15" s="136" t="s">
        <v>130</v>
      </c>
      <c r="AY15" s="136" t="s">
        <v>130</v>
      </c>
      <c r="AZ15" s="136" t="str">
        <f t="shared" si="12"/>
        <v>AquitaineAbricotierAbricotier</v>
      </c>
      <c r="BB15" s="104">
        <v>12</v>
      </c>
      <c r="BC15" s="36" t="s">
        <v>763</v>
      </c>
      <c r="BD15" s="36">
        <v>73</v>
      </c>
      <c r="BE15" s="36" t="s">
        <v>25</v>
      </c>
      <c r="BF15" s="36" t="s">
        <v>900</v>
      </c>
      <c r="BG15" s="36"/>
      <c r="BH15" s="36" t="s">
        <v>54</v>
      </c>
      <c r="BI15" s="36" t="s">
        <v>761</v>
      </c>
      <c r="BK15" s="303"/>
      <c r="BL15" s="303"/>
    </row>
    <row r="16" spans="2:69" x14ac:dyDescent="0.25">
      <c r="B16" s="67" t="s">
        <v>222</v>
      </c>
      <c r="C16" s="37"/>
      <c r="D16" s="37" t="s">
        <v>209</v>
      </c>
      <c r="E16" s="37" t="s">
        <v>2324</v>
      </c>
      <c r="F16" s="37">
        <v>2</v>
      </c>
      <c r="G16" s="37">
        <v>12</v>
      </c>
      <c r="H16" s="37" t="s">
        <v>245</v>
      </c>
      <c r="O16" s="1014"/>
      <c r="P16" t="s">
        <v>389</v>
      </c>
      <c r="Q16" s="104">
        <v>5</v>
      </c>
      <c r="R16" s="104">
        <v>20</v>
      </c>
      <c r="S16" s="104">
        <v>150</v>
      </c>
      <c r="T16" s="133">
        <v>400</v>
      </c>
      <c r="U16" s="186">
        <f>Surfaces!O185</f>
        <v>0</v>
      </c>
      <c r="V16" s="187">
        <f>Surfaces!P185</f>
        <v>0</v>
      </c>
      <c r="W16" s="188">
        <f>Surfaces!Q185</f>
        <v>0</v>
      </c>
      <c r="X16" s="192">
        <f t="shared" si="0"/>
        <v>0</v>
      </c>
      <c r="Y16" s="104">
        <f t="shared" si="1"/>
        <v>0</v>
      </c>
      <c r="Z16" s="104">
        <f t="shared" si="2"/>
        <v>0</v>
      </c>
      <c r="AA16" s="133">
        <f t="shared" si="3"/>
        <v>0</v>
      </c>
      <c r="AB16" s="192">
        <f t="shared" si="4"/>
        <v>0</v>
      </c>
      <c r="AC16" s="104">
        <f t="shared" si="5"/>
        <v>0</v>
      </c>
      <c r="AD16" s="104">
        <f t="shared" si="6"/>
        <v>0</v>
      </c>
      <c r="AE16" s="133">
        <f t="shared" si="7"/>
        <v>0</v>
      </c>
      <c r="AF16" s="192">
        <f t="shared" si="8"/>
        <v>0</v>
      </c>
      <c r="AG16" s="104">
        <f t="shared" si="9"/>
        <v>0</v>
      </c>
      <c r="AH16" s="104">
        <f t="shared" si="10"/>
        <v>0</v>
      </c>
      <c r="AI16" s="133">
        <f t="shared" si="11"/>
        <v>0</v>
      </c>
      <c r="AW16" s="136" t="s">
        <v>11</v>
      </c>
      <c r="AX16" s="136" t="s">
        <v>639</v>
      </c>
      <c r="AY16" s="136" t="s">
        <v>138</v>
      </c>
      <c r="AZ16" s="136" t="str">
        <f t="shared" si="12"/>
        <v>AquitaineAgrumesClémentinier</v>
      </c>
      <c r="BB16" s="104">
        <v>67</v>
      </c>
      <c r="BC16" s="36" t="s">
        <v>810</v>
      </c>
      <c r="BD16" s="36">
        <v>42</v>
      </c>
      <c r="BE16" s="36" t="s">
        <v>10</v>
      </c>
      <c r="BF16" s="36" t="s">
        <v>896</v>
      </c>
      <c r="BG16" s="36"/>
      <c r="BH16" s="36" t="s">
        <v>22</v>
      </c>
      <c r="BI16" s="36" t="s">
        <v>762</v>
      </c>
      <c r="BK16" s="303"/>
      <c r="BL16" s="303"/>
    </row>
    <row r="17" spans="2:64" x14ac:dyDescent="0.25">
      <c r="B17" s="67" t="s">
        <v>223</v>
      </c>
      <c r="C17" s="37"/>
      <c r="D17" s="37" t="s">
        <v>209</v>
      </c>
      <c r="E17" s="37" t="s">
        <v>2324</v>
      </c>
      <c r="F17" s="37">
        <v>3</v>
      </c>
      <c r="G17" s="37">
        <v>13</v>
      </c>
      <c r="H17" s="37" t="s">
        <v>244</v>
      </c>
      <c r="O17" s="1014"/>
      <c r="P17" t="s">
        <v>405</v>
      </c>
      <c r="Q17" s="104">
        <v>9</v>
      </c>
      <c r="R17" s="104">
        <v>30</v>
      </c>
      <c r="S17" s="104">
        <v>75</v>
      </c>
      <c r="T17" s="133">
        <v>200</v>
      </c>
      <c r="U17" s="186">
        <f>Surfaces!O186</f>
        <v>0</v>
      </c>
      <c r="V17" s="187">
        <f>Surfaces!P186</f>
        <v>0</v>
      </c>
      <c r="W17" s="188">
        <f>Surfaces!Q186</f>
        <v>0</v>
      </c>
      <c r="X17" s="192">
        <f t="shared" si="0"/>
        <v>0</v>
      </c>
      <c r="Y17" s="104">
        <f t="shared" si="1"/>
        <v>0</v>
      </c>
      <c r="Z17" s="104">
        <f t="shared" si="2"/>
        <v>0</v>
      </c>
      <c r="AA17" s="133">
        <f t="shared" si="3"/>
        <v>0</v>
      </c>
      <c r="AB17" s="192">
        <f t="shared" si="4"/>
        <v>0</v>
      </c>
      <c r="AC17" s="104">
        <f t="shared" si="5"/>
        <v>0</v>
      </c>
      <c r="AD17" s="104">
        <f t="shared" si="6"/>
        <v>0</v>
      </c>
      <c r="AE17" s="133">
        <f t="shared" si="7"/>
        <v>0</v>
      </c>
      <c r="AF17" s="192">
        <f t="shared" si="8"/>
        <v>0</v>
      </c>
      <c r="AG17" s="104">
        <f t="shared" si="9"/>
        <v>0</v>
      </c>
      <c r="AH17" s="104">
        <f t="shared" si="10"/>
        <v>0</v>
      </c>
      <c r="AI17" s="133">
        <f t="shared" si="11"/>
        <v>0</v>
      </c>
      <c r="AW17" s="136" t="s">
        <v>11</v>
      </c>
      <c r="AX17" s="136" t="s">
        <v>173</v>
      </c>
      <c r="AY17" s="136" t="s">
        <v>165</v>
      </c>
      <c r="AZ17" s="136" t="str">
        <f t="shared" si="12"/>
        <v>AquitaineAutresPrunier</v>
      </c>
      <c r="BB17" s="104">
        <v>13</v>
      </c>
      <c r="BC17" s="36" t="s">
        <v>60</v>
      </c>
      <c r="BD17" s="36">
        <v>93</v>
      </c>
      <c r="BE17" s="36" t="s">
        <v>30</v>
      </c>
      <c r="BF17" s="36" t="s">
        <v>30</v>
      </c>
      <c r="BG17" s="36"/>
      <c r="BH17" s="36" t="s">
        <v>656</v>
      </c>
      <c r="BI17" s="36" t="s">
        <v>763</v>
      </c>
      <c r="BK17" s="303"/>
      <c r="BL17" s="303"/>
    </row>
    <row r="18" spans="2:64" x14ac:dyDescent="0.25">
      <c r="B18" s="67" t="s">
        <v>224</v>
      </c>
      <c r="C18" s="37"/>
      <c r="D18" s="37" t="s">
        <v>209</v>
      </c>
      <c r="E18" s="37" t="s">
        <v>210</v>
      </c>
      <c r="F18" s="37">
        <v>9</v>
      </c>
      <c r="G18" s="37">
        <v>14</v>
      </c>
      <c r="H18" s="37" t="s">
        <v>247</v>
      </c>
      <c r="O18" s="1014"/>
      <c r="P18" t="s">
        <v>2824</v>
      </c>
      <c r="Q18" s="104">
        <v>9</v>
      </c>
      <c r="R18" s="104">
        <v>30</v>
      </c>
      <c r="S18" s="104">
        <v>75</v>
      </c>
      <c r="T18" s="133">
        <v>200</v>
      </c>
      <c r="U18" s="186">
        <f>Surfaces!O187</f>
        <v>0</v>
      </c>
      <c r="V18" s="187">
        <f>Surfaces!P187</f>
        <v>0</v>
      </c>
      <c r="W18" s="188">
        <f>Surfaces!Q187</f>
        <v>0</v>
      </c>
      <c r="X18" s="192">
        <f t="shared" si="0"/>
        <v>0</v>
      </c>
      <c r="Y18" s="104">
        <f t="shared" si="1"/>
        <v>0</v>
      </c>
      <c r="Z18" s="104">
        <f t="shared" si="2"/>
        <v>0</v>
      </c>
      <c r="AA18" s="133">
        <f t="shared" si="3"/>
        <v>0</v>
      </c>
      <c r="AB18" s="192">
        <f t="shared" si="4"/>
        <v>0</v>
      </c>
      <c r="AC18" s="104">
        <f t="shared" si="5"/>
        <v>0</v>
      </c>
      <c r="AD18" s="104">
        <f t="shared" si="6"/>
        <v>0</v>
      </c>
      <c r="AE18" s="133">
        <f t="shared" si="7"/>
        <v>0</v>
      </c>
      <c r="AF18" s="192">
        <f t="shared" si="8"/>
        <v>0</v>
      </c>
      <c r="AG18" s="104">
        <f t="shared" si="9"/>
        <v>0</v>
      </c>
      <c r="AH18" s="104">
        <f t="shared" si="10"/>
        <v>0</v>
      </c>
      <c r="AI18" s="133">
        <f t="shared" si="11"/>
        <v>0</v>
      </c>
      <c r="AW18" s="136" t="s">
        <v>11</v>
      </c>
      <c r="AX18" s="136" t="s">
        <v>135</v>
      </c>
      <c r="AY18" s="136" t="s">
        <v>135</v>
      </c>
      <c r="AZ18" s="136" t="str">
        <f t="shared" si="12"/>
        <v>AquitaineCerisierCerisier</v>
      </c>
      <c r="BB18" s="104">
        <v>14</v>
      </c>
      <c r="BC18" s="36" t="s">
        <v>764</v>
      </c>
      <c r="BD18" s="36">
        <v>25</v>
      </c>
      <c r="BE18" s="36" t="s">
        <v>13</v>
      </c>
      <c r="BF18" s="36" t="s">
        <v>898</v>
      </c>
      <c r="BG18" s="36"/>
      <c r="BH18" s="36" t="s">
        <v>60</v>
      </c>
      <c r="BI18" s="36" t="s">
        <v>60</v>
      </c>
      <c r="BK18" s="303"/>
      <c r="BL18" s="303"/>
    </row>
    <row r="19" spans="2:64" x14ac:dyDescent="0.25">
      <c r="B19" s="67" t="s">
        <v>225</v>
      </c>
      <c r="C19" s="37"/>
      <c r="D19" s="37" t="s">
        <v>209</v>
      </c>
      <c r="E19" s="37" t="s">
        <v>2324</v>
      </c>
      <c r="F19" s="37">
        <v>1.5</v>
      </c>
      <c r="G19" s="37">
        <v>15</v>
      </c>
      <c r="H19" s="37" t="s">
        <v>247</v>
      </c>
      <c r="O19" s="1014"/>
      <c r="P19" t="s">
        <v>406</v>
      </c>
      <c r="Q19" s="104">
        <v>10</v>
      </c>
      <c r="R19" s="104">
        <v>45</v>
      </c>
      <c r="S19" s="104">
        <v>200</v>
      </c>
      <c r="T19" s="133">
        <v>700</v>
      </c>
      <c r="U19" s="186">
        <f>Surfaces!O188</f>
        <v>0</v>
      </c>
      <c r="V19" s="187">
        <f>Surfaces!P188</f>
        <v>0</v>
      </c>
      <c r="W19" s="188">
        <f>Surfaces!Q188</f>
        <v>0</v>
      </c>
      <c r="X19" s="192">
        <f t="shared" si="0"/>
        <v>0</v>
      </c>
      <c r="Y19" s="104">
        <f t="shared" si="1"/>
        <v>0</v>
      </c>
      <c r="Z19" s="104">
        <f t="shared" si="2"/>
        <v>0</v>
      </c>
      <c r="AA19" s="133">
        <f t="shared" si="3"/>
        <v>0</v>
      </c>
      <c r="AB19" s="192">
        <f t="shared" si="4"/>
        <v>0</v>
      </c>
      <c r="AC19" s="104">
        <f t="shared" si="5"/>
        <v>0</v>
      </c>
      <c r="AD19" s="104">
        <f t="shared" si="6"/>
        <v>0</v>
      </c>
      <c r="AE19" s="133">
        <f t="shared" si="7"/>
        <v>0</v>
      </c>
      <c r="AF19" s="192">
        <f t="shared" si="8"/>
        <v>0</v>
      </c>
      <c r="AG19" s="104">
        <f t="shared" si="9"/>
        <v>0</v>
      </c>
      <c r="AH19" s="104">
        <f t="shared" si="10"/>
        <v>0</v>
      </c>
      <c r="AI19" s="133">
        <f t="shared" si="11"/>
        <v>0</v>
      </c>
      <c r="AW19" s="136" t="s">
        <v>11</v>
      </c>
      <c r="AX19" s="136" t="s">
        <v>148</v>
      </c>
      <c r="AY19" s="136" t="s">
        <v>148</v>
      </c>
      <c r="AZ19" s="136" t="str">
        <f t="shared" si="12"/>
        <v>AquitaineMirabellierMirabellier</v>
      </c>
      <c r="BB19" s="104">
        <v>15</v>
      </c>
      <c r="BC19" s="36" t="s">
        <v>765</v>
      </c>
      <c r="BD19" s="36">
        <v>83</v>
      </c>
      <c r="BE19" s="36" t="s">
        <v>12</v>
      </c>
      <c r="BF19" s="36" t="s">
        <v>893</v>
      </c>
      <c r="BG19" s="36"/>
      <c r="BH19" s="36" t="s">
        <v>659</v>
      </c>
      <c r="BI19" s="36" t="s">
        <v>764</v>
      </c>
      <c r="BK19" s="303"/>
      <c r="BL19" s="303"/>
    </row>
    <row r="20" spans="2:64" x14ac:dyDescent="0.25">
      <c r="B20" s="67" t="s">
        <v>226</v>
      </c>
      <c r="C20" s="37"/>
      <c r="D20" s="37" t="s">
        <v>209</v>
      </c>
      <c r="E20" s="37" t="s">
        <v>210</v>
      </c>
      <c r="F20" s="37">
        <v>9</v>
      </c>
      <c r="G20" s="37">
        <v>16</v>
      </c>
      <c r="H20" s="37" t="s">
        <v>247</v>
      </c>
      <c r="O20" s="1014"/>
      <c r="P20" t="s">
        <v>407</v>
      </c>
      <c r="Q20" s="104">
        <v>3</v>
      </c>
      <c r="R20" s="104">
        <v>15</v>
      </c>
      <c r="S20" s="104">
        <v>30</v>
      </c>
      <c r="T20" s="133">
        <v>150</v>
      </c>
      <c r="U20" s="186">
        <f>Surfaces!O189</f>
        <v>0</v>
      </c>
      <c r="V20" s="187">
        <f>Surfaces!P189</f>
        <v>0</v>
      </c>
      <c r="W20" s="188">
        <f>Surfaces!Q189</f>
        <v>0</v>
      </c>
      <c r="X20" s="192">
        <f t="shared" si="0"/>
        <v>0</v>
      </c>
      <c r="Y20" s="104">
        <f t="shared" si="1"/>
        <v>0</v>
      </c>
      <c r="Z20" s="104">
        <f t="shared" si="2"/>
        <v>0</v>
      </c>
      <c r="AA20" s="133">
        <f t="shared" si="3"/>
        <v>0</v>
      </c>
      <c r="AB20" s="192">
        <f t="shared" si="4"/>
        <v>0</v>
      </c>
      <c r="AC20" s="104">
        <f t="shared" si="5"/>
        <v>0</v>
      </c>
      <c r="AD20" s="104">
        <f t="shared" si="6"/>
        <v>0</v>
      </c>
      <c r="AE20" s="133">
        <f t="shared" si="7"/>
        <v>0</v>
      </c>
      <c r="AF20" s="192">
        <f t="shared" si="8"/>
        <v>0</v>
      </c>
      <c r="AG20" s="104">
        <f t="shared" si="9"/>
        <v>0</v>
      </c>
      <c r="AH20" s="104">
        <f t="shared" si="10"/>
        <v>0</v>
      </c>
      <c r="AI20" s="133">
        <f t="shared" si="11"/>
        <v>0</v>
      </c>
      <c r="AW20" s="136" t="s">
        <v>11</v>
      </c>
      <c r="AX20" s="136" t="s">
        <v>154</v>
      </c>
      <c r="AY20" s="136" t="s">
        <v>640</v>
      </c>
      <c r="AZ20" s="136" t="str">
        <f t="shared" si="12"/>
        <v>AquitaineNectarinierNectarinier-Pêcher</v>
      </c>
      <c r="BB20" s="104">
        <v>16</v>
      </c>
      <c r="BC20" s="36" t="s">
        <v>766</v>
      </c>
      <c r="BD20" s="36">
        <v>54</v>
      </c>
      <c r="BE20" s="36" t="s">
        <v>29</v>
      </c>
      <c r="BF20" s="36" t="s">
        <v>899</v>
      </c>
      <c r="BG20" s="36"/>
      <c r="BH20" s="36" t="s">
        <v>659</v>
      </c>
      <c r="BI20" s="36" t="s">
        <v>765</v>
      </c>
    </row>
    <row r="21" spans="2:64" x14ac:dyDescent="0.25">
      <c r="B21" s="350" t="s">
        <v>227</v>
      </c>
      <c r="C21" s="352"/>
      <c r="D21" s="37" t="s">
        <v>209</v>
      </c>
      <c r="E21" s="37" t="s">
        <v>2324</v>
      </c>
      <c r="F21" s="37">
        <v>1</v>
      </c>
      <c r="G21" s="37">
        <v>17</v>
      </c>
      <c r="H21" s="37" t="s">
        <v>247</v>
      </c>
      <c r="O21" s="1014"/>
      <c r="P21" t="s">
        <v>408</v>
      </c>
      <c r="Q21" s="104">
        <v>5</v>
      </c>
      <c r="R21" s="104">
        <v>20</v>
      </c>
      <c r="S21" s="104">
        <v>75</v>
      </c>
      <c r="T21" s="133">
        <v>200</v>
      </c>
      <c r="U21" s="186">
        <f>Surfaces!O190</f>
        <v>0</v>
      </c>
      <c r="V21" s="187">
        <f>Surfaces!P190</f>
        <v>0</v>
      </c>
      <c r="W21" s="188">
        <f>Surfaces!Q190</f>
        <v>0</v>
      </c>
      <c r="X21" s="192">
        <f t="shared" si="0"/>
        <v>0</v>
      </c>
      <c r="Y21" s="104">
        <f t="shared" si="1"/>
        <v>0</v>
      </c>
      <c r="Z21" s="104">
        <f t="shared" si="2"/>
        <v>0</v>
      </c>
      <c r="AA21" s="133">
        <f t="shared" si="3"/>
        <v>0</v>
      </c>
      <c r="AB21" s="192">
        <f t="shared" si="4"/>
        <v>0</v>
      </c>
      <c r="AC21" s="104">
        <f t="shared" si="5"/>
        <v>0</v>
      </c>
      <c r="AD21" s="104">
        <f t="shared" si="6"/>
        <v>0</v>
      </c>
      <c r="AE21" s="133">
        <f t="shared" si="7"/>
        <v>0</v>
      </c>
      <c r="AF21" s="192">
        <f t="shared" si="8"/>
        <v>0</v>
      </c>
      <c r="AG21" s="104">
        <f t="shared" si="9"/>
        <v>0</v>
      </c>
      <c r="AH21" s="104">
        <f t="shared" si="10"/>
        <v>0</v>
      </c>
      <c r="AI21" s="133">
        <f t="shared" si="11"/>
        <v>0</v>
      </c>
      <c r="AW21" s="136" t="s">
        <v>11</v>
      </c>
      <c r="AX21" s="136" t="s">
        <v>157</v>
      </c>
      <c r="AY21" s="136" t="s">
        <v>157</v>
      </c>
      <c r="AZ21" s="136" t="str">
        <f t="shared" si="12"/>
        <v>AquitaineNoyerNoyer</v>
      </c>
      <c r="BB21" s="104">
        <v>17</v>
      </c>
      <c r="BC21" s="36" t="s">
        <v>767</v>
      </c>
      <c r="BD21" s="36">
        <v>54</v>
      </c>
      <c r="BE21" s="36" t="s">
        <v>29</v>
      </c>
      <c r="BF21" s="36" t="s">
        <v>899</v>
      </c>
      <c r="BG21" s="36"/>
      <c r="BH21" s="36" t="s">
        <v>55</v>
      </c>
      <c r="BI21" s="36" t="s">
        <v>766</v>
      </c>
    </row>
    <row r="22" spans="2:64" x14ac:dyDescent="0.25">
      <c r="B22" s="350" t="s">
        <v>2322</v>
      </c>
      <c r="C22" s="352"/>
      <c r="D22" s="37" t="s">
        <v>209</v>
      </c>
      <c r="E22" s="37" t="s">
        <v>210</v>
      </c>
      <c r="F22" s="37">
        <v>5</v>
      </c>
      <c r="G22" s="37">
        <v>18</v>
      </c>
      <c r="H22" s="37" t="s">
        <v>246</v>
      </c>
      <c r="O22" s="1014"/>
      <c r="P22" t="s">
        <v>409</v>
      </c>
      <c r="Q22" s="104">
        <v>5</v>
      </c>
      <c r="R22" s="104">
        <v>20</v>
      </c>
      <c r="S22" s="104">
        <v>75</v>
      </c>
      <c r="T22" s="133">
        <v>200</v>
      </c>
      <c r="U22" s="186">
        <f>Surfaces!O191</f>
        <v>0</v>
      </c>
      <c r="V22" s="187">
        <f>Surfaces!P191</f>
        <v>0</v>
      </c>
      <c r="W22" s="188">
        <f>Surfaces!Q191</f>
        <v>0</v>
      </c>
      <c r="X22" s="192">
        <f t="shared" si="0"/>
        <v>0</v>
      </c>
      <c r="Y22" s="104">
        <f t="shared" si="1"/>
        <v>0</v>
      </c>
      <c r="Z22" s="104">
        <f t="shared" si="2"/>
        <v>0</v>
      </c>
      <c r="AA22" s="133">
        <f t="shared" si="3"/>
        <v>0</v>
      </c>
      <c r="AB22" s="192">
        <f t="shared" si="4"/>
        <v>0</v>
      </c>
      <c r="AC22" s="104">
        <f t="shared" si="5"/>
        <v>0</v>
      </c>
      <c r="AD22" s="104">
        <f t="shared" si="6"/>
        <v>0</v>
      </c>
      <c r="AE22" s="133">
        <f t="shared" si="7"/>
        <v>0</v>
      </c>
      <c r="AF22" s="192">
        <f t="shared" si="8"/>
        <v>0</v>
      </c>
      <c r="AG22" s="104">
        <f t="shared" si="9"/>
        <v>0</v>
      </c>
      <c r="AH22" s="104">
        <f t="shared" si="10"/>
        <v>0</v>
      </c>
      <c r="AI22" s="133">
        <f t="shared" si="11"/>
        <v>0</v>
      </c>
      <c r="AW22" s="136" t="s">
        <v>11</v>
      </c>
      <c r="AX22" s="136" t="s">
        <v>161</v>
      </c>
      <c r="AY22" s="136" t="s">
        <v>640</v>
      </c>
      <c r="AZ22" s="136" t="str">
        <f t="shared" si="12"/>
        <v>AquitainePêcherNectarinier-Pêcher</v>
      </c>
      <c r="BB22" s="104">
        <v>18</v>
      </c>
      <c r="BC22" s="36" t="s">
        <v>62</v>
      </c>
      <c r="BD22" s="36">
        <v>24</v>
      </c>
      <c r="BE22" s="36" t="s">
        <v>16</v>
      </c>
      <c r="BF22" s="36" t="s">
        <v>895</v>
      </c>
      <c r="BG22" s="36"/>
      <c r="BH22" s="36" t="s">
        <v>55</v>
      </c>
      <c r="BI22" s="36" t="s">
        <v>767</v>
      </c>
    </row>
    <row r="23" spans="2:64" x14ac:dyDescent="0.25">
      <c r="B23" s="352" t="s">
        <v>2323</v>
      </c>
      <c r="C23" s="351"/>
      <c r="D23" s="37" t="s">
        <v>209</v>
      </c>
      <c r="E23" s="37" t="s">
        <v>210</v>
      </c>
      <c r="F23" s="37">
        <v>5</v>
      </c>
      <c r="G23" s="37">
        <v>19</v>
      </c>
      <c r="H23" s="37" t="s">
        <v>247</v>
      </c>
      <c r="O23" s="1014"/>
      <c r="P23" t="s">
        <v>410</v>
      </c>
      <c r="Q23" s="104">
        <v>5</v>
      </c>
      <c r="R23" s="104">
        <v>20</v>
      </c>
      <c r="S23" s="104">
        <v>100</v>
      </c>
      <c r="T23" s="133">
        <v>500</v>
      </c>
      <c r="U23" s="186">
        <f>Surfaces!O192</f>
        <v>0</v>
      </c>
      <c r="V23" s="187">
        <f>Surfaces!P192</f>
        <v>0</v>
      </c>
      <c r="W23" s="188">
        <f>Surfaces!Q192</f>
        <v>0</v>
      </c>
      <c r="X23" s="192">
        <f t="shared" si="0"/>
        <v>0</v>
      </c>
      <c r="Y23" s="104">
        <f t="shared" si="1"/>
        <v>0</v>
      </c>
      <c r="Z23" s="104">
        <f t="shared" si="2"/>
        <v>0</v>
      </c>
      <c r="AA23" s="133">
        <f t="shared" si="3"/>
        <v>0</v>
      </c>
      <c r="AB23" s="192">
        <f t="shared" si="4"/>
        <v>0</v>
      </c>
      <c r="AC23" s="104">
        <f t="shared" si="5"/>
        <v>0</v>
      </c>
      <c r="AD23" s="104">
        <f t="shared" si="6"/>
        <v>0</v>
      </c>
      <c r="AE23" s="133">
        <f t="shared" si="7"/>
        <v>0</v>
      </c>
      <c r="AF23" s="192">
        <f t="shared" si="8"/>
        <v>0</v>
      </c>
      <c r="AG23" s="104">
        <f t="shared" si="9"/>
        <v>0</v>
      </c>
      <c r="AH23" s="104">
        <f t="shared" si="10"/>
        <v>0</v>
      </c>
      <c r="AI23" s="133">
        <f t="shared" si="11"/>
        <v>0</v>
      </c>
      <c r="AW23" s="136" t="s">
        <v>11</v>
      </c>
      <c r="AX23" s="136" t="s">
        <v>162</v>
      </c>
      <c r="AY23" s="136" t="s">
        <v>162</v>
      </c>
      <c r="AZ23" s="136" t="str">
        <f t="shared" si="12"/>
        <v>AquitainePoirierPoirier</v>
      </c>
      <c r="BB23" s="104">
        <v>19</v>
      </c>
      <c r="BC23" s="36" t="s">
        <v>768</v>
      </c>
      <c r="BD23" s="36">
        <v>74</v>
      </c>
      <c r="BE23" s="36" t="s">
        <v>23</v>
      </c>
      <c r="BF23" s="36" t="s">
        <v>899</v>
      </c>
      <c r="BG23" s="36"/>
      <c r="BH23" s="36" t="s">
        <v>62</v>
      </c>
      <c r="BI23" s="36" t="s">
        <v>62</v>
      </c>
    </row>
    <row r="24" spans="2:64" x14ac:dyDescent="0.25">
      <c r="O24" s="1014"/>
      <c r="P24" t="s">
        <v>411</v>
      </c>
      <c r="Q24" s="104">
        <v>20</v>
      </c>
      <c r="R24" s="104">
        <v>40</v>
      </c>
      <c r="S24" s="104">
        <v>150</v>
      </c>
      <c r="T24" s="133">
        <v>400</v>
      </c>
      <c r="U24" s="186">
        <f>Surfaces!O193</f>
        <v>0</v>
      </c>
      <c r="V24" s="187">
        <f>Surfaces!P193</f>
        <v>0</v>
      </c>
      <c r="W24" s="188">
        <f>Surfaces!Q193</f>
        <v>0</v>
      </c>
      <c r="X24" s="192">
        <f t="shared" si="0"/>
        <v>0</v>
      </c>
      <c r="Y24" s="104">
        <f t="shared" si="1"/>
        <v>0</v>
      </c>
      <c r="Z24" s="104">
        <f t="shared" si="2"/>
        <v>0</v>
      </c>
      <c r="AA24" s="133">
        <f t="shared" si="3"/>
        <v>0</v>
      </c>
      <c r="AB24" s="192">
        <f t="shared" si="4"/>
        <v>0</v>
      </c>
      <c r="AC24" s="104">
        <f t="shared" si="5"/>
        <v>0</v>
      </c>
      <c r="AD24" s="104">
        <f t="shared" si="6"/>
        <v>0</v>
      </c>
      <c r="AE24" s="133">
        <f t="shared" si="7"/>
        <v>0</v>
      </c>
      <c r="AF24" s="192">
        <f t="shared" si="8"/>
        <v>0</v>
      </c>
      <c r="AG24" s="104">
        <f t="shared" si="9"/>
        <v>0</v>
      </c>
      <c r="AH24" s="104">
        <f t="shared" si="10"/>
        <v>0</v>
      </c>
      <c r="AI24" s="133">
        <f t="shared" si="11"/>
        <v>0</v>
      </c>
      <c r="AW24" s="136" t="s">
        <v>11</v>
      </c>
      <c r="AX24" s="136" t="s">
        <v>164</v>
      </c>
      <c r="AY24" s="136" t="s">
        <v>164</v>
      </c>
      <c r="AZ24" s="136" t="str">
        <f t="shared" si="12"/>
        <v>AquitainePommierPommier</v>
      </c>
      <c r="BB24" s="104" t="s">
        <v>5114</v>
      </c>
      <c r="BC24" s="36" t="s">
        <v>843</v>
      </c>
      <c r="BD24" s="36">
        <v>94</v>
      </c>
      <c r="BE24" s="36" t="s">
        <v>18</v>
      </c>
      <c r="BF24" s="36" t="s">
        <v>18</v>
      </c>
      <c r="BG24" s="36"/>
      <c r="BH24" s="36" t="s">
        <v>659</v>
      </c>
      <c r="BI24" s="36" t="s">
        <v>768</v>
      </c>
    </row>
    <row r="25" spans="2:64" ht="15.75" thickBot="1" x14ac:dyDescent="0.3">
      <c r="O25" s="1014"/>
      <c r="P25" s="86" t="s">
        <v>412</v>
      </c>
      <c r="Q25" s="134">
        <v>5</v>
      </c>
      <c r="R25" s="134">
        <v>20</v>
      </c>
      <c r="S25" s="134">
        <v>150</v>
      </c>
      <c r="T25" s="135">
        <v>400</v>
      </c>
      <c r="U25" s="189">
        <f>Surfaces!O194</f>
        <v>0</v>
      </c>
      <c r="V25" s="190">
        <f>Surfaces!P194</f>
        <v>0</v>
      </c>
      <c r="W25" s="191">
        <f>Surfaces!Q194</f>
        <v>0</v>
      </c>
      <c r="X25" s="193">
        <f t="shared" si="0"/>
        <v>0</v>
      </c>
      <c r="Y25" s="134">
        <f t="shared" si="1"/>
        <v>0</v>
      </c>
      <c r="Z25" s="134">
        <f t="shared" si="2"/>
        <v>0</v>
      </c>
      <c r="AA25" s="135">
        <f t="shared" si="3"/>
        <v>0</v>
      </c>
      <c r="AB25" s="193">
        <f t="shared" si="4"/>
        <v>0</v>
      </c>
      <c r="AC25" s="134">
        <f t="shared" si="5"/>
        <v>0</v>
      </c>
      <c r="AD25" s="134">
        <f t="shared" si="6"/>
        <v>0</v>
      </c>
      <c r="AE25" s="135">
        <f t="shared" si="7"/>
        <v>0</v>
      </c>
      <c r="AF25" s="193">
        <f t="shared" si="8"/>
        <v>0</v>
      </c>
      <c r="AG25" s="134">
        <f t="shared" si="9"/>
        <v>0</v>
      </c>
      <c r="AH25" s="134">
        <f t="shared" si="10"/>
        <v>0</v>
      </c>
      <c r="AI25" s="135">
        <f t="shared" si="11"/>
        <v>0</v>
      </c>
      <c r="AW25" s="136" t="s">
        <v>11</v>
      </c>
      <c r="AX25" s="136" t="s">
        <v>165</v>
      </c>
      <c r="AY25" s="136" t="s">
        <v>165</v>
      </c>
      <c r="AZ25" s="136" t="str">
        <f t="shared" si="12"/>
        <v>AquitainePrunierPrunier</v>
      </c>
      <c r="BB25" s="104">
        <v>21</v>
      </c>
      <c r="BC25" s="36" t="s">
        <v>769</v>
      </c>
      <c r="BD25" s="36">
        <v>26</v>
      </c>
      <c r="BE25" s="36" t="s">
        <v>14</v>
      </c>
      <c r="BF25" s="36" t="s">
        <v>894</v>
      </c>
      <c r="BH25" s="36" t="s">
        <v>18</v>
      </c>
      <c r="BI25" s="36" t="s">
        <v>843</v>
      </c>
    </row>
    <row r="26" spans="2:64" x14ac:dyDescent="0.25">
      <c r="O26" s="132"/>
      <c r="AW26" s="136" t="s">
        <v>12</v>
      </c>
      <c r="AX26" s="136" t="s">
        <v>130</v>
      </c>
      <c r="AY26" s="136" t="s">
        <v>130</v>
      </c>
      <c r="AZ26" s="136" t="str">
        <f t="shared" si="12"/>
        <v>AuvergneAbricotierAbricotier</v>
      </c>
      <c r="BB26" s="104">
        <v>22</v>
      </c>
      <c r="BC26" s="36" t="s">
        <v>770</v>
      </c>
      <c r="BD26" s="36">
        <v>53</v>
      </c>
      <c r="BE26" s="36" t="s">
        <v>15</v>
      </c>
      <c r="BF26" s="36" t="s">
        <v>15</v>
      </c>
      <c r="BH26" s="36" t="s">
        <v>18</v>
      </c>
      <c r="BI26" s="36" t="s">
        <v>844</v>
      </c>
    </row>
    <row r="27" spans="2:64" x14ac:dyDescent="0.25">
      <c r="O27" s="132"/>
      <c r="X27" s="104"/>
      <c r="Y27" s="104"/>
      <c r="Z27" s="104"/>
      <c r="AA27" s="104"/>
      <c r="AB27" s="104"/>
      <c r="AC27" s="104"/>
      <c r="AD27" s="104"/>
      <c r="AE27" s="104"/>
      <c r="AF27" s="104"/>
      <c r="AG27" s="104"/>
      <c r="AH27" s="104"/>
      <c r="AI27" s="104"/>
      <c r="AW27" s="136" t="s">
        <v>12</v>
      </c>
      <c r="AX27" s="136" t="s">
        <v>639</v>
      </c>
      <c r="AY27" s="136" t="s">
        <v>138</v>
      </c>
      <c r="AZ27" s="136" t="str">
        <f t="shared" si="12"/>
        <v>AuvergneAgrumesClémentinier</v>
      </c>
      <c r="BB27" s="104">
        <v>23</v>
      </c>
      <c r="BC27" s="36" t="s">
        <v>771</v>
      </c>
      <c r="BD27" s="36">
        <v>74</v>
      </c>
      <c r="BE27" s="36" t="s">
        <v>23</v>
      </c>
      <c r="BF27" s="36" t="s">
        <v>899</v>
      </c>
      <c r="BG27" s="36"/>
      <c r="BH27" s="36" t="s">
        <v>14</v>
      </c>
      <c r="BI27" s="36" t="s">
        <v>769</v>
      </c>
    </row>
    <row r="28" spans="2:64" x14ac:dyDescent="0.25">
      <c r="O28" s="132"/>
      <c r="AW28" s="136" t="s">
        <v>12</v>
      </c>
      <c r="AX28" s="136" t="s">
        <v>173</v>
      </c>
      <c r="AY28" s="136" t="s">
        <v>165</v>
      </c>
      <c r="AZ28" s="136" t="str">
        <f t="shared" si="12"/>
        <v>AuvergneAutresPrunier</v>
      </c>
      <c r="BB28" s="104">
        <v>79</v>
      </c>
      <c r="BC28" s="36" t="s">
        <v>824</v>
      </c>
      <c r="BD28" s="36">
        <v>54</v>
      </c>
      <c r="BE28" s="36" t="s">
        <v>29</v>
      </c>
      <c r="BF28" s="36" t="s">
        <v>899</v>
      </c>
      <c r="BG28" s="36"/>
      <c r="BH28" s="36" t="s">
        <v>659</v>
      </c>
      <c r="BI28" s="36" t="s">
        <v>770</v>
      </c>
    </row>
    <row r="29" spans="2:64" x14ac:dyDescent="0.25">
      <c r="O29" s="132"/>
      <c r="AW29" s="136" t="s">
        <v>12</v>
      </c>
      <c r="AX29" s="136" t="s">
        <v>135</v>
      </c>
      <c r="AY29" s="136" t="s">
        <v>135</v>
      </c>
      <c r="AZ29" s="136" t="str">
        <f t="shared" si="12"/>
        <v>AuvergneCerisierCerisier</v>
      </c>
      <c r="BB29" s="104">
        <v>24</v>
      </c>
      <c r="BC29" s="36" t="s">
        <v>49</v>
      </c>
      <c r="BD29" s="36">
        <v>72</v>
      </c>
      <c r="BE29" s="36" t="s">
        <v>11</v>
      </c>
      <c r="BF29" s="36" t="s">
        <v>899</v>
      </c>
      <c r="BG29" s="36"/>
      <c r="BH29" s="36" t="s">
        <v>659</v>
      </c>
      <c r="BI29" s="36" t="s">
        <v>771</v>
      </c>
    </row>
    <row r="30" spans="2:64" x14ac:dyDescent="0.25">
      <c r="O30" s="132"/>
      <c r="AW30" s="136" t="s">
        <v>12</v>
      </c>
      <c r="AX30" s="136" t="s">
        <v>148</v>
      </c>
      <c r="AY30" s="136" t="s">
        <v>148</v>
      </c>
      <c r="AZ30" s="136" t="str">
        <f t="shared" si="12"/>
        <v>AuvergneMirabellierMirabellier</v>
      </c>
      <c r="BB30" s="104">
        <v>25</v>
      </c>
      <c r="BC30" s="36" t="s">
        <v>772</v>
      </c>
      <c r="BD30" s="36">
        <v>43</v>
      </c>
      <c r="BE30" s="36" t="s">
        <v>19</v>
      </c>
      <c r="BF30" s="36" t="s">
        <v>894</v>
      </c>
      <c r="BG30" s="36"/>
      <c r="BH30" s="36" t="s">
        <v>49</v>
      </c>
      <c r="BI30" s="36" t="s">
        <v>49</v>
      </c>
    </row>
    <row r="31" spans="2:64" x14ac:dyDescent="0.25">
      <c r="AW31" s="136" t="s">
        <v>12</v>
      </c>
      <c r="AX31" s="136" t="s">
        <v>154</v>
      </c>
      <c r="AY31" s="136" t="s">
        <v>640</v>
      </c>
      <c r="AZ31" s="136" t="str">
        <f t="shared" si="12"/>
        <v>AuvergneNectarinierNectarinier-Pêcher</v>
      </c>
      <c r="BB31" s="104">
        <v>26</v>
      </c>
      <c r="BC31" s="36" t="s">
        <v>773</v>
      </c>
      <c r="BD31" s="36">
        <v>82</v>
      </c>
      <c r="BE31" s="36" t="s">
        <v>31</v>
      </c>
      <c r="BF31" s="36" t="s">
        <v>893</v>
      </c>
      <c r="BG31" s="36"/>
      <c r="BH31" s="36" t="s">
        <v>649</v>
      </c>
      <c r="BI31" s="36" t="s">
        <v>772</v>
      </c>
    </row>
    <row r="32" spans="2:64" x14ac:dyDescent="0.25">
      <c r="AW32" s="136" t="s">
        <v>12</v>
      </c>
      <c r="AX32" s="136" t="s">
        <v>157</v>
      </c>
      <c r="AY32" s="136" t="s">
        <v>157</v>
      </c>
      <c r="AZ32" s="136" t="str">
        <f t="shared" si="12"/>
        <v>AuvergneNoyerNoyer</v>
      </c>
      <c r="BB32" s="104">
        <v>91</v>
      </c>
      <c r="BC32" s="36" t="s">
        <v>836</v>
      </c>
      <c r="BD32" s="36">
        <v>11</v>
      </c>
      <c r="BE32" s="36" t="s">
        <v>849</v>
      </c>
      <c r="BF32" s="36" t="s">
        <v>296</v>
      </c>
      <c r="BG32" s="36"/>
      <c r="BH32" s="36" t="s">
        <v>652</v>
      </c>
      <c r="BI32" s="36" t="s">
        <v>5118</v>
      </c>
    </row>
    <row r="33" spans="17:61" x14ac:dyDescent="0.25">
      <c r="Q33" s="143"/>
      <c r="AW33" s="136" t="s">
        <v>12</v>
      </c>
      <c r="AX33" s="136" t="s">
        <v>161</v>
      </c>
      <c r="AY33" s="136" t="s">
        <v>640</v>
      </c>
      <c r="AZ33" s="136" t="str">
        <f t="shared" si="12"/>
        <v>AuvergnePêcherNectarinier-Pêcher</v>
      </c>
      <c r="BB33" s="104">
        <v>27</v>
      </c>
      <c r="BC33" s="36" t="s">
        <v>774</v>
      </c>
      <c r="BD33" s="36">
        <v>23</v>
      </c>
      <c r="BE33" s="36" t="s">
        <v>20</v>
      </c>
      <c r="BF33" s="36" t="s">
        <v>898</v>
      </c>
      <c r="BG33" s="36"/>
      <c r="BH33" s="36" t="s">
        <v>653</v>
      </c>
      <c r="BI33" s="36" t="s">
        <v>5119</v>
      </c>
    </row>
    <row r="34" spans="17:61" x14ac:dyDescent="0.25">
      <c r="S34" s="143"/>
      <c r="T34" s="143"/>
      <c r="U34" s="143"/>
      <c r="V34" s="143"/>
      <c r="W34" s="143"/>
      <c r="X34" s="143"/>
      <c r="Y34" s="143"/>
      <c r="Z34" s="143"/>
      <c r="AA34" s="143"/>
      <c r="AB34" s="143"/>
      <c r="AC34" s="143"/>
      <c r="AD34" s="143"/>
      <c r="AE34" s="143"/>
      <c r="AF34" s="143"/>
      <c r="AG34" s="143"/>
      <c r="AH34" s="143"/>
      <c r="AI34" s="143"/>
      <c r="AW34" s="136" t="s">
        <v>12</v>
      </c>
      <c r="AX34" s="136" t="s">
        <v>162</v>
      </c>
      <c r="AY34" s="136" t="s">
        <v>162</v>
      </c>
      <c r="AZ34" s="136" t="str">
        <f t="shared" si="12"/>
        <v>AuvergnePoirierPoirier</v>
      </c>
      <c r="BB34" s="104">
        <v>28</v>
      </c>
      <c r="BC34" s="36" t="s">
        <v>775</v>
      </c>
      <c r="BD34" s="36">
        <v>24</v>
      </c>
      <c r="BE34" s="36" t="s">
        <v>16</v>
      </c>
      <c r="BF34" s="36" t="s">
        <v>895</v>
      </c>
      <c r="BG34" s="36"/>
      <c r="BH34" s="36" t="s">
        <v>659</v>
      </c>
      <c r="BI34" s="36" t="s">
        <v>774</v>
      </c>
    </row>
    <row r="35" spans="17:61" x14ac:dyDescent="0.25">
      <c r="AW35" s="136" t="s">
        <v>12</v>
      </c>
      <c r="AX35" s="136" t="s">
        <v>164</v>
      </c>
      <c r="AY35" s="136" t="s">
        <v>164</v>
      </c>
      <c r="AZ35" s="136" t="str">
        <f t="shared" si="12"/>
        <v>AuvergnePommierPommier</v>
      </c>
      <c r="BB35" s="104">
        <v>29</v>
      </c>
      <c r="BC35" s="36" t="s">
        <v>776</v>
      </c>
      <c r="BD35" s="36">
        <v>53</v>
      </c>
      <c r="BE35" s="36" t="s">
        <v>15</v>
      </c>
      <c r="BF35" s="36" t="s">
        <v>15</v>
      </c>
      <c r="BG35" s="36"/>
      <c r="BH35" s="36" t="s">
        <v>659</v>
      </c>
      <c r="BI35" s="36" t="s">
        <v>775</v>
      </c>
    </row>
    <row r="36" spans="17:61" x14ac:dyDescent="0.25">
      <c r="AW36" s="136" t="s">
        <v>12</v>
      </c>
      <c r="AX36" s="136" t="s">
        <v>165</v>
      </c>
      <c r="AY36" s="136" t="s">
        <v>165</v>
      </c>
      <c r="AZ36" s="136" t="str">
        <f t="shared" si="12"/>
        <v>AuvergnePrunierPrunier</v>
      </c>
      <c r="BB36" s="104">
        <v>30</v>
      </c>
      <c r="BC36" s="36" t="s">
        <v>777</v>
      </c>
      <c r="BD36" s="36">
        <v>91</v>
      </c>
      <c r="BE36" s="36" t="s">
        <v>22</v>
      </c>
      <c r="BF36" s="36" t="s">
        <v>900</v>
      </c>
      <c r="BG36" s="36"/>
      <c r="BH36" s="36" t="s">
        <v>659</v>
      </c>
      <c r="BI36" s="36" t="s">
        <v>776</v>
      </c>
    </row>
    <row r="37" spans="17:61" x14ac:dyDescent="0.25">
      <c r="AW37" s="136" t="s">
        <v>13</v>
      </c>
      <c r="AX37" s="136" t="s">
        <v>130</v>
      </c>
      <c r="AY37" s="136" t="s">
        <v>130</v>
      </c>
      <c r="AZ37" s="136" t="str">
        <f t="shared" si="12"/>
        <v>Basse-NormandieAbricotierAbricotier</v>
      </c>
      <c r="BB37" s="104">
        <v>32</v>
      </c>
      <c r="BC37" s="36" t="s">
        <v>59</v>
      </c>
      <c r="BD37" s="36">
        <v>73</v>
      </c>
      <c r="BE37" s="36" t="s">
        <v>25</v>
      </c>
      <c r="BF37" s="36" t="s">
        <v>900</v>
      </c>
      <c r="BG37" s="36"/>
      <c r="BH37" s="36" t="s">
        <v>22</v>
      </c>
      <c r="BI37" s="36" t="s">
        <v>777</v>
      </c>
    </row>
    <row r="38" spans="17:61" x14ac:dyDescent="0.25">
      <c r="AW38" s="136" t="s">
        <v>13</v>
      </c>
      <c r="AX38" s="136" t="s">
        <v>639</v>
      </c>
      <c r="AY38" s="136" t="s">
        <v>138</v>
      </c>
      <c r="AZ38" s="136" t="str">
        <f t="shared" si="12"/>
        <v>Basse-NormandieAgrumesClémentinier</v>
      </c>
      <c r="BB38" s="104">
        <v>33</v>
      </c>
      <c r="BC38" s="36" t="s">
        <v>779</v>
      </c>
      <c r="BD38" s="36">
        <v>72</v>
      </c>
      <c r="BE38" s="36" t="s">
        <v>11</v>
      </c>
      <c r="BF38" s="36" t="s">
        <v>899</v>
      </c>
      <c r="BG38" s="36"/>
      <c r="BH38" s="36" t="s">
        <v>656</v>
      </c>
      <c r="BI38" s="36" t="s">
        <v>778</v>
      </c>
    </row>
    <row r="39" spans="17:61" x14ac:dyDescent="0.25">
      <c r="AW39" s="136" t="s">
        <v>13</v>
      </c>
      <c r="AX39" s="136" t="s">
        <v>173</v>
      </c>
      <c r="AY39" s="136" t="s">
        <v>165</v>
      </c>
      <c r="AZ39" s="136" t="str">
        <f t="shared" si="12"/>
        <v>Basse-NormandieAutresPrunier</v>
      </c>
      <c r="BB39" s="104">
        <v>971</v>
      </c>
      <c r="BC39" s="36" t="s">
        <v>288</v>
      </c>
      <c r="BD39" s="36">
        <v>1</v>
      </c>
      <c r="BE39" s="36" t="s">
        <v>288</v>
      </c>
      <c r="BF39" s="36" t="s">
        <v>288</v>
      </c>
      <c r="BG39" s="36"/>
      <c r="BH39" s="36" t="s">
        <v>59</v>
      </c>
      <c r="BI39" s="36" t="s">
        <v>59</v>
      </c>
    </row>
    <row r="40" spans="17:61" x14ac:dyDescent="0.25">
      <c r="AW40" s="136" t="s">
        <v>13</v>
      </c>
      <c r="AX40" s="136" t="s">
        <v>135</v>
      </c>
      <c r="AY40" s="136" t="s">
        <v>135</v>
      </c>
      <c r="AZ40" s="136" t="str">
        <f t="shared" si="12"/>
        <v>Basse-NormandieCerisierCerisier</v>
      </c>
      <c r="BB40" s="104">
        <v>973</v>
      </c>
      <c r="BC40" s="36" t="s">
        <v>289</v>
      </c>
      <c r="BD40" s="36">
        <v>3</v>
      </c>
      <c r="BE40" s="36" t="s">
        <v>289</v>
      </c>
      <c r="BF40" s="36" t="s">
        <v>289</v>
      </c>
      <c r="BG40" s="36"/>
      <c r="BH40" s="36" t="s">
        <v>48</v>
      </c>
      <c r="BI40" s="36" t="s">
        <v>779</v>
      </c>
    </row>
    <row r="41" spans="17:61" x14ac:dyDescent="0.25">
      <c r="AW41" s="136" t="s">
        <v>13</v>
      </c>
      <c r="AX41" s="136" t="s">
        <v>148</v>
      </c>
      <c r="AY41" s="136" t="s">
        <v>148</v>
      </c>
      <c r="AZ41" s="136" t="str">
        <f t="shared" si="12"/>
        <v>Basse-NormandieMirabellierMirabellier</v>
      </c>
      <c r="BB41" s="104" t="s">
        <v>5115</v>
      </c>
      <c r="BC41" s="36" t="s">
        <v>844</v>
      </c>
      <c r="BD41" s="36">
        <v>94</v>
      </c>
      <c r="BE41" s="36" t="s">
        <v>18</v>
      </c>
      <c r="BF41" s="36" t="s">
        <v>18</v>
      </c>
      <c r="BG41" s="36"/>
      <c r="BH41" s="36" t="s">
        <v>22</v>
      </c>
      <c r="BI41" s="36" t="s">
        <v>780</v>
      </c>
    </row>
    <row r="42" spans="17:61" x14ac:dyDescent="0.25">
      <c r="AW42" s="136" t="s">
        <v>13</v>
      </c>
      <c r="AX42" s="136" t="s">
        <v>154</v>
      </c>
      <c r="AY42" s="136" t="s">
        <v>640</v>
      </c>
      <c r="AZ42" s="136" t="str">
        <f t="shared" si="12"/>
        <v>Basse-NormandieNectarinierNectarinier-Pêcher</v>
      </c>
      <c r="BB42" s="104">
        <v>31</v>
      </c>
      <c r="BC42" s="36" t="s">
        <v>778</v>
      </c>
      <c r="BD42" s="36">
        <v>73</v>
      </c>
      <c r="BE42" s="36" t="s">
        <v>25</v>
      </c>
      <c r="BF42" s="36" t="s">
        <v>900</v>
      </c>
      <c r="BG42" s="36"/>
      <c r="BH42" s="36" t="s">
        <v>659</v>
      </c>
      <c r="BI42" s="36" t="s">
        <v>781</v>
      </c>
    </row>
    <row r="43" spans="17:61" x14ac:dyDescent="0.25">
      <c r="AW43" s="136" t="s">
        <v>13</v>
      </c>
      <c r="AX43" s="136" t="s">
        <v>157</v>
      </c>
      <c r="AY43" s="136" t="s">
        <v>157</v>
      </c>
      <c r="AZ43" s="136" t="str">
        <f t="shared" si="12"/>
        <v>Basse-NormandieNoyerNoyer</v>
      </c>
      <c r="BB43" s="104">
        <v>43</v>
      </c>
      <c r="BC43" s="36" t="s">
        <v>788</v>
      </c>
      <c r="BD43" s="36">
        <v>83</v>
      </c>
      <c r="BE43" s="36" t="s">
        <v>12</v>
      </c>
      <c r="BF43" s="36" t="s">
        <v>893</v>
      </c>
      <c r="BG43" s="36"/>
      <c r="BH43" s="36" t="s">
        <v>658</v>
      </c>
      <c r="BI43" s="36" t="s">
        <v>782</v>
      </c>
    </row>
    <row r="44" spans="17:61" x14ac:dyDescent="0.25">
      <c r="AW44" s="136" t="s">
        <v>13</v>
      </c>
      <c r="AX44" s="136" t="s">
        <v>161</v>
      </c>
      <c r="AY44" s="136" t="s">
        <v>640</v>
      </c>
      <c r="AZ44" s="136" t="str">
        <f t="shared" si="12"/>
        <v>Basse-NormandiePêcherNectarinier-Pêcher</v>
      </c>
      <c r="BB44" s="104">
        <v>52</v>
      </c>
      <c r="BC44" s="36" t="s">
        <v>796</v>
      </c>
      <c r="BD44" s="36">
        <v>21</v>
      </c>
      <c r="BE44" s="36" t="s">
        <v>17</v>
      </c>
      <c r="BF44" s="36" t="s">
        <v>896</v>
      </c>
      <c r="BG44" s="36"/>
      <c r="BH44" s="36" t="s">
        <v>53</v>
      </c>
      <c r="BI44" s="36" t="s">
        <v>783</v>
      </c>
    </row>
    <row r="45" spans="17:61" x14ac:dyDescent="0.25">
      <c r="AW45" s="136" t="s">
        <v>13</v>
      </c>
      <c r="AX45" s="136" t="s">
        <v>162</v>
      </c>
      <c r="AY45" s="136" t="s">
        <v>162</v>
      </c>
      <c r="AZ45" s="136" t="str">
        <f t="shared" si="12"/>
        <v>Basse-NormandiePoirierPoirier</v>
      </c>
      <c r="BB45" s="104" t="s">
        <v>679</v>
      </c>
      <c r="BC45" s="36" t="s">
        <v>754</v>
      </c>
      <c r="BD45" s="36">
        <v>93</v>
      </c>
      <c r="BE45" s="36" t="s">
        <v>30</v>
      </c>
      <c r="BF45" s="36" t="s">
        <v>30</v>
      </c>
      <c r="BG45" s="36"/>
      <c r="BH45" s="36" t="s">
        <v>52</v>
      </c>
      <c r="BI45" s="36" t="s">
        <v>784</v>
      </c>
    </row>
    <row r="46" spans="17:61" x14ac:dyDescent="0.25">
      <c r="AW46" s="136" t="s">
        <v>13</v>
      </c>
      <c r="AX46" s="136" t="s">
        <v>164</v>
      </c>
      <c r="AY46" s="136" t="s">
        <v>164</v>
      </c>
      <c r="AZ46" s="136" t="str">
        <f t="shared" si="12"/>
        <v>Basse-NormandiePommierPommier</v>
      </c>
      <c r="BB46" s="104">
        <v>70</v>
      </c>
      <c r="BC46" s="36" t="s">
        <v>815</v>
      </c>
      <c r="BD46" s="36">
        <v>43</v>
      </c>
      <c r="BE46" s="36" t="s">
        <v>19</v>
      </c>
      <c r="BF46" s="36" t="s">
        <v>894</v>
      </c>
      <c r="BG46" s="36"/>
      <c r="BH46" s="36" t="s">
        <v>648</v>
      </c>
      <c r="BI46" s="36" t="s">
        <v>648</v>
      </c>
    </row>
    <row r="47" spans="17:61" x14ac:dyDescent="0.25">
      <c r="AW47" s="136" t="s">
        <v>13</v>
      </c>
      <c r="AX47" s="136" t="s">
        <v>165</v>
      </c>
      <c r="AY47" s="136" t="s">
        <v>165</v>
      </c>
      <c r="AZ47" s="136" t="str">
        <f t="shared" si="12"/>
        <v>Basse-NormandiePrunierPrunier</v>
      </c>
      <c r="BB47" s="104">
        <v>74</v>
      </c>
      <c r="BC47" s="36" t="s">
        <v>819</v>
      </c>
      <c r="BD47" s="36">
        <v>82</v>
      </c>
      <c r="BE47" s="36" t="s">
        <v>31</v>
      </c>
      <c r="BF47" s="36" t="s">
        <v>893</v>
      </c>
      <c r="BG47" s="36"/>
      <c r="BH47" s="36" t="s">
        <v>656</v>
      </c>
      <c r="BI47" s="36" t="s">
        <v>785</v>
      </c>
    </row>
    <row r="48" spans="17:61" x14ac:dyDescent="0.25">
      <c r="AW48" s="136" t="s">
        <v>14</v>
      </c>
      <c r="AX48" s="136" t="s">
        <v>130</v>
      </c>
      <c r="AY48" s="136" t="s">
        <v>130</v>
      </c>
      <c r="AZ48" s="136" t="str">
        <f t="shared" si="12"/>
        <v>BourgogneAbricotierAbricotier</v>
      </c>
      <c r="BB48" s="104">
        <v>65</v>
      </c>
      <c r="BC48" s="36" t="s">
        <v>809</v>
      </c>
      <c r="BD48" s="36">
        <v>73</v>
      </c>
      <c r="BE48" s="36" t="s">
        <v>25</v>
      </c>
      <c r="BF48" s="36" t="s">
        <v>900</v>
      </c>
      <c r="BG48" s="36"/>
      <c r="BH48" s="36" t="s">
        <v>53</v>
      </c>
      <c r="BI48" s="36" t="s">
        <v>786</v>
      </c>
    </row>
    <row r="49" spans="49:61" x14ac:dyDescent="0.25">
      <c r="AW49" s="136" t="s">
        <v>14</v>
      </c>
      <c r="AX49" s="136" t="s">
        <v>639</v>
      </c>
      <c r="AY49" s="136" t="s">
        <v>138</v>
      </c>
      <c r="AZ49" s="136" t="str">
        <f t="shared" si="12"/>
        <v>BourgogneAgrumesClémentinier</v>
      </c>
      <c r="BB49" s="104">
        <v>87</v>
      </c>
      <c r="BC49" s="36" t="s">
        <v>832</v>
      </c>
      <c r="BD49" s="36">
        <v>74</v>
      </c>
      <c r="BE49" s="36" t="s">
        <v>23</v>
      </c>
      <c r="BF49" s="36" t="s">
        <v>899</v>
      </c>
      <c r="BG49" s="36"/>
      <c r="BH49" s="36" t="s">
        <v>649</v>
      </c>
      <c r="BI49" s="36" t="s">
        <v>787</v>
      </c>
    </row>
    <row r="50" spans="49:61" x14ac:dyDescent="0.25">
      <c r="AW50" s="136" t="s">
        <v>14</v>
      </c>
      <c r="AX50" s="136" t="s">
        <v>173</v>
      </c>
      <c r="AY50" s="136" t="s">
        <v>165</v>
      </c>
      <c r="AZ50" s="136" t="str">
        <f t="shared" si="12"/>
        <v>BourgogneAutresPrunier</v>
      </c>
      <c r="BB50" s="104">
        <v>68</v>
      </c>
      <c r="BC50" s="36" t="s">
        <v>811</v>
      </c>
      <c r="BD50" s="36">
        <v>42</v>
      </c>
      <c r="BE50" s="36" t="s">
        <v>10</v>
      </c>
      <c r="BF50" s="36" t="s">
        <v>896</v>
      </c>
      <c r="BG50" s="36"/>
      <c r="BH50" s="36" t="s">
        <v>659</v>
      </c>
      <c r="BI50" s="36" t="s">
        <v>788</v>
      </c>
    </row>
    <row r="51" spans="49:61" x14ac:dyDescent="0.25">
      <c r="AW51" s="136" t="s">
        <v>14</v>
      </c>
      <c r="AX51" s="136" t="s">
        <v>135</v>
      </c>
      <c r="AY51" s="136" t="s">
        <v>135</v>
      </c>
      <c r="AZ51" s="136" t="str">
        <f t="shared" si="12"/>
        <v>BourgogneCerisierCerisier</v>
      </c>
      <c r="BB51" s="104">
        <v>92</v>
      </c>
      <c r="BC51" s="36" t="s">
        <v>837</v>
      </c>
      <c r="BD51" s="36">
        <v>11</v>
      </c>
      <c r="BE51" s="36" t="s">
        <v>849</v>
      </c>
      <c r="BF51" s="36" t="s">
        <v>296</v>
      </c>
      <c r="BG51" s="36"/>
      <c r="BH51" s="36" t="s">
        <v>53</v>
      </c>
      <c r="BI51" s="36" t="s">
        <v>789</v>
      </c>
    </row>
    <row r="52" spans="49:61" x14ac:dyDescent="0.25">
      <c r="AW52" s="136" t="s">
        <v>14</v>
      </c>
      <c r="AX52" s="136" t="s">
        <v>148</v>
      </c>
      <c r="AY52" s="136" t="s">
        <v>148</v>
      </c>
      <c r="AZ52" s="136" t="str">
        <f t="shared" si="12"/>
        <v>BourgogneMirabellierMirabellier</v>
      </c>
      <c r="BB52" s="104">
        <v>34</v>
      </c>
      <c r="BC52" s="36" t="s">
        <v>780</v>
      </c>
      <c r="BD52" s="36">
        <v>91</v>
      </c>
      <c r="BE52" s="36" t="s">
        <v>22</v>
      </c>
      <c r="BF52" s="36" t="s">
        <v>900</v>
      </c>
      <c r="BG52" s="36"/>
      <c r="BH52" s="36" t="s">
        <v>658</v>
      </c>
      <c r="BI52" s="36" t="s">
        <v>790</v>
      </c>
    </row>
    <row r="53" spans="49:61" x14ac:dyDescent="0.25">
      <c r="AW53" s="136" t="s">
        <v>14</v>
      </c>
      <c r="AX53" s="136" t="s">
        <v>154</v>
      </c>
      <c r="AY53" s="136" t="s">
        <v>640</v>
      </c>
      <c r="AZ53" s="136" t="str">
        <f t="shared" si="12"/>
        <v>BourgogneNectarinierNectarinier-Pêcher</v>
      </c>
      <c r="BB53" s="104">
        <v>989</v>
      </c>
      <c r="BC53" s="36" t="s">
        <v>5113</v>
      </c>
      <c r="BD53" s="36">
        <v>989</v>
      </c>
      <c r="BE53" s="36" t="s">
        <v>5113</v>
      </c>
      <c r="BF53" s="36" t="s">
        <v>5113</v>
      </c>
      <c r="BG53" s="36"/>
      <c r="BH53" s="36" t="s">
        <v>57</v>
      </c>
      <c r="BI53" s="36" t="s">
        <v>791</v>
      </c>
    </row>
    <row r="54" spans="49:61" x14ac:dyDescent="0.25">
      <c r="AW54" s="136" t="s">
        <v>14</v>
      </c>
      <c r="AX54" s="136" t="s">
        <v>157</v>
      </c>
      <c r="AY54" s="136" t="s">
        <v>157</v>
      </c>
      <c r="AZ54" s="136" t="str">
        <f t="shared" si="12"/>
        <v>BourgogneNoyerNoyer</v>
      </c>
      <c r="BB54" s="104">
        <v>35</v>
      </c>
      <c r="BC54" s="36" t="s">
        <v>781</v>
      </c>
      <c r="BD54" s="36">
        <v>53</v>
      </c>
      <c r="BE54" s="36" t="s">
        <v>15</v>
      </c>
      <c r="BF54" s="36" t="s">
        <v>15</v>
      </c>
      <c r="BG54" s="36"/>
      <c r="BH54" s="36" t="s">
        <v>50</v>
      </c>
      <c r="BI54" s="36" t="s">
        <v>50</v>
      </c>
    </row>
    <row r="55" spans="49:61" x14ac:dyDescent="0.25">
      <c r="AW55" s="136" t="s">
        <v>14</v>
      </c>
      <c r="AX55" s="136" t="s">
        <v>161</v>
      </c>
      <c r="AY55" s="136" t="s">
        <v>640</v>
      </c>
      <c r="AZ55" s="136" t="str">
        <f t="shared" si="12"/>
        <v>BourgognePêcherNectarinier-Pêcher</v>
      </c>
      <c r="BB55" s="104">
        <v>36</v>
      </c>
      <c r="BC55" s="36" t="s">
        <v>782</v>
      </c>
      <c r="BD55" s="36">
        <v>24</v>
      </c>
      <c r="BE55" s="36" t="s">
        <v>16</v>
      </c>
      <c r="BF55" s="36" t="s">
        <v>895</v>
      </c>
      <c r="BG55" s="36"/>
      <c r="BH55" s="36" t="s">
        <v>659</v>
      </c>
      <c r="BI55" s="36" t="s">
        <v>792</v>
      </c>
    </row>
    <row r="56" spans="49:61" x14ac:dyDescent="0.25">
      <c r="AW56" s="136" t="s">
        <v>14</v>
      </c>
      <c r="AX56" s="136" t="s">
        <v>162</v>
      </c>
      <c r="AY56" s="136" t="s">
        <v>162</v>
      </c>
      <c r="AZ56" s="136" t="str">
        <f t="shared" si="12"/>
        <v>BourgognePoirierPoirier</v>
      </c>
      <c r="BB56" s="104">
        <v>37</v>
      </c>
      <c r="BC56" s="36" t="s">
        <v>783</v>
      </c>
      <c r="BD56" s="36">
        <v>24</v>
      </c>
      <c r="BE56" s="36" t="s">
        <v>16</v>
      </c>
      <c r="BF56" s="36" t="s">
        <v>895</v>
      </c>
      <c r="BG56" s="36"/>
      <c r="BH56" s="36" t="s">
        <v>53</v>
      </c>
      <c r="BI56" s="36" t="s">
        <v>793</v>
      </c>
    </row>
    <row r="57" spans="49:61" x14ac:dyDescent="0.25">
      <c r="AW57" s="136" t="s">
        <v>14</v>
      </c>
      <c r="AX57" s="136" t="s">
        <v>164</v>
      </c>
      <c r="AY57" s="136" t="s">
        <v>164</v>
      </c>
      <c r="AZ57" s="136" t="str">
        <f t="shared" si="12"/>
        <v>BourgognePommierPommier</v>
      </c>
      <c r="BB57" s="104">
        <v>38</v>
      </c>
      <c r="BC57" s="36" t="s">
        <v>784</v>
      </c>
      <c r="BD57" s="36">
        <v>82</v>
      </c>
      <c r="BE57" s="36" t="s">
        <v>31</v>
      </c>
      <c r="BF57" s="36" t="s">
        <v>893</v>
      </c>
      <c r="BG57" s="36"/>
      <c r="BH57" s="36" t="s">
        <v>659</v>
      </c>
      <c r="BI57" s="36" t="s">
        <v>794</v>
      </c>
    </row>
    <row r="58" spans="49:61" x14ac:dyDescent="0.25">
      <c r="AW58" s="136" t="s">
        <v>14</v>
      </c>
      <c r="AX58" s="136" t="s">
        <v>165</v>
      </c>
      <c r="AY58" s="136" t="s">
        <v>165</v>
      </c>
      <c r="AZ58" s="136" t="str">
        <f t="shared" si="12"/>
        <v>BourgognePrunierPrunier</v>
      </c>
      <c r="BB58" s="104">
        <v>39</v>
      </c>
      <c r="BC58" s="36" t="s">
        <v>648</v>
      </c>
      <c r="BD58" s="36">
        <v>43</v>
      </c>
      <c r="BE58" s="36" t="s">
        <v>19</v>
      </c>
      <c r="BF58" s="36" t="s">
        <v>894</v>
      </c>
      <c r="BG58" s="36"/>
      <c r="BH58" s="36" t="s">
        <v>54</v>
      </c>
      <c r="BI58" s="36" t="s">
        <v>795</v>
      </c>
    </row>
    <row r="59" spans="49:61" x14ac:dyDescent="0.25">
      <c r="AW59" s="136" t="s">
        <v>15</v>
      </c>
      <c r="AX59" s="136" t="s">
        <v>130</v>
      </c>
      <c r="AY59" s="136" t="s">
        <v>130</v>
      </c>
      <c r="AZ59" s="136" t="str">
        <f t="shared" si="12"/>
        <v>BretagneAbricotierAbricotier</v>
      </c>
      <c r="BB59" s="104">
        <v>974</v>
      </c>
      <c r="BC59" s="36" t="s">
        <v>841</v>
      </c>
      <c r="BD59" s="36">
        <v>4</v>
      </c>
      <c r="BE59" s="36" t="s">
        <v>850</v>
      </c>
      <c r="BF59" s="36" t="s">
        <v>841</v>
      </c>
      <c r="BG59" s="36"/>
      <c r="BH59" s="36" t="s">
        <v>650</v>
      </c>
      <c r="BI59" s="36" t="s">
        <v>796</v>
      </c>
    </row>
    <row r="60" spans="49:61" x14ac:dyDescent="0.25">
      <c r="AW60" s="136" t="s">
        <v>15</v>
      </c>
      <c r="AX60" s="136" t="s">
        <v>639</v>
      </c>
      <c r="AY60" s="136" t="s">
        <v>138</v>
      </c>
      <c r="AZ60" s="136" t="str">
        <f t="shared" si="12"/>
        <v>BretagneAgrumesClémentinier</v>
      </c>
      <c r="BB60" s="104">
        <v>40</v>
      </c>
      <c r="BC60" s="36" t="s">
        <v>785</v>
      </c>
      <c r="BD60" s="36">
        <v>72</v>
      </c>
      <c r="BE60" s="36" t="s">
        <v>11</v>
      </c>
      <c r="BF60" s="36" t="s">
        <v>899</v>
      </c>
      <c r="BG60" s="36"/>
      <c r="BH60" s="36" t="s">
        <v>659</v>
      </c>
      <c r="BI60" s="36" t="s">
        <v>797</v>
      </c>
    </row>
    <row r="61" spans="49:61" x14ac:dyDescent="0.25">
      <c r="AW61" s="136" t="s">
        <v>15</v>
      </c>
      <c r="AX61" s="136" t="s">
        <v>173</v>
      </c>
      <c r="AY61" s="136" t="s">
        <v>165</v>
      </c>
      <c r="AZ61" s="136" t="str">
        <f t="shared" si="12"/>
        <v>BretagneAutresPrunier</v>
      </c>
      <c r="BB61" s="104">
        <v>42</v>
      </c>
      <c r="BC61" s="36" t="s">
        <v>787</v>
      </c>
      <c r="BD61" s="36">
        <v>82</v>
      </c>
      <c r="BE61" s="36" t="s">
        <v>31</v>
      </c>
      <c r="BF61" s="36" t="s">
        <v>893</v>
      </c>
      <c r="BG61" s="36"/>
      <c r="BH61" s="36" t="s">
        <v>645</v>
      </c>
      <c r="BI61" s="36" t="s">
        <v>798</v>
      </c>
    </row>
    <row r="62" spans="49:61" x14ac:dyDescent="0.25">
      <c r="AW62" s="136" t="s">
        <v>15</v>
      </c>
      <c r="AX62" s="136" t="s">
        <v>135</v>
      </c>
      <c r="AY62" s="136" t="s">
        <v>135</v>
      </c>
      <c r="AZ62" s="136" t="str">
        <f t="shared" si="12"/>
        <v>BretagneCerisierCerisier</v>
      </c>
      <c r="BB62" s="104">
        <v>44</v>
      </c>
      <c r="BC62" s="36" t="s">
        <v>789</v>
      </c>
      <c r="BD62" s="36">
        <v>52</v>
      </c>
      <c r="BE62" s="36" t="s">
        <v>847</v>
      </c>
      <c r="BF62" s="36" t="s">
        <v>27</v>
      </c>
      <c r="BG62" s="36"/>
      <c r="BH62" s="36" t="s">
        <v>645</v>
      </c>
      <c r="BI62" s="36" t="s">
        <v>799</v>
      </c>
    </row>
    <row r="63" spans="49:61" x14ac:dyDescent="0.25">
      <c r="AW63" s="136" t="s">
        <v>15</v>
      </c>
      <c r="AX63" s="136" t="s">
        <v>148</v>
      </c>
      <c r="AY63" s="136" t="s">
        <v>148</v>
      </c>
      <c r="AZ63" s="136" t="str">
        <f t="shared" si="12"/>
        <v>BretagneMirabellierMirabellier</v>
      </c>
      <c r="BB63" s="104">
        <v>45</v>
      </c>
      <c r="BC63" s="36" t="s">
        <v>790</v>
      </c>
      <c r="BD63" s="36">
        <v>24</v>
      </c>
      <c r="BE63" s="36" t="s">
        <v>16</v>
      </c>
      <c r="BF63" s="36" t="s">
        <v>895</v>
      </c>
      <c r="BG63" s="36"/>
      <c r="BH63" s="36" t="s">
        <v>659</v>
      </c>
      <c r="BI63" s="36" t="s">
        <v>800</v>
      </c>
    </row>
    <row r="64" spans="49:61" x14ac:dyDescent="0.25">
      <c r="AW64" s="136" t="s">
        <v>15</v>
      </c>
      <c r="AX64" s="136" t="s">
        <v>154</v>
      </c>
      <c r="AY64" s="136" t="s">
        <v>640</v>
      </c>
      <c r="AZ64" s="136" t="str">
        <f t="shared" si="12"/>
        <v>BretagneNectarinierNectarinier-Pêcher</v>
      </c>
      <c r="BB64" s="104">
        <v>41</v>
      </c>
      <c r="BC64" s="36" t="s">
        <v>786</v>
      </c>
      <c r="BD64" s="36">
        <v>24</v>
      </c>
      <c r="BE64" s="36" t="s">
        <v>16</v>
      </c>
      <c r="BF64" s="36" t="s">
        <v>895</v>
      </c>
      <c r="BG64" s="36"/>
      <c r="BH64" s="36" t="s">
        <v>645</v>
      </c>
      <c r="BI64" s="36" t="s">
        <v>801</v>
      </c>
    </row>
    <row r="65" spans="49:61" x14ac:dyDescent="0.25">
      <c r="AW65" s="136" t="s">
        <v>15</v>
      </c>
      <c r="AX65" s="136" t="s">
        <v>157</v>
      </c>
      <c r="AY65" s="136" t="s">
        <v>157</v>
      </c>
      <c r="AZ65" s="136" t="str">
        <f t="shared" si="12"/>
        <v>BretagneNoyerNoyer</v>
      </c>
      <c r="BB65" s="104">
        <v>46</v>
      </c>
      <c r="BC65" s="36" t="s">
        <v>791</v>
      </c>
      <c r="BD65" s="36">
        <v>73</v>
      </c>
      <c r="BE65" s="36" t="s">
        <v>25</v>
      </c>
      <c r="BF65" s="36" t="s">
        <v>900</v>
      </c>
      <c r="BG65" s="36"/>
      <c r="BH65" s="36" t="s">
        <v>658</v>
      </c>
      <c r="BI65" s="36" t="s">
        <v>802</v>
      </c>
    </row>
    <row r="66" spans="49:61" x14ac:dyDescent="0.25">
      <c r="AW66" s="136" t="s">
        <v>15</v>
      </c>
      <c r="AX66" s="136" t="s">
        <v>161</v>
      </c>
      <c r="AY66" s="136" t="s">
        <v>640</v>
      </c>
      <c r="AZ66" s="136" t="str">
        <f t="shared" si="12"/>
        <v>BretagnePêcherNectarinier-Pêcher</v>
      </c>
      <c r="BB66" s="104">
        <v>47</v>
      </c>
      <c r="BC66" s="36" t="s">
        <v>50</v>
      </c>
      <c r="BD66" s="36">
        <v>72</v>
      </c>
      <c r="BE66" s="36" t="s">
        <v>11</v>
      </c>
      <c r="BF66" s="36" t="s">
        <v>899</v>
      </c>
      <c r="BG66" s="36"/>
      <c r="BH66" s="36" t="s">
        <v>659</v>
      </c>
      <c r="BI66" s="36" t="s">
        <v>803</v>
      </c>
    </row>
    <row r="67" spans="49:61" x14ac:dyDescent="0.25">
      <c r="AW67" s="136" t="s">
        <v>15</v>
      </c>
      <c r="AX67" s="136" t="s">
        <v>162</v>
      </c>
      <c r="AY67" s="136" t="s">
        <v>162</v>
      </c>
      <c r="AZ67" s="136" t="str">
        <f t="shared" si="12"/>
        <v>BretagnePoirierPoirier</v>
      </c>
      <c r="BB67" s="104">
        <v>48</v>
      </c>
      <c r="BC67" s="36" t="s">
        <v>792</v>
      </c>
      <c r="BD67" s="36">
        <v>91</v>
      </c>
      <c r="BE67" s="36" t="s">
        <v>22</v>
      </c>
      <c r="BF67" s="36" t="s">
        <v>900</v>
      </c>
      <c r="BG67" s="36"/>
      <c r="BH67" s="36" t="s">
        <v>659</v>
      </c>
      <c r="BI67" s="36" t="s">
        <v>804</v>
      </c>
    </row>
    <row r="68" spans="49:61" x14ac:dyDescent="0.25">
      <c r="AW68" s="136" t="s">
        <v>15</v>
      </c>
      <c r="AX68" s="136" t="s">
        <v>164</v>
      </c>
      <c r="AY68" s="136" t="s">
        <v>164</v>
      </c>
      <c r="AZ68" s="136" t="str">
        <f t="shared" si="12"/>
        <v>BretagnePommierPommier</v>
      </c>
      <c r="BB68" s="104">
        <v>49</v>
      </c>
      <c r="BC68" s="36" t="s">
        <v>793</v>
      </c>
      <c r="BD68" s="36">
        <v>52</v>
      </c>
      <c r="BE68" s="36" t="s">
        <v>847</v>
      </c>
      <c r="BF68" s="36" t="s">
        <v>27</v>
      </c>
      <c r="BG68" s="36"/>
      <c r="BH68" s="36" t="s">
        <v>659</v>
      </c>
      <c r="BI68" s="36" t="s">
        <v>805</v>
      </c>
    </row>
    <row r="69" spans="49:61" x14ac:dyDescent="0.25">
      <c r="AW69" s="136" t="s">
        <v>15</v>
      </c>
      <c r="AX69" s="136" t="s">
        <v>165</v>
      </c>
      <c r="AY69" s="136" t="s">
        <v>165</v>
      </c>
      <c r="AZ69" s="136" t="str">
        <f t="shared" si="12"/>
        <v>BretagnePrunierPrunier</v>
      </c>
      <c r="BB69" s="104">
        <v>50</v>
      </c>
      <c r="BC69" s="36" t="s">
        <v>794</v>
      </c>
      <c r="BD69" s="36">
        <v>25</v>
      </c>
      <c r="BE69" s="36" t="s">
        <v>13</v>
      </c>
      <c r="BF69" s="36" t="s">
        <v>898</v>
      </c>
      <c r="BG69" s="36"/>
      <c r="BH69" s="36" t="s">
        <v>659</v>
      </c>
      <c r="BI69" s="36" t="s">
        <v>806</v>
      </c>
    </row>
    <row r="70" spans="49:61" x14ac:dyDescent="0.25">
      <c r="AW70" s="136" t="s">
        <v>16</v>
      </c>
      <c r="AX70" s="136" t="s">
        <v>130</v>
      </c>
      <c r="AY70" s="136" t="s">
        <v>130</v>
      </c>
      <c r="AZ70" s="136" t="str">
        <f t="shared" ref="AZ70:AZ133" si="18">AW70&amp;AX70&amp;AY70</f>
        <v>CentreAbricotierAbricotier</v>
      </c>
      <c r="BB70" s="104">
        <v>51</v>
      </c>
      <c r="BC70" s="36" t="s">
        <v>795</v>
      </c>
      <c r="BD70" s="36">
        <v>21</v>
      </c>
      <c r="BE70" s="36" t="s">
        <v>17</v>
      </c>
      <c r="BF70" s="36" t="s">
        <v>896</v>
      </c>
      <c r="BG70" s="36"/>
      <c r="BH70" s="36" t="s">
        <v>658</v>
      </c>
      <c r="BI70" s="36" t="s">
        <v>807</v>
      </c>
    </row>
    <row r="71" spans="49:61" x14ac:dyDescent="0.25">
      <c r="AW71" s="136" t="s">
        <v>16</v>
      </c>
      <c r="AX71" s="136" t="s">
        <v>639</v>
      </c>
      <c r="AY71" s="136" t="s">
        <v>138</v>
      </c>
      <c r="AZ71" s="136" t="str">
        <f t="shared" si="18"/>
        <v>CentreAgrumesClémentinier</v>
      </c>
      <c r="BB71" s="104">
        <v>972</v>
      </c>
      <c r="BC71" s="36" t="s">
        <v>290</v>
      </c>
      <c r="BD71" s="36">
        <v>2</v>
      </c>
      <c r="BE71" s="36" t="s">
        <v>290</v>
      </c>
      <c r="BF71" s="36" t="s">
        <v>290</v>
      </c>
      <c r="BG71" s="36"/>
      <c r="BH71" s="36" t="s">
        <v>656</v>
      </c>
      <c r="BI71" s="36" t="s">
        <v>808</v>
      </c>
    </row>
    <row r="72" spans="49:61" x14ac:dyDescent="0.25">
      <c r="AW72" s="136" t="s">
        <v>16</v>
      </c>
      <c r="AX72" s="136" t="s">
        <v>173</v>
      </c>
      <c r="AY72" s="136" t="s">
        <v>165</v>
      </c>
      <c r="AZ72" s="136" t="str">
        <f t="shared" si="18"/>
        <v>CentreAutresPrunier</v>
      </c>
      <c r="BB72" s="104">
        <v>53</v>
      </c>
      <c r="BC72" s="36" t="s">
        <v>797</v>
      </c>
      <c r="BD72" s="36">
        <v>52</v>
      </c>
      <c r="BE72" s="36" t="s">
        <v>847</v>
      </c>
      <c r="BF72" s="36" t="s">
        <v>27</v>
      </c>
      <c r="BG72" s="36"/>
      <c r="BH72" s="36" t="s">
        <v>656</v>
      </c>
      <c r="BI72" s="36" t="s">
        <v>809</v>
      </c>
    </row>
    <row r="73" spans="49:61" x14ac:dyDescent="0.25">
      <c r="AW73" s="136" t="s">
        <v>16</v>
      </c>
      <c r="AX73" s="136" t="s">
        <v>135</v>
      </c>
      <c r="AY73" s="136" t="s">
        <v>135</v>
      </c>
      <c r="AZ73" s="136" t="str">
        <f t="shared" si="18"/>
        <v>CentreCerisierCerisier</v>
      </c>
      <c r="BB73" s="104">
        <v>976</v>
      </c>
      <c r="BC73" s="36" t="s">
        <v>842</v>
      </c>
      <c r="BD73" s="36">
        <v>6</v>
      </c>
      <c r="BE73" s="36" t="s">
        <v>842</v>
      </c>
      <c r="BF73" s="36" t="s">
        <v>842</v>
      </c>
      <c r="BG73" s="36"/>
      <c r="BH73" s="36" t="s">
        <v>22</v>
      </c>
      <c r="BI73" s="36" t="s">
        <v>56</v>
      </c>
    </row>
    <row r="74" spans="49:61" x14ac:dyDescent="0.25">
      <c r="AW74" s="136" t="s">
        <v>16</v>
      </c>
      <c r="AX74" s="136" t="s">
        <v>148</v>
      </c>
      <c r="AY74" s="136" t="s">
        <v>148</v>
      </c>
      <c r="AZ74" s="136" t="str">
        <f t="shared" si="18"/>
        <v>CentreMirabellierMirabellier</v>
      </c>
      <c r="BB74" s="104">
        <v>54</v>
      </c>
      <c r="BC74" s="36" t="s">
        <v>798</v>
      </c>
      <c r="BD74" s="36">
        <v>41</v>
      </c>
      <c r="BE74" s="36" t="s">
        <v>24</v>
      </c>
      <c r="BF74" s="36" t="s">
        <v>896</v>
      </c>
      <c r="BG74" s="36"/>
      <c r="BH74" s="36" t="s">
        <v>10</v>
      </c>
      <c r="BI74" s="36" t="s">
        <v>810</v>
      </c>
    </row>
    <row r="75" spans="49:61" x14ac:dyDescent="0.25">
      <c r="AW75" s="136" t="s">
        <v>16</v>
      </c>
      <c r="AX75" s="136" t="s">
        <v>154</v>
      </c>
      <c r="AY75" s="136" t="s">
        <v>640</v>
      </c>
      <c r="AZ75" s="136" t="str">
        <f t="shared" si="18"/>
        <v>CentreNectarinierNectarinier-Pêcher</v>
      </c>
      <c r="BB75" s="104">
        <v>55</v>
      </c>
      <c r="BC75" s="36" t="s">
        <v>799</v>
      </c>
      <c r="BD75" s="36">
        <v>41</v>
      </c>
      <c r="BE75" s="36" t="s">
        <v>24</v>
      </c>
      <c r="BF75" s="36" t="s">
        <v>896</v>
      </c>
      <c r="BG75" s="36"/>
      <c r="BH75" s="36" t="s">
        <v>10</v>
      </c>
      <c r="BI75" s="36" t="s">
        <v>811</v>
      </c>
    </row>
    <row r="76" spans="49:61" x14ac:dyDescent="0.25">
      <c r="AW76" s="136" t="s">
        <v>16</v>
      </c>
      <c r="AX76" s="136" t="s">
        <v>157</v>
      </c>
      <c r="AY76" s="136" t="s">
        <v>157</v>
      </c>
      <c r="AZ76" s="136" t="str">
        <f t="shared" si="18"/>
        <v>CentreNoyerNoyer</v>
      </c>
      <c r="BB76" s="104">
        <v>56</v>
      </c>
      <c r="BC76" s="36" t="s">
        <v>800</v>
      </c>
      <c r="BD76" s="36">
        <v>53</v>
      </c>
      <c r="BE76" s="36" t="s">
        <v>15</v>
      </c>
      <c r="BF76" s="36" t="s">
        <v>15</v>
      </c>
      <c r="BG76" s="36"/>
      <c r="BH76" s="36" t="s">
        <v>51</v>
      </c>
      <c r="BI76" s="36" t="s">
        <v>5120</v>
      </c>
    </row>
    <row r="77" spans="49:61" x14ac:dyDescent="0.25">
      <c r="AW77" s="136" t="s">
        <v>16</v>
      </c>
      <c r="AX77" s="136" t="s">
        <v>161</v>
      </c>
      <c r="AY77" s="136" t="s">
        <v>640</v>
      </c>
      <c r="AZ77" s="136" t="str">
        <f t="shared" si="18"/>
        <v>CentrePêcherNectarinier-Pêcher</v>
      </c>
      <c r="BB77" s="104">
        <v>57</v>
      </c>
      <c r="BC77" s="36" t="s">
        <v>801</v>
      </c>
      <c r="BD77" s="36">
        <v>41</v>
      </c>
      <c r="BE77" s="36" t="s">
        <v>24</v>
      </c>
      <c r="BF77" s="36" t="s">
        <v>896</v>
      </c>
      <c r="BG77" s="36"/>
      <c r="BH77" s="36" t="s">
        <v>654</v>
      </c>
      <c r="BI77" s="36" t="s">
        <v>5121</v>
      </c>
    </row>
    <row r="78" spans="49:61" x14ac:dyDescent="0.25">
      <c r="AW78" s="136" t="s">
        <v>16</v>
      </c>
      <c r="AX78" s="136" t="s">
        <v>162</v>
      </c>
      <c r="AY78" s="136" t="s">
        <v>162</v>
      </c>
      <c r="AZ78" s="136" t="str">
        <f t="shared" si="18"/>
        <v>CentrePoirierPoirier</v>
      </c>
      <c r="BB78" s="104">
        <v>58</v>
      </c>
      <c r="BC78" s="36" t="s">
        <v>802</v>
      </c>
      <c r="BD78" s="36">
        <v>26</v>
      </c>
      <c r="BE78" s="36" t="s">
        <v>14</v>
      </c>
      <c r="BF78" s="36" t="s">
        <v>894</v>
      </c>
      <c r="BG78" s="36"/>
      <c r="BH78" s="36" t="s">
        <v>649</v>
      </c>
      <c r="BI78" s="36" t="s">
        <v>815</v>
      </c>
    </row>
    <row r="79" spans="49:61" x14ac:dyDescent="0.25">
      <c r="AW79" s="136" t="s">
        <v>16</v>
      </c>
      <c r="AX79" s="136" t="s">
        <v>164</v>
      </c>
      <c r="AY79" s="136" t="s">
        <v>164</v>
      </c>
      <c r="AZ79" s="136" t="str">
        <f t="shared" si="18"/>
        <v>CentrePommierPommier</v>
      </c>
      <c r="BB79" s="104">
        <v>59</v>
      </c>
      <c r="BC79" s="36" t="s">
        <v>803</v>
      </c>
      <c r="BD79" s="36">
        <v>31</v>
      </c>
      <c r="BE79" s="36" t="s">
        <v>848</v>
      </c>
      <c r="BF79" s="36" t="s">
        <v>897</v>
      </c>
      <c r="BG79" s="36"/>
      <c r="BH79" s="36" t="s">
        <v>51</v>
      </c>
      <c r="BI79" s="36" t="s">
        <v>5116</v>
      </c>
    </row>
    <row r="80" spans="49:61" x14ac:dyDescent="0.25">
      <c r="AW80" s="136" t="s">
        <v>16</v>
      </c>
      <c r="AX80" s="136" t="s">
        <v>165</v>
      </c>
      <c r="AY80" s="136" t="s">
        <v>165</v>
      </c>
      <c r="AZ80" s="136" t="str">
        <f t="shared" si="18"/>
        <v>CentrePrunierPrunier</v>
      </c>
      <c r="BB80" s="104">
        <v>988</v>
      </c>
      <c r="BC80" s="36" t="s">
        <v>5112</v>
      </c>
      <c r="BD80" s="36">
        <v>988</v>
      </c>
      <c r="BE80" s="36" t="s">
        <v>5112</v>
      </c>
      <c r="BF80" s="36" t="s">
        <v>5112</v>
      </c>
      <c r="BG80" s="36"/>
      <c r="BH80" s="36" t="s">
        <v>14</v>
      </c>
      <c r="BI80" s="36" t="s">
        <v>5105</v>
      </c>
    </row>
    <row r="81" spans="49:61" x14ac:dyDescent="0.25">
      <c r="AW81" s="136" t="s">
        <v>17</v>
      </c>
      <c r="AX81" s="136" t="s">
        <v>130</v>
      </c>
      <c r="AY81" s="136" t="s">
        <v>130</v>
      </c>
      <c r="AZ81" s="136" t="str">
        <f t="shared" si="18"/>
        <v>Champagne-ArdenneAbricotierAbricotier</v>
      </c>
      <c r="BB81" s="104">
        <v>60</v>
      </c>
      <c r="BC81" s="36" t="s">
        <v>804</v>
      </c>
      <c r="BD81" s="36">
        <v>22</v>
      </c>
      <c r="BE81" s="36" t="s">
        <v>28</v>
      </c>
      <c r="BF81" s="36" t="s">
        <v>897</v>
      </c>
      <c r="BG81" s="36"/>
      <c r="BH81" s="36" t="s">
        <v>658</v>
      </c>
      <c r="BI81" s="36" t="s">
        <v>817</v>
      </c>
    </row>
    <row r="82" spans="49:61" x14ac:dyDescent="0.25">
      <c r="AW82" s="136" t="s">
        <v>17</v>
      </c>
      <c r="AX82" s="136" t="s">
        <v>639</v>
      </c>
      <c r="AY82" s="136" t="s">
        <v>138</v>
      </c>
      <c r="AZ82" s="136" t="str">
        <f t="shared" si="18"/>
        <v>Champagne-ArdenneAgrumesClémentinier</v>
      </c>
      <c r="BB82" s="104">
        <v>61</v>
      </c>
      <c r="BC82" s="36" t="s">
        <v>805</v>
      </c>
      <c r="BD82" s="36">
        <v>25</v>
      </c>
      <c r="BE82" s="36" t="s">
        <v>13</v>
      </c>
      <c r="BF82" s="36" t="s">
        <v>898</v>
      </c>
      <c r="BG82" s="36"/>
      <c r="BH82" s="36" t="s">
        <v>52</v>
      </c>
      <c r="BI82" s="36" t="s">
        <v>818</v>
      </c>
    </row>
    <row r="83" spans="49:61" x14ac:dyDescent="0.25">
      <c r="AW83" s="136" t="s">
        <v>17</v>
      </c>
      <c r="AX83" s="136" t="s">
        <v>173</v>
      </c>
      <c r="AY83" s="136" t="s">
        <v>165</v>
      </c>
      <c r="AZ83" s="136" t="str">
        <f t="shared" si="18"/>
        <v>Champagne-ArdenneAutresPrunier</v>
      </c>
      <c r="BB83" s="104">
        <v>75</v>
      </c>
      <c r="BC83" s="36" t="s">
        <v>820</v>
      </c>
      <c r="BD83" s="36">
        <v>11</v>
      </c>
      <c r="BE83" s="36" t="s">
        <v>849</v>
      </c>
      <c r="BF83" s="36" t="s">
        <v>296</v>
      </c>
      <c r="BG83" s="36"/>
      <c r="BH83" s="36" t="s">
        <v>52</v>
      </c>
      <c r="BI83" s="36" t="s">
        <v>819</v>
      </c>
    </row>
    <row r="84" spans="49:61" x14ac:dyDescent="0.25">
      <c r="AW84" s="136" t="s">
        <v>17</v>
      </c>
      <c r="AX84" s="136" t="s">
        <v>135</v>
      </c>
      <c r="AY84" s="136" t="s">
        <v>135</v>
      </c>
      <c r="AZ84" s="136" t="str">
        <f t="shared" si="18"/>
        <v>Champagne-ArdenneCerisierCerisier</v>
      </c>
      <c r="BB84" s="104">
        <v>62</v>
      </c>
      <c r="BC84" s="36" t="s">
        <v>806</v>
      </c>
      <c r="BD84" s="36">
        <v>31</v>
      </c>
      <c r="BE84" s="36" t="s">
        <v>848</v>
      </c>
      <c r="BF84" s="36" t="s">
        <v>897</v>
      </c>
      <c r="BG84" s="36"/>
      <c r="BH84" s="36" t="s">
        <v>659</v>
      </c>
      <c r="BI84" s="36" t="s">
        <v>820</v>
      </c>
    </row>
    <row r="85" spans="49:61" x14ac:dyDescent="0.25">
      <c r="AW85" s="136" t="s">
        <v>17</v>
      </c>
      <c r="AX85" s="136" t="s">
        <v>148</v>
      </c>
      <c r="AY85" s="136" t="s">
        <v>148</v>
      </c>
      <c r="AZ85" s="136" t="str">
        <f t="shared" si="18"/>
        <v>Champagne-ArdenneMirabellierMirabellier</v>
      </c>
      <c r="BB85" s="104">
        <v>987</v>
      </c>
      <c r="BC85" s="36" t="s">
        <v>5111</v>
      </c>
      <c r="BD85" s="36">
        <v>987</v>
      </c>
      <c r="BE85" s="36" t="s">
        <v>5111</v>
      </c>
      <c r="BF85" s="36" t="s">
        <v>5111</v>
      </c>
      <c r="BG85" s="36"/>
      <c r="BH85" s="36" t="s">
        <v>659</v>
      </c>
      <c r="BI85" s="36" t="s">
        <v>821</v>
      </c>
    </row>
    <row r="86" spans="49:61" x14ac:dyDescent="0.25">
      <c r="AW86" s="136" t="s">
        <v>17</v>
      </c>
      <c r="AX86" s="136" t="s">
        <v>154</v>
      </c>
      <c r="AY86" s="136" t="s">
        <v>640</v>
      </c>
      <c r="AZ86" s="136" t="str">
        <f t="shared" si="18"/>
        <v>Champagne-ArdenneNectarinierNectarinier-Pêcher</v>
      </c>
      <c r="BB86" s="104">
        <v>63</v>
      </c>
      <c r="BC86" s="36" t="s">
        <v>807</v>
      </c>
      <c r="BD86" s="36">
        <v>83</v>
      </c>
      <c r="BE86" s="36" t="s">
        <v>12</v>
      </c>
      <c r="BF86" s="36" t="s">
        <v>893</v>
      </c>
      <c r="BG86" s="36"/>
      <c r="BH86" s="36" t="s">
        <v>650</v>
      </c>
      <c r="BI86" s="36" t="s">
        <v>822</v>
      </c>
    </row>
    <row r="87" spans="49:61" x14ac:dyDescent="0.25">
      <c r="AW87" s="136" t="s">
        <v>17</v>
      </c>
      <c r="AX87" s="136" t="s">
        <v>157</v>
      </c>
      <c r="AY87" s="136" t="s">
        <v>157</v>
      </c>
      <c r="AZ87" s="136" t="str">
        <f t="shared" si="18"/>
        <v>Champagne-ArdenneNoyerNoyer</v>
      </c>
      <c r="BB87" s="104">
        <v>64</v>
      </c>
      <c r="BC87" s="36" t="s">
        <v>808</v>
      </c>
      <c r="BD87" s="36">
        <v>72</v>
      </c>
      <c r="BE87" s="36" t="s">
        <v>11</v>
      </c>
      <c r="BF87" s="36" t="s">
        <v>899</v>
      </c>
      <c r="BG87" s="36"/>
      <c r="BH87" s="36" t="s">
        <v>659</v>
      </c>
      <c r="BI87" s="36" t="s">
        <v>823</v>
      </c>
    </row>
    <row r="88" spans="49:61" x14ac:dyDescent="0.25">
      <c r="AW88" s="136" t="s">
        <v>17</v>
      </c>
      <c r="AX88" s="136" t="s">
        <v>161</v>
      </c>
      <c r="AY88" s="136" t="s">
        <v>640</v>
      </c>
      <c r="AZ88" s="136" t="str">
        <f t="shared" si="18"/>
        <v>Champagne-ArdennePêcherNectarinier-Pêcher</v>
      </c>
      <c r="BB88" s="104">
        <v>66</v>
      </c>
      <c r="BC88" s="36" t="s">
        <v>56</v>
      </c>
      <c r="BD88" s="36">
        <v>91</v>
      </c>
      <c r="BE88" s="36" t="s">
        <v>22</v>
      </c>
      <c r="BF88" s="36" t="s">
        <v>900</v>
      </c>
      <c r="BG88" s="36"/>
      <c r="BH88" s="36" t="s">
        <v>658</v>
      </c>
      <c r="BI88" s="36" t="s">
        <v>824</v>
      </c>
    </row>
    <row r="89" spans="49:61" x14ac:dyDescent="0.25">
      <c r="AW89" s="136" t="s">
        <v>17</v>
      </c>
      <c r="AX89" s="136" t="s">
        <v>162</v>
      </c>
      <c r="AY89" s="136" t="s">
        <v>162</v>
      </c>
      <c r="AZ89" s="136" t="str">
        <f t="shared" si="18"/>
        <v>Champagne-ArdennePoirierPoirier</v>
      </c>
      <c r="BB89" s="104">
        <v>69</v>
      </c>
      <c r="BC89" s="36" t="s">
        <v>812</v>
      </c>
      <c r="BD89" s="36">
        <v>82</v>
      </c>
      <c r="BE89" s="36" t="s">
        <v>31</v>
      </c>
      <c r="BF89" s="36" t="s">
        <v>893</v>
      </c>
      <c r="BG89" s="36"/>
      <c r="BH89" s="36" t="s">
        <v>659</v>
      </c>
      <c r="BI89" s="36" t="s">
        <v>825</v>
      </c>
    </row>
    <row r="90" spans="49:61" x14ac:dyDescent="0.25">
      <c r="AW90" s="136" t="s">
        <v>17</v>
      </c>
      <c r="AX90" s="136" t="s">
        <v>164</v>
      </c>
      <c r="AY90" s="136" t="s">
        <v>164</v>
      </c>
      <c r="AZ90" s="136" t="str">
        <f t="shared" si="18"/>
        <v>Champagne-ArdennePommierPommier</v>
      </c>
      <c r="BB90" s="104">
        <v>977</v>
      </c>
      <c r="BC90" s="36" t="s">
        <v>5107</v>
      </c>
      <c r="BD90" s="36">
        <v>977</v>
      </c>
      <c r="BE90" s="36" t="s">
        <v>5107</v>
      </c>
      <c r="BF90" s="36" t="s">
        <v>5107</v>
      </c>
      <c r="BG90" s="36"/>
      <c r="BH90" s="36" t="s">
        <v>58</v>
      </c>
      <c r="BI90" s="36" t="s">
        <v>826</v>
      </c>
    </row>
    <row r="91" spans="49:61" x14ac:dyDescent="0.25">
      <c r="AW91" s="136" t="s">
        <v>17</v>
      </c>
      <c r="AX91" s="136" t="s">
        <v>165</v>
      </c>
      <c r="AY91" s="136" t="s">
        <v>165</v>
      </c>
      <c r="AZ91" s="136" t="str">
        <f t="shared" si="18"/>
        <v>Champagne-ArdennePrunierPrunier</v>
      </c>
      <c r="BB91" s="104">
        <v>978</v>
      </c>
      <c r="BC91" s="36" t="s">
        <v>5108</v>
      </c>
      <c r="BD91" s="36">
        <v>978</v>
      </c>
      <c r="BE91" s="36" t="s">
        <v>5108</v>
      </c>
      <c r="BF91" s="36" t="s">
        <v>5108</v>
      </c>
      <c r="BG91" s="36"/>
      <c r="BH91" s="36" t="s">
        <v>656</v>
      </c>
      <c r="BI91" s="36" t="s">
        <v>827</v>
      </c>
    </row>
    <row r="92" spans="49:61" x14ac:dyDescent="0.25">
      <c r="AW92" s="136" t="s">
        <v>18</v>
      </c>
      <c r="AX92" s="136" t="s">
        <v>130</v>
      </c>
      <c r="AY92" s="136" t="s">
        <v>130</v>
      </c>
      <c r="AZ92" s="136" t="str">
        <f t="shared" si="18"/>
        <v>CorseAbricotierAbricotier</v>
      </c>
      <c r="BB92" s="104">
        <v>975</v>
      </c>
      <c r="BC92" s="36" t="s">
        <v>5106</v>
      </c>
      <c r="BD92" s="36">
        <v>975</v>
      </c>
      <c r="BE92" s="36" t="s">
        <v>5106</v>
      </c>
      <c r="BF92" s="36" t="s">
        <v>5106</v>
      </c>
      <c r="BG92" s="36"/>
      <c r="BH92" s="36" t="s">
        <v>61</v>
      </c>
      <c r="BI92" s="36" t="s">
        <v>828</v>
      </c>
    </row>
    <row r="93" spans="49:61" x14ac:dyDescent="0.25">
      <c r="AW93" s="136" t="s">
        <v>18</v>
      </c>
      <c r="AX93" s="136" t="s">
        <v>639</v>
      </c>
      <c r="AY93" s="136" t="s">
        <v>138</v>
      </c>
      <c r="AZ93" s="136" t="str">
        <f t="shared" si="18"/>
        <v>CorseAgrumesClémentinier</v>
      </c>
      <c r="BB93" s="104">
        <v>71</v>
      </c>
      <c r="BC93" s="36" t="s">
        <v>816</v>
      </c>
      <c r="BD93" s="36">
        <v>26</v>
      </c>
      <c r="BE93" s="36" t="s">
        <v>14</v>
      </c>
      <c r="BF93" s="36" t="s">
        <v>894</v>
      </c>
      <c r="BG93" s="36"/>
      <c r="BH93" s="36" t="s">
        <v>61</v>
      </c>
      <c r="BI93" s="36" t="s">
        <v>829</v>
      </c>
    </row>
    <row r="94" spans="49:61" x14ac:dyDescent="0.25">
      <c r="AW94" s="136" t="s">
        <v>18</v>
      </c>
      <c r="AX94" s="136" t="s">
        <v>173</v>
      </c>
      <c r="AY94" s="136" t="s">
        <v>165</v>
      </c>
      <c r="AZ94" s="136" t="str">
        <f t="shared" si="18"/>
        <v>CorseAutresPrunier</v>
      </c>
      <c r="BB94" s="104">
        <v>72</v>
      </c>
      <c r="BC94" s="36" t="s">
        <v>817</v>
      </c>
      <c r="BD94" s="36">
        <v>52</v>
      </c>
      <c r="BE94" s="36" t="s">
        <v>847</v>
      </c>
      <c r="BF94" s="36" t="s">
        <v>27</v>
      </c>
      <c r="BG94" s="36"/>
      <c r="BH94" s="36" t="s">
        <v>658</v>
      </c>
      <c r="BI94" s="36" t="s">
        <v>830</v>
      </c>
    </row>
    <row r="95" spans="49:61" x14ac:dyDescent="0.25">
      <c r="AW95" s="136" t="s">
        <v>18</v>
      </c>
      <c r="AX95" s="136" t="s">
        <v>135</v>
      </c>
      <c r="AY95" s="136" t="s">
        <v>135</v>
      </c>
      <c r="AZ95" s="136" t="str">
        <f t="shared" si="18"/>
        <v>CorseCerisierCerisier</v>
      </c>
      <c r="BB95" s="104">
        <v>73</v>
      </c>
      <c r="BC95" s="36" t="s">
        <v>818</v>
      </c>
      <c r="BD95" s="36">
        <v>82</v>
      </c>
      <c r="BE95" s="36" t="s">
        <v>31</v>
      </c>
      <c r="BF95" s="36" t="s">
        <v>893</v>
      </c>
      <c r="BG95" s="36"/>
      <c r="BH95" s="36" t="s">
        <v>658</v>
      </c>
      <c r="BI95" s="36" t="s">
        <v>831</v>
      </c>
    </row>
    <row r="96" spans="49:61" x14ac:dyDescent="0.25">
      <c r="AW96" s="136" t="s">
        <v>18</v>
      </c>
      <c r="AX96" s="136" t="s">
        <v>148</v>
      </c>
      <c r="AY96" s="136" t="s">
        <v>148</v>
      </c>
      <c r="AZ96" s="136" t="str">
        <f t="shared" si="18"/>
        <v>CorseMirabellierMirabellier</v>
      </c>
      <c r="BB96" s="104">
        <v>77</v>
      </c>
      <c r="BC96" s="36" t="s">
        <v>822</v>
      </c>
      <c r="BD96" s="36">
        <v>11</v>
      </c>
      <c r="BE96" s="36" t="s">
        <v>849</v>
      </c>
      <c r="BF96" s="36" t="s">
        <v>296</v>
      </c>
      <c r="BG96" s="36"/>
      <c r="BH96" s="36" t="s">
        <v>659</v>
      </c>
      <c r="BI96" s="36" t="s">
        <v>832</v>
      </c>
    </row>
    <row r="97" spans="49:61" x14ac:dyDescent="0.25">
      <c r="AW97" s="136" t="s">
        <v>18</v>
      </c>
      <c r="AX97" s="136" t="s">
        <v>154</v>
      </c>
      <c r="AY97" s="136" t="s">
        <v>640</v>
      </c>
      <c r="AZ97" s="136" t="str">
        <f t="shared" si="18"/>
        <v>CorseNectarinierNectarinier-Pêcher</v>
      </c>
      <c r="BB97" s="104">
        <v>76</v>
      </c>
      <c r="BC97" s="36" t="s">
        <v>821</v>
      </c>
      <c r="BD97" s="36">
        <v>23</v>
      </c>
      <c r="BE97" s="36" t="s">
        <v>20</v>
      </c>
      <c r="BF97" s="36" t="s">
        <v>898</v>
      </c>
      <c r="BG97" s="36"/>
      <c r="BH97" s="36" t="s">
        <v>645</v>
      </c>
      <c r="BI97" s="36" t="s">
        <v>833</v>
      </c>
    </row>
    <row r="98" spans="49:61" x14ac:dyDescent="0.25">
      <c r="AW98" s="136" t="s">
        <v>18</v>
      </c>
      <c r="AX98" s="136" t="s">
        <v>157</v>
      </c>
      <c r="AY98" s="136" t="s">
        <v>157</v>
      </c>
      <c r="AZ98" s="136" t="str">
        <f t="shared" si="18"/>
        <v>CorseNoyerNoyer</v>
      </c>
      <c r="BB98" s="104">
        <v>93</v>
      </c>
      <c r="BC98" s="36" t="s">
        <v>838</v>
      </c>
      <c r="BD98" s="36">
        <v>11</v>
      </c>
      <c r="BE98" s="36" t="s">
        <v>849</v>
      </c>
      <c r="BF98" s="36" t="s">
        <v>296</v>
      </c>
      <c r="BG98" s="36"/>
      <c r="BH98" s="36" t="s">
        <v>14</v>
      </c>
      <c r="BI98" s="36" t="s">
        <v>834</v>
      </c>
    </row>
    <row r="99" spans="49:61" x14ac:dyDescent="0.25">
      <c r="AW99" s="136" t="s">
        <v>18</v>
      </c>
      <c r="AX99" s="136" t="s">
        <v>161</v>
      </c>
      <c r="AY99" s="136" t="s">
        <v>640</v>
      </c>
      <c r="AZ99" s="136" t="str">
        <f t="shared" si="18"/>
        <v>CorsePêcherNectarinier-Pêcher</v>
      </c>
      <c r="BB99" s="104">
        <v>80</v>
      </c>
      <c r="BC99" s="36" t="s">
        <v>825</v>
      </c>
      <c r="BD99" s="36">
        <v>22</v>
      </c>
      <c r="BE99" s="36" t="s">
        <v>28</v>
      </c>
      <c r="BF99" s="36" t="s">
        <v>897</v>
      </c>
      <c r="BG99" s="36"/>
      <c r="BH99" s="36" t="s">
        <v>659</v>
      </c>
      <c r="BI99" s="36" t="s">
        <v>835</v>
      </c>
    </row>
    <row r="100" spans="49:61" x14ac:dyDescent="0.25">
      <c r="AW100" s="136" t="s">
        <v>18</v>
      </c>
      <c r="AX100" s="136" t="s">
        <v>162</v>
      </c>
      <c r="AY100" s="136" t="s">
        <v>162</v>
      </c>
      <c r="AZ100" s="136" t="str">
        <f t="shared" si="18"/>
        <v>CorsePoirierPoirier</v>
      </c>
      <c r="BB100" s="104">
        <v>81</v>
      </c>
      <c r="BC100" s="36" t="s">
        <v>826</v>
      </c>
      <c r="BD100" s="36">
        <v>73</v>
      </c>
      <c r="BE100" s="36" t="s">
        <v>25</v>
      </c>
      <c r="BF100" s="36" t="s">
        <v>900</v>
      </c>
      <c r="BG100" s="36"/>
      <c r="BH100" s="36" t="s">
        <v>659</v>
      </c>
      <c r="BI100" s="36" t="s">
        <v>836</v>
      </c>
    </row>
    <row r="101" spans="49:61" x14ac:dyDescent="0.25">
      <c r="AW101" s="136" t="s">
        <v>18</v>
      </c>
      <c r="AX101" s="136" t="s">
        <v>164</v>
      </c>
      <c r="AY101" s="136" t="s">
        <v>164</v>
      </c>
      <c r="AZ101" s="136" t="str">
        <f t="shared" si="18"/>
        <v>CorsePommierPommier</v>
      </c>
      <c r="BB101" s="104">
        <v>82</v>
      </c>
      <c r="BC101" s="36" t="s">
        <v>827</v>
      </c>
      <c r="BD101" s="36">
        <v>73</v>
      </c>
      <c r="BE101" s="36" t="s">
        <v>25</v>
      </c>
      <c r="BF101" s="36" t="s">
        <v>900</v>
      </c>
      <c r="BG101" s="36"/>
      <c r="BH101" s="36" t="s">
        <v>659</v>
      </c>
      <c r="BI101" s="36" t="s">
        <v>837</v>
      </c>
    </row>
    <row r="102" spans="49:61" x14ac:dyDescent="0.25">
      <c r="AW102" s="136" t="s">
        <v>18</v>
      </c>
      <c r="AX102" s="136" t="s">
        <v>165</v>
      </c>
      <c r="AY102" s="136" t="s">
        <v>165</v>
      </c>
      <c r="AZ102" s="136" t="str">
        <f t="shared" si="18"/>
        <v>CorsePrunierPrunier</v>
      </c>
      <c r="BB102" s="104">
        <v>984</v>
      </c>
      <c r="BC102" s="36" t="s">
        <v>5109</v>
      </c>
      <c r="BD102" s="36">
        <v>984</v>
      </c>
      <c r="BE102" s="36" t="s">
        <v>5109</v>
      </c>
      <c r="BF102" s="36" t="s">
        <v>5109</v>
      </c>
      <c r="BG102" s="36"/>
      <c r="BH102" s="36" t="s">
        <v>659</v>
      </c>
      <c r="BI102" s="36" t="s">
        <v>838</v>
      </c>
    </row>
    <row r="103" spans="49:61" x14ac:dyDescent="0.25">
      <c r="AW103" s="136" t="s">
        <v>19</v>
      </c>
      <c r="AX103" s="136" t="s">
        <v>130</v>
      </c>
      <c r="AY103" s="136" t="s">
        <v>130</v>
      </c>
      <c r="AZ103" s="136" t="str">
        <f t="shared" si="18"/>
        <v>Franche-ComtéAbricotierAbricotier</v>
      </c>
      <c r="BB103" s="104">
        <v>90</v>
      </c>
      <c r="BC103" s="36" t="s">
        <v>835</v>
      </c>
      <c r="BD103" s="36">
        <v>43</v>
      </c>
      <c r="BE103" s="36" t="s">
        <v>19</v>
      </c>
      <c r="BF103" s="36" t="s">
        <v>894</v>
      </c>
      <c r="BG103" s="36"/>
      <c r="BH103" s="36" t="s">
        <v>659</v>
      </c>
      <c r="BI103" s="36" t="s">
        <v>839</v>
      </c>
    </row>
    <row r="104" spans="49:61" x14ac:dyDescent="0.25">
      <c r="AW104" s="136" t="s">
        <v>19</v>
      </c>
      <c r="AX104" s="136" t="s">
        <v>639</v>
      </c>
      <c r="AY104" s="136" t="s">
        <v>138</v>
      </c>
      <c r="AZ104" s="136" t="str">
        <f t="shared" si="18"/>
        <v>Franche-ComtéAgrumesClémentinier</v>
      </c>
      <c r="BB104" s="104">
        <v>94</v>
      </c>
      <c r="BC104" s="36" t="s">
        <v>839</v>
      </c>
      <c r="BD104" s="36">
        <v>11</v>
      </c>
      <c r="BE104" s="36" t="s">
        <v>849</v>
      </c>
      <c r="BF104" s="36" t="s">
        <v>296</v>
      </c>
      <c r="BG104" s="36"/>
      <c r="BH104" s="36" t="s">
        <v>659</v>
      </c>
      <c r="BI104" s="36" t="s">
        <v>840</v>
      </c>
    </row>
    <row r="105" spans="49:61" x14ac:dyDescent="0.25">
      <c r="AW105" s="136" t="s">
        <v>19</v>
      </c>
      <c r="AX105" s="136" t="s">
        <v>173</v>
      </c>
      <c r="AY105" s="136" t="s">
        <v>165</v>
      </c>
      <c r="AZ105" s="136" t="str">
        <f t="shared" si="18"/>
        <v>Franche-ComtéAutresPrunier</v>
      </c>
      <c r="BB105" s="104">
        <v>95</v>
      </c>
      <c r="BC105" s="36" t="s">
        <v>840</v>
      </c>
      <c r="BD105" s="36">
        <v>11</v>
      </c>
      <c r="BE105" s="36" t="s">
        <v>849</v>
      </c>
      <c r="BF105" s="36" t="s">
        <v>296</v>
      </c>
      <c r="BG105" s="36"/>
      <c r="BH105" s="36" t="s">
        <v>5103</v>
      </c>
      <c r="BI105" s="36" t="s">
        <v>288</v>
      </c>
    </row>
    <row r="106" spans="49:61" x14ac:dyDescent="0.25">
      <c r="AW106" s="136" t="s">
        <v>19</v>
      </c>
      <c r="AX106" s="136" t="s">
        <v>135</v>
      </c>
      <c r="AY106" s="136" t="s">
        <v>135</v>
      </c>
      <c r="AZ106" s="136" t="str">
        <f t="shared" si="18"/>
        <v>Franche-ComtéCerisierCerisier</v>
      </c>
      <c r="BB106" s="104">
        <v>83</v>
      </c>
      <c r="BC106" s="36" t="s">
        <v>828</v>
      </c>
      <c r="BD106" s="36">
        <v>93</v>
      </c>
      <c r="BE106" s="36" t="s">
        <v>30</v>
      </c>
      <c r="BF106" s="36" t="s">
        <v>30</v>
      </c>
      <c r="BG106" s="36"/>
      <c r="BH106" s="36" t="s">
        <v>5103</v>
      </c>
      <c r="BI106" s="36" t="s">
        <v>290</v>
      </c>
    </row>
    <row r="107" spans="49:61" x14ac:dyDescent="0.25">
      <c r="AW107" s="136" t="s">
        <v>19</v>
      </c>
      <c r="AX107" s="136" t="s">
        <v>148</v>
      </c>
      <c r="AY107" s="136" t="s">
        <v>148</v>
      </c>
      <c r="AZ107" s="136" t="str">
        <f t="shared" si="18"/>
        <v>Franche-ComtéMirabellierMirabellier</v>
      </c>
      <c r="BB107" s="104">
        <v>84</v>
      </c>
      <c r="BC107" s="36" t="s">
        <v>829</v>
      </c>
      <c r="BD107" s="36">
        <v>93</v>
      </c>
      <c r="BE107" s="36" t="s">
        <v>30</v>
      </c>
      <c r="BF107" s="36" t="s">
        <v>30</v>
      </c>
      <c r="BG107" s="36"/>
      <c r="BH107" s="36" t="s">
        <v>5103</v>
      </c>
      <c r="BI107" s="36" t="s">
        <v>289</v>
      </c>
    </row>
    <row r="108" spans="49:61" x14ac:dyDescent="0.25">
      <c r="AW108" s="136" t="s">
        <v>19</v>
      </c>
      <c r="AX108" s="136" t="s">
        <v>154</v>
      </c>
      <c r="AY108" s="136" t="s">
        <v>640</v>
      </c>
      <c r="AZ108" s="136" t="str">
        <f t="shared" si="18"/>
        <v>Franche-ComtéNectarinierNectarinier-Pêcher</v>
      </c>
      <c r="BB108" s="104">
        <v>85</v>
      </c>
      <c r="BC108" s="36" t="s">
        <v>830</v>
      </c>
      <c r="BD108" s="36">
        <v>52</v>
      </c>
      <c r="BE108" s="36" t="s">
        <v>847</v>
      </c>
      <c r="BF108" s="36" t="s">
        <v>27</v>
      </c>
      <c r="BG108" s="36"/>
      <c r="BH108" s="36" t="s">
        <v>5103</v>
      </c>
      <c r="BI108" s="36" t="s">
        <v>841</v>
      </c>
    </row>
    <row r="109" spans="49:61" x14ac:dyDescent="0.25">
      <c r="AW109" s="136" t="s">
        <v>19</v>
      </c>
      <c r="AX109" s="136" t="s">
        <v>157</v>
      </c>
      <c r="AY109" s="136" t="s">
        <v>157</v>
      </c>
      <c r="AZ109" s="136" t="str">
        <f t="shared" si="18"/>
        <v>Franche-ComtéNoyerNoyer</v>
      </c>
      <c r="BB109" s="104">
        <v>86</v>
      </c>
      <c r="BC109" s="36" t="s">
        <v>831</v>
      </c>
      <c r="BD109" s="36">
        <v>54</v>
      </c>
      <c r="BE109" s="36" t="s">
        <v>29</v>
      </c>
      <c r="BF109" s="36" t="s">
        <v>899</v>
      </c>
      <c r="BG109" s="36"/>
      <c r="BH109" s="36" t="s">
        <v>5103</v>
      </c>
      <c r="BI109" s="36" t="s">
        <v>5106</v>
      </c>
    </row>
    <row r="110" spans="49:61" x14ac:dyDescent="0.25">
      <c r="AW110" s="136" t="s">
        <v>19</v>
      </c>
      <c r="AX110" s="136" t="s">
        <v>161</v>
      </c>
      <c r="AY110" s="136" t="s">
        <v>640</v>
      </c>
      <c r="AZ110" s="136" t="str">
        <f t="shared" si="18"/>
        <v>Franche-ComtéPêcherNectarinier-Pêcher</v>
      </c>
      <c r="BB110" s="104">
        <v>88</v>
      </c>
      <c r="BC110" s="36" t="s">
        <v>833</v>
      </c>
      <c r="BD110" s="36">
        <v>41</v>
      </c>
      <c r="BE110" s="36" t="s">
        <v>24</v>
      </c>
      <c r="BF110" s="36" t="s">
        <v>896</v>
      </c>
      <c r="BG110" s="36"/>
      <c r="BH110" s="36" t="s">
        <v>5103</v>
      </c>
      <c r="BI110" s="36" t="s">
        <v>842</v>
      </c>
    </row>
    <row r="111" spans="49:61" x14ac:dyDescent="0.25">
      <c r="AW111" s="136" t="s">
        <v>19</v>
      </c>
      <c r="AX111" s="136" t="s">
        <v>162</v>
      </c>
      <c r="AY111" s="136" t="s">
        <v>162</v>
      </c>
      <c r="AZ111" s="136" t="str">
        <f t="shared" si="18"/>
        <v>Franche-ComtéPoirierPoirier</v>
      </c>
      <c r="BB111" s="104">
        <v>986</v>
      </c>
      <c r="BC111" s="36" t="s">
        <v>5110</v>
      </c>
      <c r="BD111" s="36">
        <v>986</v>
      </c>
      <c r="BE111" s="36" t="s">
        <v>5110</v>
      </c>
      <c r="BF111" s="36" t="s">
        <v>5110</v>
      </c>
      <c r="BG111" s="36"/>
      <c r="BH111" s="36" t="s">
        <v>5103</v>
      </c>
      <c r="BI111" s="36" t="s">
        <v>5107</v>
      </c>
    </row>
    <row r="112" spans="49:61" x14ac:dyDescent="0.25">
      <c r="AW112" s="136" t="s">
        <v>19</v>
      </c>
      <c r="AX112" s="136" t="s">
        <v>164</v>
      </c>
      <c r="AY112" s="136" t="s">
        <v>164</v>
      </c>
      <c r="AZ112" s="136" t="str">
        <f t="shared" si="18"/>
        <v>Franche-ComtéPommierPommier</v>
      </c>
      <c r="BB112" s="104">
        <v>89</v>
      </c>
      <c r="BC112" s="36" t="s">
        <v>834</v>
      </c>
      <c r="BD112" s="36">
        <v>26</v>
      </c>
      <c r="BE112" s="36" t="s">
        <v>14</v>
      </c>
      <c r="BF112" s="36" t="s">
        <v>894</v>
      </c>
      <c r="BG112" s="36"/>
      <c r="BH112" s="36" t="s">
        <v>5103</v>
      </c>
      <c r="BI112" s="36" t="s">
        <v>5108</v>
      </c>
    </row>
    <row r="113" spans="49:61" x14ac:dyDescent="0.25">
      <c r="AW113" s="136" t="s">
        <v>19</v>
      </c>
      <c r="AX113" s="136" t="s">
        <v>165</v>
      </c>
      <c r="AY113" s="136" t="s">
        <v>165</v>
      </c>
      <c r="AZ113" s="136" t="str">
        <f t="shared" si="18"/>
        <v>Franche-ComtéPrunierPrunier</v>
      </c>
      <c r="BB113" s="104">
        <v>78</v>
      </c>
      <c r="BC113" s="36" t="s">
        <v>823</v>
      </c>
      <c r="BD113" s="36">
        <v>11</v>
      </c>
      <c r="BE113" s="36" t="s">
        <v>849</v>
      </c>
      <c r="BF113" s="36" t="s">
        <v>296</v>
      </c>
      <c r="BH113" s="36" t="s">
        <v>5103</v>
      </c>
      <c r="BI113" s="36" t="s">
        <v>5109</v>
      </c>
    </row>
    <row r="114" spans="49:61" x14ac:dyDescent="0.25">
      <c r="AW114" s="136" t="s">
        <v>288</v>
      </c>
      <c r="AX114" s="136" t="s">
        <v>130</v>
      </c>
      <c r="AY114" s="136" t="s">
        <v>174</v>
      </c>
      <c r="AZ114" s="136" t="str">
        <f t="shared" si="18"/>
        <v>GuadeloupeAbricotierBananier</v>
      </c>
      <c r="BH114" s="36" t="s">
        <v>5103</v>
      </c>
      <c r="BI114" s="36" t="s">
        <v>5110</v>
      </c>
    </row>
    <row r="115" spans="49:61" x14ac:dyDescent="0.25">
      <c r="AW115" s="136" t="s">
        <v>288</v>
      </c>
      <c r="AX115" s="136" t="s">
        <v>639</v>
      </c>
      <c r="AY115" s="136" t="s">
        <v>174</v>
      </c>
      <c r="AZ115" s="136" t="str">
        <f t="shared" si="18"/>
        <v>GuadeloupeAgrumesBananier</v>
      </c>
      <c r="BH115" s="36" t="s">
        <v>5103</v>
      </c>
      <c r="BI115" s="36" t="s">
        <v>5111</v>
      </c>
    </row>
    <row r="116" spans="49:61" x14ac:dyDescent="0.25">
      <c r="AW116" s="136" t="s">
        <v>288</v>
      </c>
      <c r="AX116" s="136" t="s">
        <v>173</v>
      </c>
      <c r="AY116" s="136" t="s">
        <v>174</v>
      </c>
      <c r="AZ116" s="136" t="str">
        <f t="shared" si="18"/>
        <v>GuadeloupeAutresBananier</v>
      </c>
      <c r="BH116" s="36" t="s">
        <v>5103</v>
      </c>
      <c r="BI116" s="36" t="s">
        <v>5112</v>
      </c>
    </row>
    <row r="117" spans="49:61" x14ac:dyDescent="0.25">
      <c r="AW117" s="136" t="s">
        <v>288</v>
      </c>
      <c r="AX117" s="136" t="s">
        <v>174</v>
      </c>
      <c r="AY117" s="136" t="s">
        <v>174</v>
      </c>
      <c r="AZ117" s="136" t="str">
        <f t="shared" si="18"/>
        <v>GuadeloupeBananierBananier</v>
      </c>
      <c r="BH117" s="36" t="s">
        <v>5103</v>
      </c>
      <c r="BI117" s="36" t="s">
        <v>5113</v>
      </c>
    </row>
    <row r="118" spans="49:61" x14ac:dyDescent="0.25">
      <c r="AW118" s="136" t="s">
        <v>288</v>
      </c>
      <c r="AX118" s="136" t="s">
        <v>135</v>
      </c>
      <c r="AY118" s="136" t="s">
        <v>174</v>
      </c>
      <c r="AZ118" s="136" t="str">
        <f t="shared" si="18"/>
        <v>GuadeloupeCerisierBananier</v>
      </c>
    </row>
    <row r="119" spans="49:61" x14ac:dyDescent="0.25">
      <c r="AW119" s="136" t="s">
        <v>288</v>
      </c>
      <c r="AX119" s="136" t="s">
        <v>148</v>
      </c>
      <c r="AY119" s="136" t="s">
        <v>174</v>
      </c>
      <c r="AZ119" s="136" t="str">
        <f t="shared" si="18"/>
        <v>GuadeloupeMirabellierBananier</v>
      </c>
    </row>
    <row r="120" spans="49:61" x14ac:dyDescent="0.25">
      <c r="AW120" s="136" t="s">
        <v>288</v>
      </c>
      <c r="AX120" s="136" t="s">
        <v>154</v>
      </c>
      <c r="AY120" s="136" t="s">
        <v>174</v>
      </c>
      <c r="AZ120" s="136" t="str">
        <f t="shared" si="18"/>
        <v>GuadeloupeNectarinierBananier</v>
      </c>
    </row>
    <row r="121" spans="49:61" x14ac:dyDescent="0.25">
      <c r="AW121" s="136" t="s">
        <v>288</v>
      </c>
      <c r="AX121" s="136" t="s">
        <v>157</v>
      </c>
      <c r="AY121" s="136" t="s">
        <v>174</v>
      </c>
      <c r="AZ121" s="136" t="str">
        <f t="shared" si="18"/>
        <v>GuadeloupeNoyerBananier</v>
      </c>
    </row>
    <row r="122" spans="49:61" x14ac:dyDescent="0.25">
      <c r="AW122" s="136" t="s">
        <v>288</v>
      </c>
      <c r="AX122" s="136" t="s">
        <v>161</v>
      </c>
      <c r="AY122" s="136" t="s">
        <v>174</v>
      </c>
      <c r="AZ122" s="136" t="str">
        <f t="shared" si="18"/>
        <v>GuadeloupePêcherBananier</v>
      </c>
    </row>
    <row r="123" spans="49:61" x14ac:dyDescent="0.25">
      <c r="AW123" s="136" t="s">
        <v>288</v>
      </c>
      <c r="AX123" s="136" t="s">
        <v>162</v>
      </c>
      <c r="AY123" s="136" t="s">
        <v>174</v>
      </c>
      <c r="AZ123" s="136" t="str">
        <f t="shared" si="18"/>
        <v>GuadeloupePoirierBananier</v>
      </c>
    </row>
    <row r="124" spans="49:61" x14ac:dyDescent="0.25">
      <c r="AW124" s="136" t="s">
        <v>288</v>
      </c>
      <c r="AX124" s="136" t="s">
        <v>164</v>
      </c>
      <c r="AY124" s="136" t="s">
        <v>174</v>
      </c>
      <c r="AZ124" s="136" t="str">
        <f t="shared" si="18"/>
        <v>GuadeloupePommierBananier</v>
      </c>
    </row>
    <row r="125" spans="49:61" x14ac:dyDescent="0.25">
      <c r="AW125" s="136" t="s">
        <v>288</v>
      </c>
      <c r="AX125" s="136" t="s">
        <v>165</v>
      </c>
      <c r="AY125" s="136" t="s">
        <v>174</v>
      </c>
      <c r="AZ125" s="136" t="str">
        <f t="shared" si="18"/>
        <v>GuadeloupePrunierBananier</v>
      </c>
    </row>
    <row r="126" spans="49:61" x14ac:dyDescent="0.25">
      <c r="AW126" s="136" t="s">
        <v>289</v>
      </c>
      <c r="AX126" s="136" t="s">
        <v>130</v>
      </c>
      <c r="AY126" s="136" t="s">
        <v>639</v>
      </c>
      <c r="AZ126" s="136" t="str">
        <f t="shared" si="18"/>
        <v>GuyaneAbricotierAgrumes</v>
      </c>
    </row>
    <row r="127" spans="49:61" x14ac:dyDescent="0.25">
      <c r="AW127" s="136" t="s">
        <v>289</v>
      </c>
      <c r="AX127" s="136" t="s">
        <v>639</v>
      </c>
      <c r="AY127" s="136" t="s">
        <v>639</v>
      </c>
      <c r="AZ127" s="136" t="str">
        <f t="shared" si="18"/>
        <v>GuyaneAgrumesAgrumes</v>
      </c>
    </row>
    <row r="128" spans="49:61" x14ac:dyDescent="0.25">
      <c r="AW128" s="136" t="s">
        <v>289</v>
      </c>
      <c r="AX128" s="136" t="s">
        <v>173</v>
      </c>
      <c r="AY128" s="136" t="s">
        <v>639</v>
      </c>
      <c r="AZ128" s="136" t="str">
        <f t="shared" si="18"/>
        <v>GuyaneAutresAgrumes</v>
      </c>
    </row>
    <row r="129" spans="49:52" x14ac:dyDescent="0.25">
      <c r="AW129" s="136" t="s">
        <v>289</v>
      </c>
      <c r="AX129" s="136" t="s">
        <v>174</v>
      </c>
      <c r="AY129" s="136" t="s">
        <v>639</v>
      </c>
      <c r="AZ129" s="136" t="str">
        <f t="shared" si="18"/>
        <v>GuyaneBananierAgrumes</v>
      </c>
    </row>
    <row r="130" spans="49:52" x14ac:dyDescent="0.25">
      <c r="AW130" s="136" t="s">
        <v>289</v>
      </c>
      <c r="AX130" s="136" t="s">
        <v>135</v>
      </c>
      <c r="AY130" s="136" t="s">
        <v>639</v>
      </c>
      <c r="AZ130" s="136" t="str">
        <f t="shared" si="18"/>
        <v>GuyaneCerisierAgrumes</v>
      </c>
    </row>
    <row r="131" spans="49:52" x14ac:dyDescent="0.25">
      <c r="AW131" s="136" t="s">
        <v>289</v>
      </c>
      <c r="AX131" s="136" t="s">
        <v>148</v>
      </c>
      <c r="AY131" s="136" t="s">
        <v>639</v>
      </c>
      <c r="AZ131" s="136" t="str">
        <f t="shared" si="18"/>
        <v>GuyaneMirabellierAgrumes</v>
      </c>
    </row>
    <row r="132" spans="49:52" x14ac:dyDescent="0.25">
      <c r="AW132" s="136" t="s">
        <v>289</v>
      </c>
      <c r="AX132" s="136" t="s">
        <v>154</v>
      </c>
      <c r="AY132" s="136" t="s">
        <v>639</v>
      </c>
      <c r="AZ132" s="136" t="str">
        <f t="shared" si="18"/>
        <v>GuyaneNectarinierAgrumes</v>
      </c>
    </row>
    <row r="133" spans="49:52" x14ac:dyDescent="0.25">
      <c r="AW133" s="136" t="s">
        <v>289</v>
      </c>
      <c r="AX133" s="136" t="s">
        <v>157</v>
      </c>
      <c r="AY133" s="136" t="s">
        <v>639</v>
      </c>
      <c r="AZ133" s="136" t="str">
        <f t="shared" si="18"/>
        <v>GuyaneNoyerAgrumes</v>
      </c>
    </row>
    <row r="134" spans="49:52" x14ac:dyDescent="0.25">
      <c r="AW134" s="136" t="s">
        <v>289</v>
      </c>
      <c r="AX134" s="136" t="s">
        <v>161</v>
      </c>
      <c r="AY134" s="136" t="s">
        <v>639</v>
      </c>
      <c r="AZ134" s="136" t="str">
        <f t="shared" ref="AZ134:AZ197" si="19">AW134&amp;AX134&amp;AY134</f>
        <v>GuyanePêcherAgrumes</v>
      </c>
    </row>
    <row r="135" spans="49:52" x14ac:dyDescent="0.25">
      <c r="AW135" s="136" t="s">
        <v>289</v>
      </c>
      <c r="AX135" s="136" t="s">
        <v>162</v>
      </c>
      <c r="AY135" s="136" t="s">
        <v>639</v>
      </c>
      <c r="AZ135" s="136" t="str">
        <f t="shared" si="19"/>
        <v>GuyanePoirierAgrumes</v>
      </c>
    </row>
    <row r="136" spans="49:52" x14ac:dyDescent="0.25">
      <c r="AW136" s="136" t="s">
        <v>289</v>
      </c>
      <c r="AX136" s="136" t="s">
        <v>164</v>
      </c>
      <c r="AY136" s="136" t="s">
        <v>639</v>
      </c>
      <c r="AZ136" s="136" t="str">
        <f t="shared" si="19"/>
        <v>GuyanePommierAgrumes</v>
      </c>
    </row>
    <row r="137" spans="49:52" x14ac:dyDescent="0.25">
      <c r="AW137" s="136" t="s">
        <v>289</v>
      </c>
      <c r="AX137" s="136" t="s">
        <v>165</v>
      </c>
      <c r="AY137" s="136" t="s">
        <v>639</v>
      </c>
      <c r="AZ137" s="136" t="str">
        <f t="shared" si="19"/>
        <v>GuyanePrunierAgrumes</v>
      </c>
    </row>
    <row r="138" spans="49:52" x14ac:dyDescent="0.25">
      <c r="AW138" s="136" t="s">
        <v>20</v>
      </c>
      <c r="AX138" s="136" t="s">
        <v>130</v>
      </c>
      <c r="AY138" s="136" t="s">
        <v>130</v>
      </c>
      <c r="AZ138" s="136" t="str">
        <f t="shared" si="19"/>
        <v>Haute-NormandieAbricotierAbricotier</v>
      </c>
    </row>
    <row r="139" spans="49:52" x14ac:dyDescent="0.25">
      <c r="AW139" s="136" t="s">
        <v>20</v>
      </c>
      <c r="AX139" s="136" t="s">
        <v>639</v>
      </c>
      <c r="AY139" s="136" t="s">
        <v>138</v>
      </c>
      <c r="AZ139" s="136" t="str">
        <f t="shared" si="19"/>
        <v>Haute-NormandieAgrumesClémentinier</v>
      </c>
    </row>
    <row r="140" spans="49:52" x14ac:dyDescent="0.25">
      <c r="AW140" s="136" t="s">
        <v>20</v>
      </c>
      <c r="AX140" s="136" t="s">
        <v>173</v>
      </c>
      <c r="AY140" s="136" t="s">
        <v>165</v>
      </c>
      <c r="AZ140" s="136" t="str">
        <f t="shared" si="19"/>
        <v>Haute-NormandieAutresPrunier</v>
      </c>
    </row>
    <row r="141" spans="49:52" x14ac:dyDescent="0.25">
      <c r="AW141" s="136" t="s">
        <v>20</v>
      </c>
      <c r="AX141" s="136" t="s">
        <v>135</v>
      </c>
      <c r="AY141" s="136" t="s">
        <v>135</v>
      </c>
      <c r="AZ141" s="136" t="str">
        <f t="shared" si="19"/>
        <v>Haute-NormandieCerisierCerisier</v>
      </c>
    </row>
    <row r="142" spans="49:52" x14ac:dyDescent="0.25">
      <c r="AW142" s="136" t="s">
        <v>20</v>
      </c>
      <c r="AX142" s="136" t="s">
        <v>148</v>
      </c>
      <c r="AY142" s="136" t="s">
        <v>148</v>
      </c>
      <c r="AZ142" s="136" t="str">
        <f t="shared" si="19"/>
        <v>Haute-NormandieMirabellierMirabellier</v>
      </c>
    </row>
    <row r="143" spans="49:52" x14ac:dyDescent="0.25">
      <c r="AW143" s="136" t="s">
        <v>20</v>
      </c>
      <c r="AX143" s="136" t="s">
        <v>154</v>
      </c>
      <c r="AY143" s="136" t="s">
        <v>640</v>
      </c>
      <c r="AZ143" s="136" t="str">
        <f t="shared" si="19"/>
        <v>Haute-NormandieNectarinierNectarinier-Pêcher</v>
      </c>
    </row>
    <row r="144" spans="49:52" x14ac:dyDescent="0.25">
      <c r="AW144" s="136" t="s">
        <v>20</v>
      </c>
      <c r="AX144" s="136" t="s">
        <v>157</v>
      </c>
      <c r="AY144" s="136" t="s">
        <v>157</v>
      </c>
      <c r="AZ144" s="136" t="str">
        <f t="shared" si="19"/>
        <v>Haute-NormandieNoyerNoyer</v>
      </c>
    </row>
    <row r="145" spans="49:52" x14ac:dyDescent="0.25">
      <c r="AW145" s="136" t="s">
        <v>20</v>
      </c>
      <c r="AX145" s="136" t="s">
        <v>161</v>
      </c>
      <c r="AY145" s="136" t="s">
        <v>640</v>
      </c>
      <c r="AZ145" s="136" t="str">
        <f t="shared" si="19"/>
        <v>Haute-NormandiePêcherNectarinier-Pêcher</v>
      </c>
    </row>
    <row r="146" spans="49:52" x14ac:dyDescent="0.25">
      <c r="AW146" s="136" t="s">
        <v>20</v>
      </c>
      <c r="AX146" s="136" t="s">
        <v>162</v>
      </c>
      <c r="AY146" s="136" t="s">
        <v>162</v>
      </c>
      <c r="AZ146" s="136" t="str">
        <f t="shared" si="19"/>
        <v>Haute-NormandiePoirierPoirier</v>
      </c>
    </row>
    <row r="147" spans="49:52" x14ac:dyDescent="0.25">
      <c r="AW147" s="136" t="s">
        <v>20</v>
      </c>
      <c r="AX147" s="136" t="s">
        <v>164</v>
      </c>
      <c r="AY147" s="136" t="s">
        <v>164</v>
      </c>
      <c r="AZ147" s="136" t="str">
        <f t="shared" si="19"/>
        <v>Haute-NormandiePommierPommier</v>
      </c>
    </row>
    <row r="148" spans="49:52" x14ac:dyDescent="0.25">
      <c r="AW148" s="136" t="s">
        <v>20</v>
      </c>
      <c r="AX148" s="136" t="s">
        <v>165</v>
      </c>
      <c r="AY148" s="136" t="s">
        <v>165</v>
      </c>
      <c r="AZ148" s="136" t="str">
        <f t="shared" si="19"/>
        <v>Haute-NormandiePrunierPrunier</v>
      </c>
    </row>
    <row r="149" spans="49:52" x14ac:dyDescent="0.25">
      <c r="AW149" s="136" t="s">
        <v>296</v>
      </c>
      <c r="AX149" s="136" t="s">
        <v>130</v>
      </c>
      <c r="AY149" s="136" t="s">
        <v>130</v>
      </c>
      <c r="AZ149" s="136" t="str">
        <f t="shared" si="19"/>
        <v>Île-de-FranceAbricotierAbricotier</v>
      </c>
    </row>
    <row r="150" spans="49:52" x14ac:dyDescent="0.25">
      <c r="AW150" s="136" t="s">
        <v>296</v>
      </c>
      <c r="AX150" s="136" t="s">
        <v>639</v>
      </c>
      <c r="AY150" s="136" t="s">
        <v>138</v>
      </c>
      <c r="AZ150" s="136" t="str">
        <f t="shared" si="19"/>
        <v>Île-de-FranceAgrumesClémentinier</v>
      </c>
    </row>
    <row r="151" spans="49:52" x14ac:dyDescent="0.25">
      <c r="AW151" s="136" t="s">
        <v>296</v>
      </c>
      <c r="AX151" s="136" t="s">
        <v>173</v>
      </c>
      <c r="AY151" s="136" t="s">
        <v>165</v>
      </c>
      <c r="AZ151" s="136" t="str">
        <f t="shared" si="19"/>
        <v>Île-de-FranceAutresPrunier</v>
      </c>
    </row>
    <row r="152" spans="49:52" x14ac:dyDescent="0.25">
      <c r="AW152" s="136" t="s">
        <v>296</v>
      </c>
      <c r="AX152" s="136" t="s">
        <v>135</v>
      </c>
      <c r="AY152" s="136" t="s">
        <v>135</v>
      </c>
      <c r="AZ152" s="136" t="str">
        <f t="shared" si="19"/>
        <v>Île-de-FranceCerisierCerisier</v>
      </c>
    </row>
    <row r="153" spans="49:52" x14ac:dyDescent="0.25">
      <c r="AW153" s="136" t="s">
        <v>296</v>
      </c>
      <c r="AX153" s="136" t="s">
        <v>148</v>
      </c>
      <c r="AY153" s="136" t="s">
        <v>148</v>
      </c>
      <c r="AZ153" s="136" t="str">
        <f t="shared" si="19"/>
        <v>Île-de-FranceMirabellierMirabellier</v>
      </c>
    </row>
    <row r="154" spans="49:52" x14ac:dyDescent="0.25">
      <c r="AW154" s="136" t="s">
        <v>296</v>
      </c>
      <c r="AX154" s="136" t="s">
        <v>154</v>
      </c>
      <c r="AY154" s="136" t="s">
        <v>640</v>
      </c>
      <c r="AZ154" s="136" t="str">
        <f t="shared" si="19"/>
        <v>Île-de-FranceNectarinierNectarinier-Pêcher</v>
      </c>
    </row>
    <row r="155" spans="49:52" x14ac:dyDescent="0.25">
      <c r="AW155" s="136" t="s">
        <v>296</v>
      </c>
      <c r="AX155" s="136" t="s">
        <v>157</v>
      </c>
      <c r="AY155" s="136" t="s">
        <v>157</v>
      </c>
      <c r="AZ155" s="136" t="str">
        <f t="shared" si="19"/>
        <v>Île-de-FranceNoyerNoyer</v>
      </c>
    </row>
    <row r="156" spans="49:52" x14ac:dyDescent="0.25">
      <c r="AW156" s="136" t="s">
        <v>296</v>
      </c>
      <c r="AX156" s="136" t="s">
        <v>161</v>
      </c>
      <c r="AY156" s="136" t="s">
        <v>640</v>
      </c>
      <c r="AZ156" s="136" t="str">
        <f t="shared" si="19"/>
        <v>Île-de-FrancePêcherNectarinier-Pêcher</v>
      </c>
    </row>
    <row r="157" spans="49:52" x14ac:dyDescent="0.25">
      <c r="AW157" s="136" t="s">
        <v>296</v>
      </c>
      <c r="AX157" s="136" t="s">
        <v>162</v>
      </c>
      <c r="AY157" s="136" t="s">
        <v>162</v>
      </c>
      <c r="AZ157" s="136" t="str">
        <f t="shared" si="19"/>
        <v>Île-de-FrancePoirierPoirier</v>
      </c>
    </row>
    <row r="158" spans="49:52" x14ac:dyDescent="0.25">
      <c r="AW158" s="136" t="s">
        <v>296</v>
      </c>
      <c r="AX158" s="136" t="s">
        <v>164</v>
      </c>
      <c r="AY158" s="136" t="s">
        <v>164</v>
      </c>
      <c r="AZ158" s="136" t="str">
        <f t="shared" si="19"/>
        <v>Île-de-FrancePommierPommier</v>
      </c>
    </row>
    <row r="159" spans="49:52" x14ac:dyDescent="0.25">
      <c r="AW159" s="136" t="s">
        <v>296</v>
      </c>
      <c r="AX159" s="136" t="s">
        <v>165</v>
      </c>
      <c r="AY159" s="136" t="s">
        <v>165</v>
      </c>
      <c r="AZ159" s="136" t="str">
        <f t="shared" si="19"/>
        <v>Île-de-FrancePrunierPrunier</v>
      </c>
    </row>
    <row r="160" spans="49:52" x14ac:dyDescent="0.25">
      <c r="AW160" s="136" t="s">
        <v>22</v>
      </c>
      <c r="AX160" s="136" t="s">
        <v>130</v>
      </c>
      <c r="AY160" s="136" t="s">
        <v>130</v>
      </c>
      <c r="AZ160" s="136" t="str">
        <f t="shared" si="19"/>
        <v>Languedoc-RoussillonAbricotierAbricotier</v>
      </c>
    </row>
    <row r="161" spans="49:52" x14ac:dyDescent="0.25">
      <c r="AW161" s="136" t="s">
        <v>22</v>
      </c>
      <c r="AX161" s="136" t="s">
        <v>639</v>
      </c>
      <c r="AY161" s="136" t="s">
        <v>138</v>
      </c>
      <c r="AZ161" s="136" t="str">
        <f t="shared" si="19"/>
        <v>Languedoc-RoussillonAgrumesClémentinier</v>
      </c>
    </row>
    <row r="162" spans="49:52" x14ac:dyDescent="0.25">
      <c r="AW162" s="136" t="s">
        <v>22</v>
      </c>
      <c r="AX162" s="136" t="s">
        <v>173</v>
      </c>
      <c r="AY162" s="136" t="s">
        <v>165</v>
      </c>
      <c r="AZ162" s="136" t="str">
        <f t="shared" si="19"/>
        <v>Languedoc-RoussillonAutresPrunier</v>
      </c>
    </row>
    <row r="163" spans="49:52" x14ac:dyDescent="0.25">
      <c r="AW163" s="136" t="s">
        <v>22</v>
      </c>
      <c r="AX163" s="136" t="s">
        <v>135</v>
      </c>
      <c r="AY163" s="136" t="s">
        <v>135</v>
      </c>
      <c r="AZ163" s="136" t="str">
        <f t="shared" si="19"/>
        <v>Languedoc-RoussillonCerisierCerisier</v>
      </c>
    </row>
    <row r="164" spans="49:52" x14ac:dyDescent="0.25">
      <c r="AW164" s="136" t="s">
        <v>22</v>
      </c>
      <c r="AX164" s="136" t="s">
        <v>148</v>
      </c>
      <c r="AY164" s="136" t="s">
        <v>148</v>
      </c>
      <c r="AZ164" s="136" t="str">
        <f t="shared" si="19"/>
        <v>Languedoc-RoussillonMirabellierMirabellier</v>
      </c>
    </row>
    <row r="165" spans="49:52" x14ac:dyDescent="0.25">
      <c r="AW165" s="136" t="s">
        <v>22</v>
      </c>
      <c r="AX165" s="136" t="s">
        <v>154</v>
      </c>
      <c r="AY165" s="136" t="s">
        <v>640</v>
      </c>
      <c r="AZ165" s="136" t="str">
        <f t="shared" si="19"/>
        <v>Languedoc-RoussillonNectarinierNectarinier-Pêcher</v>
      </c>
    </row>
    <row r="166" spans="49:52" x14ac:dyDescent="0.25">
      <c r="AW166" s="136" t="s">
        <v>22</v>
      </c>
      <c r="AX166" s="136" t="s">
        <v>157</v>
      </c>
      <c r="AY166" s="136" t="s">
        <v>157</v>
      </c>
      <c r="AZ166" s="136" t="str">
        <f t="shared" si="19"/>
        <v>Languedoc-RoussillonNoyerNoyer</v>
      </c>
    </row>
    <row r="167" spans="49:52" x14ac:dyDescent="0.25">
      <c r="AW167" s="136" t="s">
        <v>22</v>
      </c>
      <c r="AX167" s="136" t="s">
        <v>161</v>
      </c>
      <c r="AY167" s="136" t="s">
        <v>640</v>
      </c>
      <c r="AZ167" s="136" t="str">
        <f t="shared" si="19"/>
        <v>Languedoc-RoussillonPêcherNectarinier-Pêcher</v>
      </c>
    </row>
    <row r="168" spans="49:52" x14ac:dyDescent="0.25">
      <c r="AW168" s="136" t="s">
        <v>22</v>
      </c>
      <c r="AX168" s="136" t="s">
        <v>162</v>
      </c>
      <c r="AY168" s="136" t="s">
        <v>162</v>
      </c>
      <c r="AZ168" s="136" t="str">
        <f t="shared" si="19"/>
        <v>Languedoc-RoussillonPoirierPoirier</v>
      </c>
    </row>
    <row r="169" spans="49:52" x14ac:dyDescent="0.25">
      <c r="AW169" s="136" t="s">
        <v>22</v>
      </c>
      <c r="AX169" s="136" t="s">
        <v>164</v>
      </c>
      <c r="AY169" s="136" t="s">
        <v>164</v>
      </c>
      <c r="AZ169" s="136" t="str">
        <f t="shared" si="19"/>
        <v>Languedoc-RoussillonPommierPommier</v>
      </c>
    </row>
    <row r="170" spans="49:52" x14ac:dyDescent="0.25">
      <c r="AW170" s="136" t="s">
        <v>22</v>
      </c>
      <c r="AX170" s="136" t="s">
        <v>165</v>
      </c>
      <c r="AY170" s="136" t="s">
        <v>165</v>
      </c>
      <c r="AZ170" s="136" t="str">
        <f t="shared" si="19"/>
        <v>Languedoc-RoussillonPrunierPrunier</v>
      </c>
    </row>
    <row r="171" spans="49:52" x14ac:dyDescent="0.25">
      <c r="AW171" s="136" t="s">
        <v>23</v>
      </c>
      <c r="AX171" s="136" t="s">
        <v>130</v>
      </c>
      <c r="AY171" s="136" t="s">
        <v>130</v>
      </c>
      <c r="AZ171" s="136" t="str">
        <f t="shared" si="19"/>
        <v>LimousinAbricotierAbricotier</v>
      </c>
    </row>
    <row r="172" spans="49:52" x14ac:dyDescent="0.25">
      <c r="AW172" s="136" t="s">
        <v>23</v>
      </c>
      <c r="AX172" s="136" t="s">
        <v>639</v>
      </c>
      <c r="AY172" s="136" t="s">
        <v>138</v>
      </c>
      <c r="AZ172" s="136" t="str">
        <f t="shared" si="19"/>
        <v>LimousinAgrumesClémentinier</v>
      </c>
    </row>
    <row r="173" spans="49:52" x14ac:dyDescent="0.25">
      <c r="AW173" s="136" t="s">
        <v>23</v>
      </c>
      <c r="AX173" s="136" t="s">
        <v>173</v>
      </c>
      <c r="AY173" s="136" t="s">
        <v>165</v>
      </c>
      <c r="AZ173" s="136" t="str">
        <f t="shared" si="19"/>
        <v>LimousinAutresPrunier</v>
      </c>
    </row>
    <row r="174" spans="49:52" x14ac:dyDescent="0.25">
      <c r="AW174" s="136" t="s">
        <v>23</v>
      </c>
      <c r="AX174" s="136" t="s">
        <v>135</v>
      </c>
      <c r="AY174" s="136" t="s">
        <v>135</v>
      </c>
      <c r="AZ174" s="136" t="str">
        <f t="shared" si="19"/>
        <v>LimousinCerisierCerisier</v>
      </c>
    </row>
    <row r="175" spans="49:52" x14ac:dyDescent="0.25">
      <c r="AW175" s="136" t="s">
        <v>23</v>
      </c>
      <c r="AX175" s="136" t="s">
        <v>148</v>
      </c>
      <c r="AY175" s="136" t="s">
        <v>148</v>
      </c>
      <c r="AZ175" s="136" t="str">
        <f t="shared" si="19"/>
        <v>LimousinMirabellierMirabellier</v>
      </c>
    </row>
    <row r="176" spans="49:52" x14ac:dyDescent="0.25">
      <c r="AW176" s="136" t="s">
        <v>23</v>
      </c>
      <c r="AX176" s="136" t="s">
        <v>154</v>
      </c>
      <c r="AY176" s="136" t="s">
        <v>640</v>
      </c>
      <c r="AZ176" s="136" t="str">
        <f t="shared" si="19"/>
        <v>LimousinNectarinierNectarinier-Pêcher</v>
      </c>
    </row>
    <row r="177" spans="49:52" x14ac:dyDescent="0.25">
      <c r="AW177" s="136" t="s">
        <v>23</v>
      </c>
      <c r="AX177" s="136" t="s">
        <v>157</v>
      </c>
      <c r="AY177" s="136" t="s">
        <v>157</v>
      </c>
      <c r="AZ177" s="136" t="str">
        <f t="shared" si="19"/>
        <v>LimousinNoyerNoyer</v>
      </c>
    </row>
    <row r="178" spans="49:52" x14ac:dyDescent="0.25">
      <c r="AW178" s="136" t="s">
        <v>23</v>
      </c>
      <c r="AX178" s="136" t="s">
        <v>161</v>
      </c>
      <c r="AY178" s="136" t="s">
        <v>640</v>
      </c>
      <c r="AZ178" s="136" t="str">
        <f t="shared" si="19"/>
        <v>LimousinPêcherNectarinier-Pêcher</v>
      </c>
    </row>
    <row r="179" spans="49:52" x14ac:dyDescent="0.25">
      <c r="AW179" s="136" t="s">
        <v>23</v>
      </c>
      <c r="AX179" s="136" t="s">
        <v>162</v>
      </c>
      <c r="AY179" s="136" t="s">
        <v>162</v>
      </c>
      <c r="AZ179" s="136" t="str">
        <f t="shared" si="19"/>
        <v>LimousinPoirierPoirier</v>
      </c>
    </row>
    <row r="180" spans="49:52" x14ac:dyDescent="0.25">
      <c r="AW180" s="136" t="s">
        <v>23</v>
      </c>
      <c r="AX180" s="136" t="s">
        <v>164</v>
      </c>
      <c r="AY180" s="136" t="s">
        <v>164</v>
      </c>
      <c r="AZ180" s="136" t="str">
        <f t="shared" si="19"/>
        <v>LimousinPommierPommier</v>
      </c>
    </row>
    <row r="181" spans="49:52" x14ac:dyDescent="0.25">
      <c r="AW181" s="136" t="s">
        <v>23</v>
      </c>
      <c r="AX181" s="136" t="s">
        <v>165</v>
      </c>
      <c r="AY181" s="136" t="s">
        <v>165</v>
      </c>
      <c r="AZ181" s="136" t="str">
        <f t="shared" si="19"/>
        <v>LimousinPrunierPrunier</v>
      </c>
    </row>
    <row r="182" spans="49:52" x14ac:dyDescent="0.25">
      <c r="AW182" s="136" t="s">
        <v>24</v>
      </c>
      <c r="AX182" s="136" t="s">
        <v>130</v>
      </c>
      <c r="AY182" s="136" t="s">
        <v>130</v>
      </c>
      <c r="AZ182" s="136" t="str">
        <f t="shared" si="19"/>
        <v>LorraineAbricotierAbricotier</v>
      </c>
    </row>
    <row r="183" spans="49:52" x14ac:dyDescent="0.25">
      <c r="AW183" s="136" t="s">
        <v>24</v>
      </c>
      <c r="AX183" s="136" t="s">
        <v>639</v>
      </c>
      <c r="AY183" s="136" t="s">
        <v>138</v>
      </c>
      <c r="AZ183" s="136" t="str">
        <f t="shared" si="19"/>
        <v>LorraineAgrumesClémentinier</v>
      </c>
    </row>
    <row r="184" spans="49:52" x14ac:dyDescent="0.25">
      <c r="AW184" s="136" t="s">
        <v>24</v>
      </c>
      <c r="AX184" s="136" t="s">
        <v>173</v>
      </c>
      <c r="AY184" s="136" t="s">
        <v>165</v>
      </c>
      <c r="AZ184" s="136" t="str">
        <f t="shared" si="19"/>
        <v>LorraineAutresPrunier</v>
      </c>
    </row>
    <row r="185" spans="49:52" x14ac:dyDescent="0.25">
      <c r="AW185" s="136" t="s">
        <v>24</v>
      </c>
      <c r="AX185" s="136" t="s">
        <v>135</v>
      </c>
      <c r="AY185" s="136" t="s">
        <v>135</v>
      </c>
      <c r="AZ185" s="136" t="str">
        <f t="shared" si="19"/>
        <v>LorraineCerisierCerisier</v>
      </c>
    </row>
    <row r="186" spans="49:52" x14ac:dyDescent="0.25">
      <c r="AW186" s="136" t="s">
        <v>24</v>
      </c>
      <c r="AX186" s="136" t="s">
        <v>148</v>
      </c>
      <c r="AY186" s="136" t="s">
        <v>148</v>
      </c>
      <c r="AZ186" s="136" t="str">
        <f t="shared" si="19"/>
        <v>LorraineMirabellierMirabellier</v>
      </c>
    </row>
    <row r="187" spans="49:52" x14ac:dyDescent="0.25">
      <c r="AW187" s="136" t="s">
        <v>24</v>
      </c>
      <c r="AX187" s="136" t="s">
        <v>154</v>
      </c>
      <c r="AY187" s="136" t="s">
        <v>640</v>
      </c>
      <c r="AZ187" s="136" t="str">
        <f t="shared" si="19"/>
        <v>LorraineNectarinierNectarinier-Pêcher</v>
      </c>
    </row>
    <row r="188" spans="49:52" x14ac:dyDescent="0.25">
      <c r="AW188" s="136" t="s">
        <v>24</v>
      </c>
      <c r="AX188" s="136" t="s">
        <v>157</v>
      </c>
      <c r="AY188" s="136" t="s">
        <v>157</v>
      </c>
      <c r="AZ188" s="136" t="str">
        <f t="shared" si="19"/>
        <v>LorraineNoyerNoyer</v>
      </c>
    </row>
    <row r="189" spans="49:52" x14ac:dyDescent="0.25">
      <c r="AW189" s="136" t="s">
        <v>24</v>
      </c>
      <c r="AX189" s="136" t="s">
        <v>161</v>
      </c>
      <c r="AY189" s="136" t="s">
        <v>640</v>
      </c>
      <c r="AZ189" s="136" t="str">
        <f t="shared" si="19"/>
        <v>LorrainePêcherNectarinier-Pêcher</v>
      </c>
    </row>
    <row r="190" spans="49:52" x14ac:dyDescent="0.25">
      <c r="AW190" s="136" t="s">
        <v>24</v>
      </c>
      <c r="AX190" s="136" t="s">
        <v>162</v>
      </c>
      <c r="AY190" s="136" t="s">
        <v>162</v>
      </c>
      <c r="AZ190" s="136" t="str">
        <f t="shared" si="19"/>
        <v>LorrainePoirierPoirier</v>
      </c>
    </row>
    <row r="191" spans="49:52" x14ac:dyDescent="0.25">
      <c r="AW191" s="136" t="s">
        <v>24</v>
      </c>
      <c r="AX191" s="136" t="s">
        <v>164</v>
      </c>
      <c r="AY191" s="136" t="s">
        <v>164</v>
      </c>
      <c r="AZ191" s="136" t="str">
        <f t="shared" si="19"/>
        <v>LorrainePommierPommier</v>
      </c>
    </row>
    <row r="192" spans="49:52" x14ac:dyDescent="0.25">
      <c r="AW192" s="136" t="s">
        <v>24</v>
      </c>
      <c r="AX192" s="136" t="s">
        <v>165</v>
      </c>
      <c r="AY192" s="136" t="s">
        <v>165</v>
      </c>
      <c r="AZ192" s="136" t="str">
        <f t="shared" si="19"/>
        <v>LorrainePrunierPrunier</v>
      </c>
    </row>
    <row r="193" spans="49:52" x14ac:dyDescent="0.25">
      <c r="AW193" s="136" t="s">
        <v>290</v>
      </c>
      <c r="AX193" s="136" t="s">
        <v>130</v>
      </c>
      <c r="AY193" s="136" t="s">
        <v>174</v>
      </c>
      <c r="AZ193" s="136" t="str">
        <f t="shared" si="19"/>
        <v>MartiniqueAbricotierBananier</v>
      </c>
    </row>
    <row r="194" spans="49:52" x14ac:dyDescent="0.25">
      <c r="AW194" s="136" t="s">
        <v>290</v>
      </c>
      <c r="AX194" s="136" t="s">
        <v>639</v>
      </c>
      <c r="AY194" s="136" t="s">
        <v>174</v>
      </c>
      <c r="AZ194" s="136" t="str">
        <f t="shared" si="19"/>
        <v>MartiniqueAgrumesBananier</v>
      </c>
    </row>
    <row r="195" spans="49:52" x14ac:dyDescent="0.25">
      <c r="AW195" s="136" t="s">
        <v>290</v>
      </c>
      <c r="AX195" s="136" t="s">
        <v>173</v>
      </c>
      <c r="AY195" s="136" t="s">
        <v>174</v>
      </c>
      <c r="AZ195" s="136" t="str">
        <f t="shared" si="19"/>
        <v>MartiniqueAutresBananier</v>
      </c>
    </row>
    <row r="196" spans="49:52" x14ac:dyDescent="0.25">
      <c r="AW196" s="136" t="s">
        <v>290</v>
      </c>
      <c r="AX196" s="136" t="s">
        <v>174</v>
      </c>
      <c r="AY196" s="136" t="s">
        <v>174</v>
      </c>
      <c r="AZ196" s="136" t="str">
        <f t="shared" si="19"/>
        <v>MartiniqueBananierBananier</v>
      </c>
    </row>
    <row r="197" spans="49:52" x14ac:dyDescent="0.25">
      <c r="AW197" s="136" t="s">
        <v>290</v>
      </c>
      <c r="AX197" s="136" t="s">
        <v>135</v>
      </c>
      <c r="AY197" s="136" t="s">
        <v>174</v>
      </c>
      <c r="AZ197" s="136" t="str">
        <f t="shared" si="19"/>
        <v>MartiniqueCerisierBananier</v>
      </c>
    </row>
    <row r="198" spans="49:52" x14ac:dyDescent="0.25">
      <c r="AW198" s="136" t="s">
        <v>290</v>
      </c>
      <c r="AX198" s="136" t="s">
        <v>148</v>
      </c>
      <c r="AY198" s="136" t="s">
        <v>174</v>
      </c>
      <c r="AZ198" s="136" t="str">
        <f t="shared" ref="AZ198:AZ261" si="20">AW198&amp;AX198&amp;AY198</f>
        <v>MartiniqueMirabellierBananier</v>
      </c>
    </row>
    <row r="199" spans="49:52" x14ac:dyDescent="0.25">
      <c r="AW199" s="136" t="s">
        <v>290</v>
      </c>
      <c r="AX199" s="136" t="s">
        <v>154</v>
      </c>
      <c r="AY199" s="136" t="s">
        <v>174</v>
      </c>
      <c r="AZ199" s="136" t="str">
        <f t="shared" si="20"/>
        <v>MartiniqueNectarinierBananier</v>
      </c>
    </row>
    <row r="200" spans="49:52" x14ac:dyDescent="0.25">
      <c r="AW200" s="136" t="s">
        <v>290</v>
      </c>
      <c r="AX200" s="136" t="s">
        <v>157</v>
      </c>
      <c r="AY200" s="136" t="s">
        <v>174</v>
      </c>
      <c r="AZ200" s="136" t="str">
        <f t="shared" si="20"/>
        <v>MartiniqueNoyerBananier</v>
      </c>
    </row>
    <row r="201" spans="49:52" x14ac:dyDescent="0.25">
      <c r="AW201" s="136" t="s">
        <v>290</v>
      </c>
      <c r="AX201" s="136" t="s">
        <v>161</v>
      </c>
      <c r="AY201" s="136" t="s">
        <v>174</v>
      </c>
      <c r="AZ201" s="136" t="str">
        <f t="shared" si="20"/>
        <v>MartiniquePêcherBananier</v>
      </c>
    </row>
    <row r="202" spans="49:52" x14ac:dyDescent="0.25">
      <c r="AW202" s="136" t="s">
        <v>290</v>
      </c>
      <c r="AX202" s="136" t="s">
        <v>162</v>
      </c>
      <c r="AY202" s="136" t="s">
        <v>174</v>
      </c>
      <c r="AZ202" s="136" t="str">
        <f t="shared" si="20"/>
        <v>MartiniquePoirierBananier</v>
      </c>
    </row>
    <row r="203" spans="49:52" x14ac:dyDescent="0.25">
      <c r="AW203" s="136" t="s">
        <v>290</v>
      </c>
      <c r="AX203" s="136" t="s">
        <v>164</v>
      </c>
      <c r="AY203" s="136" t="s">
        <v>174</v>
      </c>
      <c r="AZ203" s="136" t="str">
        <f t="shared" si="20"/>
        <v>MartiniquePommierBananier</v>
      </c>
    </row>
    <row r="204" spans="49:52" x14ac:dyDescent="0.25">
      <c r="AW204" s="136" t="s">
        <v>290</v>
      </c>
      <c r="AX204" s="136" t="s">
        <v>165</v>
      </c>
      <c r="AY204" s="136" t="s">
        <v>174</v>
      </c>
      <c r="AZ204" s="136" t="str">
        <f t="shared" si="20"/>
        <v>MartiniquePrunierBananier</v>
      </c>
    </row>
    <row r="205" spans="49:52" x14ac:dyDescent="0.25">
      <c r="AW205" s="136" t="s">
        <v>25</v>
      </c>
      <c r="AX205" s="136" t="s">
        <v>130</v>
      </c>
      <c r="AY205" s="136" t="s">
        <v>130</v>
      </c>
      <c r="AZ205" s="136" t="str">
        <f t="shared" si="20"/>
        <v>Midi-PyrénéesAbricotierAbricotier</v>
      </c>
    </row>
    <row r="206" spans="49:52" x14ac:dyDescent="0.25">
      <c r="AW206" s="136" t="s">
        <v>25</v>
      </c>
      <c r="AX206" s="136" t="s">
        <v>639</v>
      </c>
      <c r="AY206" s="136" t="s">
        <v>138</v>
      </c>
      <c r="AZ206" s="136" t="str">
        <f t="shared" si="20"/>
        <v>Midi-PyrénéesAgrumesClémentinier</v>
      </c>
    </row>
    <row r="207" spans="49:52" x14ac:dyDescent="0.25">
      <c r="AW207" s="136" t="s">
        <v>25</v>
      </c>
      <c r="AX207" s="136" t="s">
        <v>173</v>
      </c>
      <c r="AY207" s="136" t="s">
        <v>165</v>
      </c>
      <c r="AZ207" s="136" t="str">
        <f t="shared" si="20"/>
        <v>Midi-PyrénéesAutresPrunier</v>
      </c>
    </row>
    <row r="208" spans="49:52" x14ac:dyDescent="0.25">
      <c r="AW208" s="136" t="s">
        <v>25</v>
      </c>
      <c r="AX208" s="136" t="s">
        <v>135</v>
      </c>
      <c r="AY208" s="136" t="s">
        <v>135</v>
      </c>
      <c r="AZ208" s="136" t="str">
        <f t="shared" si="20"/>
        <v>Midi-PyrénéesCerisierCerisier</v>
      </c>
    </row>
    <row r="209" spans="49:52" x14ac:dyDescent="0.25">
      <c r="AW209" s="136" t="s">
        <v>25</v>
      </c>
      <c r="AX209" s="136" t="s">
        <v>148</v>
      </c>
      <c r="AY209" s="136" t="s">
        <v>148</v>
      </c>
      <c r="AZ209" s="136" t="str">
        <f t="shared" si="20"/>
        <v>Midi-PyrénéesMirabellierMirabellier</v>
      </c>
    </row>
    <row r="210" spans="49:52" x14ac:dyDescent="0.25">
      <c r="AW210" s="136" t="s">
        <v>25</v>
      </c>
      <c r="AX210" s="136" t="s">
        <v>154</v>
      </c>
      <c r="AY210" s="136" t="s">
        <v>640</v>
      </c>
      <c r="AZ210" s="136" t="str">
        <f t="shared" si="20"/>
        <v>Midi-PyrénéesNectarinierNectarinier-Pêcher</v>
      </c>
    </row>
    <row r="211" spans="49:52" x14ac:dyDescent="0.25">
      <c r="AW211" s="136" t="s">
        <v>25</v>
      </c>
      <c r="AX211" s="136" t="s">
        <v>157</v>
      </c>
      <c r="AY211" s="136" t="s">
        <v>157</v>
      </c>
      <c r="AZ211" s="136" t="str">
        <f t="shared" si="20"/>
        <v>Midi-PyrénéesNoyerNoyer</v>
      </c>
    </row>
    <row r="212" spans="49:52" x14ac:dyDescent="0.25">
      <c r="AW212" s="136" t="s">
        <v>25</v>
      </c>
      <c r="AX212" s="136" t="s">
        <v>161</v>
      </c>
      <c r="AY212" s="136" t="s">
        <v>640</v>
      </c>
      <c r="AZ212" s="136" t="str">
        <f t="shared" si="20"/>
        <v>Midi-PyrénéesPêcherNectarinier-Pêcher</v>
      </c>
    </row>
    <row r="213" spans="49:52" x14ac:dyDescent="0.25">
      <c r="AW213" s="136" t="s">
        <v>25</v>
      </c>
      <c r="AX213" s="136" t="s">
        <v>162</v>
      </c>
      <c r="AY213" s="136" t="s">
        <v>162</v>
      </c>
      <c r="AZ213" s="136" t="str">
        <f t="shared" si="20"/>
        <v>Midi-PyrénéesPoirierPoirier</v>
      </c>
    </row>
    <row r="214" spans="49:52" x14ac:dyDescent="0.25">
      <c r="AW214" s="136" t="s">
        <v>25</v>
      </c>
      <c r="AX214" s="136" t="s">
        <v>164</v>
      </c>
      <c r="AY214" s="136" t="s">
        <v>164</v>
      </c>
      <c r="AZ214" s="136" t="str">
        <f t="shared" si="20"/>
        <v>Midi-PyrénéesPommierPommier</v>
      </c>
    </row>
    <row r="215" spans="49:52" x14ac:dyDescent="0.25">
      <c r="AW215" s="136" t="s">
        <v>25</v>
      </c>
      <c r="AX215" s="136" t="s">
        <v>165</v>
      </c>
      <c r="AY215" s="136" t="s">
        <v>165</v>
      </c>
      <c r="AZ215" s="136" t="str">
        <f t="shared" si="20"/>
        <v>Midi-PyrénéesPrunierPrunier</v>
      </c>
    </row>
    <row r="216" spans="49:52" x14ac:dyDescent="0.25">
      <c r="AW216" s="136" t="s">
        <v>26</v>
      </c>
      <c r="AX216" s="136" t="s">
        <v>130</v>
      </c>
      <c r="AY216" s="136" t="s">
        <v>130</v>
      </c>
      <c r="AZ216" s="136" t="str">
        <f t="shared" si="20"/>
        <v>Nord-Pas-de-CalaisAbricotierAbricotier</v>
      </c>
    </row>
    <row r="217" spans="49:52" x14ac:dyDescent="0.25">
      <c r="AW217" s="136" t="s">
        <v>26</v>
      </c>
      <c r="AX217" s="136" t="s">
        <v>639</v>
      </c>
      <c r="AY217" s="136" t="s">
        <v>138</v>
      </c>
      <c r="AZ217" s="136" t="str">
        <f t="shared" si="20"/>
        <v>Nord-Pas-de-CalaisAgrumesClémentinier</v>
      </c>
    </row>
    <row r="218" spans="49:52" x14ac:dyDescent="0.25">
      <c r="AW218" s="136" t="s">
        <v>26</v>
      </c>
      <c r="AX218" s="136" t="s">
        <v>173</v>
      </c>
      <c r="AY218" s="136" t="s">
        <v>165</v>
      </c>
      <c r="AZ218" s="136" t="str">
        <f t="shared" si="20"/>
        <v>Nord-Pas-de-CalaisAutresPrunier</v>
      </c>
    </row>
    <row r="219" spans="49:52" x14ac:dyDescent="0.25">
      <c r="AW219" s="136" t="s">
        <v>26</v>
      </c>
      <c r="AX219" s="136" t="s">
        <v>135</v>
      </c>
      <c r="AY219" s="136" t="s">
        <v>135</v>
      </c>
      <c r="AZ219" s="136" t="str">
        <f t="shared" si="20"/>
        <v>Nord-Pas-de-CalaisCerisierCerisier</v>
      </c>
    </row>
    <row r="220" spans="49:52" x14ac:dyDescent="0.25">
      <c r="AW220" s="136" t="s">
        <v>26</v>
      </c>
      <c r="AX220" s="136" t="s">
        <v>148</v>
      </c>
      <c r="AY220" s="136" t="s">
        <v>148</v>
      </c>
      <c r="AZ220" s="136" t="str">
        <f t="shared" si="20"/>
        <v>Nord-Pas-de-CalaisMirabellierMirabellier</v>
      </c>
    </row>
    <row r="221" spans="49:52" x14ac:dyDescent="0.25">
      <c r="AW221" s="136" t="s">
        <v>26</v>
      </c>
      <c r="AX221" s="136" t="s">
        <v>154</v>
      </c>
      <c r="AY221" s="136" t="s">
        <v>640</v>
      </c>
      <c r="AZ221" s="136" t="str">
        <f t="shared" si="20"/>
        <v>Nord-Pas-de-CalaisNectarinierNectarinier-Pêcher</v>
      </c>
    </row>
    <row r="222" spans="49:52" x14ac:dyDescent="0.25">
      <c r="AW222" s="136" t="s">
        <v>26</v>
      </c>
      <c r="AX222" s="136" t="s">
        <v>157</v>
      </c>
      <c r="AY222" s="136" t="s">
        <v>157</v>
      </c>
      <c r="AZ222" s="136" t="str">
        <f t="shared" si="20"/>
        <v>Nord-Pas-de-CalaisNoyerNoyer</v>
      </c>
    </row>
    <row r="223" spans="49:52" x14ac:dyDescent="0.25">
      <c r="AW223" s="136" t="s">
        <v>26</v>
      </c>
      <c r="AX223" s="136" t="s">
        <v>161</v>
      </c>
      <c r="AY223" s="136" t="s">
        <v>640</v>
      </c>
      <c r="AZ223" s="136" t="str">
        <f t="shared" si="20"/>
        <v>Nord-Pas-de-CalaisPêcherNectarinier-Pêcher</v>
      </c>
    </row>
    <row r="224" spans="49:52" x14ac:dyDescent="0.25">
      <c r="AW224" s="136" t="s">
        <v>26</v>
      </c>
      <c r="AX224" s="136" t="s">
        <v>162</v>
      </c>
      <c r="AY224" s="136" t="s">
        <v>162</v>
      </c>
      <c r="AZ224" s="136" t="str">
        <f t="shared" si="20"/>
        <v>Nord-Pas-de-CalaisPoirierPoirier</v>
      </c>
    </row>
    <row r="225" spans="49:52" x14ac:dyDescent="0.25">
      <c r="AW225" s="136" t="s">
        <v>26</v>
      </c>
      <c r="AX225" s="136" t="s">
        <v>164</v>
      </c>
      <c r="AY225" s="136" t="s">
        <v>164</v>
      </c>
      <c r="AZ225" s="136" t="str">
        <f t="shared" si="20"/>
        <v>Nord-Pas-de-CalaisPommierPommier</v>
      </c>
    </row>
    <row r="226" spans="49:52" x14ac:dyDescent="0.25">
      <c r="AW226" s="136" t="s">
        <v>26</v>
      </c>
      <c r="AX226" s="136" t="s">
        <v>165</v>
      </c>
      <c r="AY226" s="136" t="s">
        <v>165</v>
      </c>
      <c r="AZ226" s="136" t="str">
        <f t="shared" si="20"/>
        <v>Nord-Pas-de-CalaisPrunierPrunier</v>
      </c>
    </row>
    <row r="227" spans="49:52" x14ac:dyDescent="0.25">
      <c r="AW227" s="136" t="s">
        <v>27</v>
      </c>
      <c r="AX227" s="136" t="s">
        <v>130</v>
      </c>
      <c r="AY227" s="136" t="s">
        <v>130</v>
      </c>
      <c r="AZ227" s="136" t="str">
        <f t="shared" si="20"/>
        <v>Pays de la LoireAbricotierAbricotier</v>
      </c>
    </row>
    <row r="228" spans="49:52" x14ac:dyDescent="0.25">
      <c r="AW228" s="136" t="s">
        <v>27</v>
      </c>
      <c r="AX228" s="136" t="s">
        <v>639</v>
      </c>
      <c r="AY228" s="136" t="s">
        <v>138</v>
      </c>
      <c r="AZ228" s="136" t="str">
        <f t="shared" si="20"/>
        <v>Pays de la LoireAgrumesClémentinier</v>
      </c>
    </row>
    <row r="229" spans="49:52" x14ac:dyDescent="0.25">
      <c r="AW229" s="136" t="s">
        <v>27</v>
      </c>
      <c r="AX229" s="136" t="s">
        <v>173</v>
      </c>
      <c r="AY229" s="136" t="s">
        <v>165</v>
      </c>
      <c r="AZ229" s="136" t="str">
        <f t="shared" si="20"/>
        <v>Pays de la LoireAutresPrunier</v>
      </c>
    </row>
    <row r="230" spans="49:52" x14ac:dyDescent="0.25">
      <c r="AW230" s="136" t="s">
        <v>27</v>
      </c>
      <c r="AX230" s="136" t="s">
        <v>135</v>
      </c>
      <c r="AY230" s="136" t="s">
        <v>135</v>
      </c>
      <c r="AZ230" s="136" t="str">
        <f t="shared" si="20"/>
        <v>Pays de la LoireCerisierCerisier</v>
      </c>
    </row>
    <row r="231" spans="49:52" x14ac:dyDescent="0.25">
      <c r="AW231" s="136" t="s">
        <v>27</v>
      </c>
      <c r="AX231" s="136" t="s">
        <v>148</v>
      </c>
      <c r="AY231" s="136" t="s">
        <v>148</v>
      </c>
      <c r="AZ231" s="136" t="str">
        <f t="shared" si="20"/>
        <v>Pays de la LoireMirabellierMirabellier</v>
      </c>
    </row>
    <row r="232" spans="49:52" x14ac:dyDescent="0.25">
      <c r="AW232" s="136" t="s">
        <v>27</v>
      </c>
      <c r="AX232" s="136" t="s">
        <v>154</v>
      </c>
      <c r="AY232" s="136" t="s">
        <v>640</v>
      </c>
      <c r="AZ232" s="136" t="str">
        <f t="shared" si="20"/>
        <v>Pays de la LoireNectarinierNectarinier-Pêcher</v>
      </c>
    </row>
    <row r="233" spans="49:52" x14ac:dyDescent="0.25">
      <c r="AW233" s="136" t="s">
        <v>27</v>
      </c>
      <c r="AX233" s="136" t="s">
        <v>157</v>
      </c>
      <c r="AY233" s="136" t="s">
        <v>157</v>
      </c>
      <c r="AZ233" s="136" t="str">
        <f t="shared" si="20"/>
        <v>Pays de la LoireNoyerNoyer</v>
      </c>
    </row>
    <row r="234" spans="49:52" x14ac:dyDescent="0.25">
      <c r="AW234" s="136" t="s">
        <v>27</v>
      </c>
      <c r="AX234" s="136" t="s">
        <v>161</v>
      </c>
      <c r="AY234" s="136" t="s">
        <v>640</v>
      </c>
      <c r="AZ234" s="136" t="str">
        <f t="shared" si="20"/>
        <v>Pays de la LoirePêcherNectarinier-Pêcher</v>
      </c>
    </row>
    <row r="235" spans="49:52" x14ac:dyDescent="0.25">
      <c r="AW235" s="136" t="s">
        <v>27</v>
      </c>
      <c r="AX235" s="136" t="s">
        <v>162</v>
      </c>
      <c r="AY235" s="136" t="s">
        <v>162</v>
      </c>
      <c r="AZ235" s="136" t="str">
        <f t="shared" si="20"/>
        <v>Pays de la LoirePoirierPoirier</v>
      </c>
    </row>
    <row r="236" spans="49:52" x14ac:dyDescent="0.25">
      <c r="AW236" s="136" t="s">
        <v>27</v>
      </c>
      <c r="AX236" s="136" t="s">
        <v>164</v>
      </c>
      <c r="AY236" s="136" t="s">
        <v>164</v>
      </c>
      <c r="AZ236" s="136" t="str">
        <f t="shared" si="20"/>
        <v>Pays de la LoirePommierPommier</v>
      </c>
    </row>
    <row r="237" spans="49:52" x14ac:dyDescent="0.25">
      <c r="AW237" s="136" t="s">
        <v>27</v>
      </c>
      <c r="AX237" s="136" t="s">
        <v>165</v>
      </c>
      <c r="AY237" s="136" t="s">
        <v>165</v>
      </c>
      <c r="AZ237" s="136" t="str">
        <f t="shared" si="20"/>
        <v>Pays de la LoirePrunierPrunier</v>
      </c>
    </row>
    <row r="238" spans="49:52" x14ac:dyDescent="0.25">
      <c r="AW238" s="136" t="s">
        <v>28</v>
      </c>
      <c r="AX238" s="136" t="s">
        <v>130</v>
      </c>
      <c r="AY238" s="136" t="s">
        <v>130</v>
      </c>
      <c r="AZ238" s="136" t="str">
        <f t="shared" si="20"/>
        <v>PicardieAbricotierAbricotier</v>
      </c>
    </row>
    <row r="239" spans="49:52" x14ac:dyDescent="0.25">
      <c r="AW239" s="136" t="s">
        <v>28</v>
      </c>
      <c r="AX239" s="136" t="s">
        <v>639</v>
      </c>
      <c r="AY239" s="136" t="s">
        <v>138</v>
      </c>
      <c r="AZ239" s="136" t="str">
        <f t="shared" si="20"/>
        <v>PicardieAgrumesClémentinier</v>
      </c>
    </row>
    <row r="240" spans="49:52" x14ac:dyDescent="0.25">
      <c r="AW240" s="136" t="s">
        <v>28</v>
      </c>
      <c r="AX240" s="136" t="s">
        <v>173</v>
      </c>
      <c r="AY240" s="136" t="s">
        <v>165</v>
      </c>
      <c r="AZ240" s="136" t="str">
        <f t="shared" si="20"/>
        <v>PicardieAutresPrunier</v>
      </c>
    </row>
    <row r="241" spans="49:52" x14ac:dyDescent="0.25">
      <c r="AW241" s="136" t="s">
        <v>28</v>
      </c>
      <c r="AX241" s="136" t="s">
        <v>135</v>
      </c>
      <c r="AY241" s="136" t="s">
        <v>135</v>
      </c>
      <c r="AZ241" s="136" t="str">
        <f t="shared" si="20"/>
        <v>PicardieCerisierCerisier</v>
      </c>
    </row>
    <row r="242" spans="49:52" x14ac:dyDescent="0.25">
      <c r="AW242" s="136" t="s">
        <v>28</v>
      </c>
      <c r="AX242" s="136" t="s">
        <v>148</v>
      </c>
      <c r="AY242" s="136" t="s">
        <v>148</v>
      </c>
      <c r="AZ242" s="136" t="str">
        <f t="shared" si="20"/>
        <v>PicardieMirabellierMirabellier</v>
      </c>
    </row>
    <row r="243" spans="49:52" x14ac:dyDescent="0.25">
      <c r="AW243" s="136" t="s">
        <v>28</v>
      </c>
      <c r="AX243" s="136" t="s">
        <v>154</v>
      </c>
      <c r="AY243" s="136" t="s">
        <v>640</v>
      </c>
      <c r="AZ243" s="136" t="str">
        <f t="shared" si="20"/>
        <v>PicardieNectarinierNectarinier-Pêcher</v>
      </c>
    </row>
    <row r="244" spans="49:52" x14ac:dyDescent="0.25">
      <c r="AW244" s="136" t="s">
        <v>28</v>
      </c>
      <c r="AX244" s="136" t="s">
        <v>157</v>
      </c>
      <c r="AY244" s="136" t="s">
        <v>157</v>
      </c>
      <c r="AZ244" s="136" t="str">
        <f t="shared" si="20"/>
        <v>PicardieNoyerNoyer</v>
      </c>
    </row>
    <row r="245" spans="49:52" x14ac:dyDescent="0.25">
      <c r="AW245" s="136" t="s">
        <v>28</v>
      </c>
      <c r="AX245" s="136" t="s">
        <v>161</v>
      </c>
      <c r="AY245" s="136" t="s">
        <v>640</v>
      </c>
      <c r="AZ245" s="136" t="str">
        <f t="shared" si="20"/>
        <v>PicardiePêcherNectarinier-Pêcher</v>
      </c>
    </row>
    <row r="246" spans="49:52" x14ac:dyDescent="0.25">
      <c r="AW246" s="136" t="s">
        <v>28</v>
      </c>
      <c r="AX246" s="136" t="s">
        <v>162</v>
      </c>
      <c r="AY246" s="136" t="s">
        <v>162</v>
      </c>
      <c r="AZ246" s="136" t="str">
        <f t="shared" si="20"/>
        <v>PicardiePoirierPoirier</v>
      </c>
    </row>
    <row r="247" spans="49:52" x14ac:dyDescent="0.25">
      <c r="AW247" s="136" t="s">
        <v>28</v>
      </c>
      <c r="AX247" s="136" t="s">
        <v>164</v>
      </c>
      <c r="AY247" s="136" t="s">
        <v>164</v>
      </c>
      <c r="AZ247" s="136" t="str">
        <f t="shared" si="20"/>
        <v>PicardiePommierPommier</v>
      </c>
    </row>
    <row r="248" spans="49:52" x14ac:dyDescent="0.25">
      <c r="AW248" s="136" t="s">
        <v>28</v>
      </c>
      <c r="AX248" s="136" t="s">
        <v>165</v>
      </c>
      <c r="AY248" s="136" t="s">
        <v>165</v>
      </c>
      <c r="AZ248" s="136" t="str">
        <f t="shared" si="20"/>
        <v>PicardiePrunierPrunier</v>
      </c>
    </row>
    <row r="249" spans="49:52" x14ac:dyDescent="0.25">
      <c r="AW249" s="136" t="s">
        <v>29</v>
      </c>
      <c r="AX249" s="136" t="s">
        <v>130</v>
      </c>
      <c r="AY249" s="136" t="s">
        <v>130</v>
      </c>
      <c r="AZ249" s="136" t="str">
        <f t="shared" si="20"/>
        <v>Poitou-CharentesAbricotierAbricotier</v>
      </c>
    </row>
    <row r="250" spans="49:52" x14ac:dyDescent="0.25">
      <c r="AW250" s="136" t="s">
        <v>29</v>
      </c>
      <c r="AX250" s="136" t="s">
        <v>639</v>
      </c>
      <c r="AY250" s="136" t="s">
        <v>138</v>
      </c>
      <c r="AZ250" s="136" t="str">
        <f t="shared" si="20"/>
        <v>Poitou-CharentesAgrumesClémentinier</v>
      </c>
    </row>
    <row r="251" spans="49:52" x14ac:dyDescent="0.25">
      <c r="AW251" s="136" t="s">
        <v>29</v>
      </c>
      <c r="AX251" s="136" t="s">
        <v>173</v>
      </c>
      <c r="AY251" s="136" t="s">
        <v>165</v>
      </c>
      <c r="AZ251" s="136" t="str">
        <f t="shared" si="20"/>
        <v>Poitou-CharentesAutresPrunier</v>
      </c>
    </row>
    <row r="252" spans="49:52" x14ac:dyDescent="0.25">
      <c r="AW252" s="136" t="s">
        <v>29</v>
      </c>
      <c r="AX252" s="136" t="s">
        <v>135</v>
      </c>
      <c r="AY252" s="136" t="s">
        <v>135</v>
      </c>
      <c r="AZ252" s="136" t="str">
        <f t="shared" si="20"/>
        <v>Poitou-CharentesCerisierCerisier</v>
      </c>
    </row>
    <row r="253" spans="49:52" x14ac:dyDescent="0.25">
      <c r="AW253" s="136" t="s">
        <v>29</v>
      </c>
      <c r="AX253" s="136" t="s">
        <v>148</v>
      </c>
      <c r="AY253" s="136" t="s">
        <v>148</v>
      </c>
      <c r="AZ253" s="136" t="str">
        <f t="shared" si="20"/>
        <v>Poitou-CharentesMirabellierMirabellier</v>
      </c>
    </row>
    <row r="254" spans="49:52" x14ac:dyDescent="0.25">
      <c r="AW254" s="136" t="s">
        <v>29</v>
      </c>
      <c r="AX254" s="136" t="s">
        <v>154</v>
      </c>
      <c r="AY254" s="136" t="s">
        <v>640</v>
      </c>
      <c r="AZ254" s="136" t="str">
        <f t="shared" si="20"/>
        <v>Poitou-CharentesNectarinierNectarinier-Pêcher</v>
      </c>
    </row>
    <row r="255" spans="49:52" x14ac:dyDescent="0.25">
      <c r="AW255" s="136" t="s">
        <v>29</v>
      </c>
      <c r="AX255" s="136" t="s">
        <v>157</v>
      </c>
      <c r="AY255" s="136" t="s">
        <v>157</v>
      </c>
      <c r="AZ255" s="136" t="str">
        <f t="shared" si="20"/>
        <v>Poitou-CharentesNoyerNoyer</v>
      </c>
    </row>
    <row r="256" spans="49:52" x14ac:dyDescent="0.25">
      <c r="AW256" s="136" t="s">
        <v>29</v>
      </c>
      <c r="AX256" s="136" t="s">
        <v>161</v>
      </c>
      <c r="AY256" s="136" t="s">
        <v>640</v>
      </c>
      <c r="AZ256" s="136" t="str">
        <f t="shared" si="20"/>
        <v>Poitou-CharentesPêcherNectarinier-Pêcher</v>
      </c>
    </row>
    <row r="257" spans="49:52" x14ac:dyDescent="0.25">
      <c r="AW257" s="136" t="s">
        <v>29</v>
      </c>
      <c r="AX257" s="136" t="s">
        <v>162</v>
      </c>
      <c r="AY257" s="136" t="s">
        <v>162</v>
      </c>
      <c r="AZ257" s="136" t="str">
        <f t="shared" si="20"/>
        <v>Poitou-CharentesPoirierPoirier</v>
      </c>
    </row>
    <row r="258" spans="49:52" x14ac:dyDescent="0.25">
      <c r="AW258" s="136" t="s">
        <v>29</v>
      </c>
      <c r="AX258" s="136" t="s">
        <v>164</v>
      </c>
      <c r="AY258" s="136" t="s">
        <v>164</v>
      </c>
      <c r="AZ258" s="136" t="str">
        <f t="shared" si="20"/>
        <v>Poitou-CharentesPommierPommier</v>
      </c>
    </row>
    <row r="259" spans="49:52" x14ac:dyDescent="0.25">
      <c r="AW259" s="136" t="s">
        <v>29</v>
      </c>
      <c r="AX259" s="136" t="s">
        <v>165</v>
      </c>
      <c r="AY259" s="136" t="s">
        <v>165</v>
      </c>
      <c r="AZ259" s="136" t="str">
        <f t="shared" si="20"/>
        <v>Poitou-CharentesPrunierPrunier</v>
      </c>
    </row>
    <row r="260" spans="49:52" x14ac:dyDescent="0.25">
      <c r="AW260" s="136" t="s">
        <v>30</v>
      </c>
      <c r="AX260" s="136" t="s">
        <v>130</v>
      </c>
      <c r="AY260" s="136" t="s">
        <v>130</v>
      </c>
      <c r="AZ260" s="136" t="str">
        <f t="shared" si="20"/>
        <v>Provence-Alpes-Côte d'AzurAbricotierAbricotier</v>
      </c>
    </row>
    <row r="261" spans="49:52" x14ac:dyDescent="0.25">
      <c r="AW261" s="136" t="s">
        <v>30</v>
      </c>
      <c r="AX261" s="136" t="s">
        <v>639</v>
      </c>
      <c r="AY261" s="136" t="s">
        <v>138</v>
      </c>
      <c r="AZ261" s="136" t="str">
        <f t="shared" si="20"/>
        <v>Provence-Alpes-Côte d'AzurAgrumesClémentinier</v>
      </c>
    </row>
    <row r="262" spans="49:52" x14ac:dyDescent="0.25">
      <c r="AW262" s="136" t="s">
        <v>30</v>
      </c>
      <c r="AX262" s="136" t="s">
        <v>173</v>
      </c>
      <c r="AY262" s="136" t="s">
        <v>165</v>
      </c>
      <c r="AZ262" s="136" t="str">
        <f t="shared" ref="AZ262:AZ281" si="21">AW262&amp;AX262&amp;AY262</f>
        <v>Provence-Alpes-Côte d'AzurAutresPrunier</v>
      </c>
    </row>
    <row r="263" spans="49:52" x14ac:dyDescent="0.25">
      <c r="AW263" s="136" t="s">
        <v>30</v>
      </c>
      <c r="AX263" s="136" t="s">
        <v>135</v>
      </c>
      <c r="AY263" s="136" t="s">
        <v>135</v>
      </c>
      <c r="AZ263" s="136" t="str">
        <f t="shared" si="21"/>
        <v>Provence-Alpes-Côte d'AzurCerisierCerisier</v>
      </c>
    </row>
    <row r="264" spans="49:52" x14ac:dyDescent="0.25">
      <c r="AW264" s="136" t="s">
        <v>30</v>
      </c>
      <c r="AX264" s="136" t="s">
        <v>148</v>
      </c>
      <c r="AY264" s="136" t="s">
        <v>148</v>
      </c>
      <c r="AZ264" s="136" t="str">
        <f t="shared" si="21"/>
        <v>Provence-Alpes-Côte d'AzurMirabellierMirabellier</v>
      </c>
    </row>
    <row r="265" spans="49:52" x14ac:dyDescent="0.25">
      <c r="AW265" s="136" t="s">
        <v>30</v>
      </c>
      <c r="AX265" s="136" t="s">
        <v>154</v>
      </c>
      <c r="AY265" s="136" t="s">
        <v>640</v>
      </c>
      <c r="AZ265" s="136" t="str">
        <f t="shared" si="21"/>
        <v>Provence-Alpes-Côte d'AzurNectarinierNectarinier-Pêcher</v>
      </c>
    </row>
    <row r="266" spans="49:52" x14ac:dyDescent="0.25">
      <c r="AW266" s="136" t="s">
        <v>30</v>
      </c>
      <c r="AX266" s="136" t="s">
        <v>157</v>
      </c>
      <c r="AY266" s="136" t="s">
        <v>157</v>
      </c>
      <c r="AZ266" s="136" t="str">
        <f t="shared" si="21"/>
        <v>Provence-Alpes-Côte d'AzurNoyerNoyer</v>
      </c>
    </row>
    <row r="267" spans="49:52" x14ac:dyDescent="0.25">
      <c r="AW267" s="136" t="s">
        <v>30</v>
      </c>
      <c r="AX267" s="136" t="s">
        <v>161</v>
      </c>
      <c r="AY267" s="136" t="s">
        <v>640</v>
      </c>
      <c r="AZ267" s="136" t="str">
        <f t="shared" si="21"/>
        <v>Provence-Alpes-Côte d'AzurPêcherNectarinier-Pêcher</v>
      </c>
    </row>
    <row r="268" spans="49:52" x14ac:dyDescent="0.25">
      <c r="AW268" s="136" t="s">
        <v>30</v>
      </c>
      <c r="AX268" s="136" t="s">
        <v>162</v>
      </c>
      <c r="AY268" s="136" t="s">
        <v>162</v>
      </c>
      <c r="AZ268" s="136" t="str">
        <f t="shared" si="21"/>
        <v>Provence-Alpes-Côte d'AzurPoirierPoirier</v>
      </c>
    </row>
    <row r="269" spans="49:52" x14ac:dyDescent="0.25">
      <c r="AW269" s="136" t="s">
        <v>30</v>
      </c>
      <c r="AX269" s="136" t="s">
        <v>164</v>
      </c>
      <c r="AY269" s="136" t="s">
        <v>164</v>
      </c>
      <c r="AZ269" s="136" t="str">
        <f t="shared" si="21"/>
        <v>Provence-Alpes-Côte d'AzurPommierPommier</v>
      </c>
    </row>
    <row r="270" spans="49:52" x14ac:dyDescent="0.25">
      <c r="AW270" s="136" t="s">
        <v>30</v>
      </c>
      <c r="AX270" s="136" t="s">
        <v>165</v>
      </c>
      <c r="AY270" s="136" t="s">
        <v>165</v>
      </c>
      <c r="AZ270" s="136" t="str">
        <f t="shared" si="21"/>
        <v>Provence-Alpes-Côte d'AzurPrunierPrunier</v>
      </c>
    </row>
    <row r="271" spans="49:52" x14ac:dyDescent="0.25">
      <c r="AW271" s="136" t="s">
        <v>31</v>
      </c>
      <c r="AX271" s="136" t="s">
        <v>130</v>
      </c>
      <c r="AY271" s="136" t="s">
        <v>130</v>
      </c>
      <c r="AZ271" s="136" t="str">
        <f t="shared" si="21"/>
        <v>Rhône-AlpesAbricotierAbricotier</v>
      </c>
    </row>
    <row r="272" spans="49:52" x14ac:dyDescent="0.25">
      <c r="AW272" s="136" t="s">
        <v>31</v>
      </c>
      <c r="AX272" s="136" t="s">
        <v>639</v>
      </c>
      <c r="AY272" s="136" t="s">
        <v>138</v>
      </c>
      <c r="AZ272" s="136" t="str">
        <f t="shared" si="21"/>
        <v>Rhône-AlpesAgrumesClémentinier</v>
      </c>
    </row>
    <row r="273" spans="49:52" x14ac:dyDescent="0.25">
      <c r="AW273" s="136" t="s">
        <v>31</v>
      </c>
      <c r="AX273" s="136" t="s">
        <v>173</v>
      </c>
      <c r="AY273" s="136" t="s">
        <v>165</v>
      </c>
      <c r="AZ273" s="136" t="str">
        <f t="shared" si="21"/>
        <v>Rhône-AlpesAutresPrunier</v>
      </c>
    </row>
    <row r="274" spans="49:52" x14ac:dyDescent="0.25">
      <c r="AW274" s="136" t="s">
        <v>31</v>
      </c>
      <c r="AX274" s="136" t="s">
        <v>135</v>
      </c>
      <c r="AY274" s="136" t="s">
        <v>135</v>
      </c>
      <c r="AZ274" s="136" t="str">
        <f t="shared" si="21"/>
        <v>Rhône-AlpesCerisierCerisier</v>
      </c>
    </row>
    <row r="275" spans="49:52" x14ac:dyDescent="0.25">
      <c r="AW275" s="136" t="s">
        <v>31</v>
      </c>
      <c r="AX275" s="136" t="s">
        <v>148</v>
      </c>
      <c r="AY275" s="136" t="s">
        <v>148</v>
      </c>
      <c r="AZ275" s="136" t="str">
        <f t="shared" si="21"/>
        <v>Rhône-AlpesMirabellierMirabellier</v>
      </c>
    </row>
    <row r="276" spans="49:52" x14ac:dyDescent="0.25">
      <c r="AW276" s="136" t="s">
        <v>31</v>
      </c>
      <c r="AX276" s="136" t="s">
        <v>154</v>
      </c>
      <c r="AY276" s="136" t="s">
        <v>640</v>
      </c>
      <c r="AZ276" s="136" t="str">
        <f t="shared" si="21"/>
        <v>Rhône-AlpesNectarinierNectarinier-Pêcher</v>
      </c>
    </row>
    <row r="277" spans="49:52" x14ac:dyDescent="0.25">
      <c r="AW277" s="136" t="s">
        <v>31</v>
      </c>
      <c r="AX277" s="136" t="s">
        <v>157</v>
      </c>
      <c r="AY277" s="136" t="s">
        <v>157</v>
      </c>
      <c r="AZ277" s="136" t="str">
        <f t="shared" si="21"/>
        <v>Rhône-AlpesNoyerNoyer</v>
      </c>
    </row>
    <row r="278" spans="49:52" x14ac:dyDescent="0.25">
      <c r="AW278" s="136" t="s">
        <v>31</v>
      </c>
      <c r="AX278" s="136" t="s">
        <v>161</v>
      </c>
      <c r="AY278" s="136" t="s">
        <v>640</v>
      </c>
      <c r="AZ278" s="136" t="str">
        <f t="shared" si="21"/>
        <v>Rhône-AlpesPêcherNectarinier-Pêcher</v>
      </c>
    </row>
    <row r="279" spans="49:52" x14ac:dyDescent="0.25">
      <c r="AW279" s="136" t="s">
        <v>31</v>
      </c>
      <c r="AX279" s="136" t="s">
        <v>162</v>
      </c>
      <c r="AY279" s="136" t="s">
        <v>162</v>
      </c>
      <c r="AZ279" s="136" t="str">
        <f t="shared" si="21"/>
        <v>Rhône-AlpesPoirierPoirier</v>
      </c>
    </row>
    <row r="280" spans="49:52" x14ac:dyDescent="0.25">
      <c r="AW280" s="136" t="s">
        <v>31</v>
      </c>
      <c r="AX280" s="136" t="s">
        <v>164</v>
      </c>
      <c r="AY280" s="136" t="s">
        <v>164</v>
      </c>
      <c r="AZ280" s="136" t="str">
        <f t="shared" si="21"/>
        <v>Rhône-AlpesPommierPommier</v>
      </c>
    </row>
    <row r="281" spans="49:52" x14ac:dyDescent="0.25">
      <c r="AW281" s="136" t="s">
        <v>31</v>
      </c>
      <c r="AX281" s="136" t="s">
        <v>165</v>
      </c>
      <c r="AY281" s="136" t="s">
        <v>165</v>
      </c>
      <c r="AZ281" s="136" t="str">
        <f t="shared" si="21"/>
        <v>Rhône-AlpesPrunierPrunier</v>
      </c>
    </row>
  </sheetData>
  <sheetProtection algorithmName="SHA-512" hashValue="jlv6y5iWV8y1gCfhvHviqdbuD8TE5xhn52QH3MjvHipyVnP+Ay9WqOdU0Ja7vQ1nTCG4XLzHxhi5Xmpku+1A1g==" saltValue="UfcE+vMLbf3HpMMVGBzJ2Q==" spinCount="100000" sheet="1" objects="1" scenarios="1"/>
  <mergeCells count="20">
    <mergeCell ref="P2:S2"/>
    <mergeCell ref="Q3:R3"/>
    <mergeCell ref="S3:T3"/>
    <mergeCell ref="AH3:AI3"/>
    <mergeCell ref="X2:AA2"/>
    <mergeCell ref="AB2:AE2"/>
    <mergeCell ref="AF2:AI2"/>
    <mergeCell ref="AB3:AC3"/>
    <mergeCell ref="AD3:AE3"/>
    <mergeCell ref="AF3:AG3"/>
    <mergeCell ref="X3:Y3"/>
    <mergeCell ref="Z3:AA3"/>
    <mergeCell ref="BK4:BL4"/>
    <mergeCell ref="O4:O12"/>
    <mergeCell ref="O13:O25"/>
    <mergeCell ref="U3:W3"/>
    <mergeCell ref="AK9:AL9"/>
    <mergeCell ref="AK10:AM10"/>
    <mergeCell ref="AK11:AM11"/>
    <mergeCell ref="AK12:AM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5"/>
  </sheetPr>
  <dimension ref="B3:Q15"/>
  <sheetViews>
    <sheetView workbookViewId="0">
      <selection activeCell="V36" sqref="V36"/>
    </sheetView>
  </sheetViews>
  <sheetFormatPr baseColWidth="10" defaultRowHeight="15" x14ac:dyDescent="0.25"/>
  <cols>
    <col min="1" max="1" width="6.85546875" customWidth="1"/>
    <col min="2" max="2" width="20" bestFit="1" customWidth="1"/>
    <col min="3" max="17" width="6.7109375" customWidth="1"/>
  </cols>
  <sheetData>
    <row r="3" spans="2:17" x14ac:dyDescent="0.25">
      <c r="B3" t="s">
        <v>4852</v>
      </c>
      <c r="C3" s="990">
        <f>SIRET_EXPLOITATION</f>
        <v>0</v>
      </c>
      <c r="D3" s="990"/>
      <c r="E3" s="990"/>
      <c r="F3" s="117"/>
    </row>
    <row r="4" spans="2:17" x14ac:dyDescent="0.25">
      <c r="B4" t="s">
        <v>4848</v>
      </c>
      <c r="C4" s="104">
        <v>1</v>
      </c>
      <c r="D4" s="104">
        <v>2</v>
      </c>
      <c r="E4" s="104">
        <v>3</v>
      </c>
      <c r="F4" s="104">
        <v>4</v>
      </c>
      <c r="G4" s="104">
        <v>5</v>
      </c>
      <c r="H4" s="104">
        <v>6</v>
      </c>
      <c r="I4" s="104">
        <v>7</v>
      </c>
      <c r="J4" s="104">
        <v>8</v>
      </c>
      <c r="K4" s="104">
        <v>9</v>
      </c>
      <c r="L4" s="104">
        <v>10</v>
      </c>
      <c r="M4" s="104">
        <v>11</v>
      </c>
      <c r="N4" s="104">
        <v>12</v>
      </c>
      <c r="O4" s="104">
        <v>13</v>
      </c>
      <c r="P4" s="104">
        <v>14</v>
      </c>
    </row>
    <row r="5" spans="2:17" x14ac:dyDescent="0.25">
      <c r="B5" t="s">
        <v>4849</v>
      </c>
      <c r="C5" s="104" t="str">
        <f>LEFT($C$3,1)</f>
        <v>0</v>
      </c>
      <c r="D5" s="104" t="str">
        <f t="shared" ref="D5:P5" si="0">RIGHT(LEFT($C$3,D4))</f>
        <v>0</v>
      </c>
      <c r="E5" s="104" t="str">
        <f t="shared" si="0"/>
        <v>0</v>
      </c>
      <c r="F5" s="104" t="str">
        <f t="shared" si="0"/>
        <v>0</v>
      </c>
      <c r="G5" s="104" t="str">
        <f t="shared" si="0"/>
        <v>0</v>
      </c>
      <c r="H5" s="104" t="str">
        <f t="shared" si="0"/>
        <v>0</v>
      </c>
      <c r="I5" s="104" t="str">
        <f t="shared" si="0"/>
        <v>0</v>
      </c>
      <c r="J5" s="104" t="str">
        <f t="shared" si="0"/>
        <v>0</v>
      </c>
      <c r="K5" s="104" t="str">
        <f t="shared" si="0"/>
        <v>0</v>
      </c>
      <c r="L5" s="104" t="str">
        <f t="shared" si="0"/>
        <v>0</v>
      </c>
      <c r="M5" s="104" t="str">
        <f t="shared" si="0"/>
        <v>0</v>
      </c>
      <c r="N5" s="104" t="str">
        <f t="shared" si="0"/>
        <v>0</v>
      </c>
      <c r="O5" s="104" t="str">
        <f t="shared" si="0"/>
        <v>0</v>
      </c>
      <c r="P5" s="104" t="str">
        <f t="shared" si="0"/>
        <v>0</v>
      </c>
    </row>
    <row r="6" spans="2:17" x14ac:dyDescent="0.25">
      <c r="B6" t="s">
        <v>4850</v>
      </c>
      <c r="C6" s="104">
        <f t="shared" ref="C6" si="1">C5*2</f>
        <v>0</v>
      </c>
      <c r="D6" s="104">
        <f>D5*1</f>
        <v>0</v>
      </c>
      <c r="E6" s="104">
        <f t="shared" ref="E6" si="2">E5*2</f>
        <v>0</v>
      </c>
      <c r="F6" s="104">
        <f t="shared" ref="F6" si="3">F5*1</f>
        <v>0</v>
      </c>
      <c r="G6" s="104">
        <f t="shared" ref="G6" si="4">G5*2</f>
        <v>0</v>
      </c>
      <c r="H6" s="104">
        <f t="shared" ref="H6" si="5">H5*1</f>
        <v>0</v>
      </c>
      <c r="I6" s="104">
        <f t="shared" ref="I6" si="6">I5*2</f>
        <v>0</v>
      </c>
      <c r="J6" s="104">
        <f t="shared" ref="J6" si="7">J5*1</f>
        <v>0</v>
      </c>
      <c r="K6" s="104">
        <f t="shared" ref="K6" si="8">K5*2</f>
        <v>0</v>
      </c>
      <c r="L6" s="104">
        <f t="shared" ref="L6" si="9">L5*1</f>
        <v>0</v>
      </c>
      <c r="M6" s="104">
        <f t="shared" ref="M6" si="10">M5*2</f>
        <v>0</v>
      </c>
      <c r="N6" s="104">
        <f t="shared" ref="N6" si="11">N5*1</f>
        <v>0</v>
      </c>
      <c r="O6" s="104">
        <f t="shared" ref="O6" si="12">O5*2</f>
        <v>0</v>
      </c>
      <c r="P6" s="104">
        <f t="shared" ref="P6" si="13">P5*1</f>
        <v>0</v>
      </c>
    </row>
    <row r="7" spans="2:17" x14ac:dyDescent="0.25">
      <c r="B7" t="s">
        <v>4851</v>
      </c>
      <c r="C7" s="104">
        <f>IF(C6&gt;=10,LEFT(C6,1)+RIGHT(C6,1),C6)</f>
        <v>0</v>
      </c>
      <c r="D7" s="104">
        <f t="shared" ref="D7:P7" si="14">IF(D6&gt;=10,LEFT(D6,1)+RIGHT(D6,1),D6)</f>
        <v>0</v>
      </c>
      <c r="E7" s="104">
        <f t="shared" si="14"/>
        <v>0</v>
      </c>
      <c r="F7" s="104">
        <f t="shared" si="14"/>
        <v>0</v>
      </c>
      <c r="G7" s="104">
        <f t="shared" si="14"/>
        <v>0</v>
      </c>
      <c r="H7" s="104">
        <f t="shared" si="14"/>
        <v>0</v>
      </c>
      <c r="I7" s="104">
        <f t="shared" si="14"/>
        <v>0</v>
      </c>
      <c r="J7" s="104">
        <f t="shared" si="14"/>
        <v>0</v>
      </c>
      <c r="K7" s="104">
        <f t="shared" si="14"/>
        <v>0</v>
      </c>
      <c r="L7" s="104">
        <f t="shared" si="14"/>
        <v>0</v>
      </c>
      <c r="M7" s="104">
        <f t="shared" si="14"/>
        <v>0</v>
      </c>
      <c r="N7" s="104">
        <f t="shared" si="14"/>
        <v>0</v>
      </c>
      <c r="O7" s="104">
        <f t="shared" si="14"/>
        <v>0</v>
      </c>
      <c r="P7" s="104">
        <f t="shared" si="14"/>
        <v>0</v>
      </c>
      <c r="Q7">
        <f>SUM(C7:P7)</f>
        <v>0</v>
      </c>
    </row>
    <row r="11" spans="2:17" x14ac:dyDescent="0.25">
      <c r="B11" t="s">
        <v>4853</v>
      </c>
      <c r="C11" s="990">
        <f>GESCO_SIRET_SC</f>
        <v>0</v>
      </c>
      <c r="D11" s="990"/>
      <c r="E11" s="990"/>
      <c r="F11" s="117"/>
    </row>
    <row r="12" spans="2:17" x14ac:dyDescent="0.25">
      <c r="B12" t="s">
        <v>4848</v>
      </c>
      <c r="C12" s="104">
        <v>1</v>
      </c>
      <c r="D12" s="104">
        <v>2</v>
      </c>
      <c r="E12" s="104">
        <v>3</v>
      </c>
      <c r="F12" s="104">
        <v>4</v>
      </c>
      <c r="G12" s="104">
        <v>5</v>
      </c>
      <c r="H12" s="104">
        <v>6</v>
      </c>
      <c r="I12" s="104">
        <v>7</v>
      </c>
      <c r="J12" s="104">
        <v>8</v>
      </c>
      <c r="K12" s="104">
        <v>9</v>
      </c>
      <c r="L12" s="104">
        <v>10</v>
      </c>
      <c r="M12" s="104">
        <v>11</v>
      </c>
      <c r="N12" s="104">
        <v>12</v>
      </c>
      <c r="O12" s="104">
        <v>13</v>
      </c>
      <c r="P12" s="104">
        <v>14</v>
      </c>
    </row>
    <row r="13" spans="2:17" x14ac:dyDescent="0.25">
      <c r="B13" t="s">
        <v>4849</v>
      </c>
      <c r="C13" s="104" t="str">
        <f>LEFT($C$11,1)</f>
        <v>0</v>
      </c>
      <c r="D13" s="104" t="str">
        <f>RIGHT(LEFT($C$11,D12))</f>
        <v>0</v>
      </c>
      <c r="E13" s="104" t="str">
        <f t="shared" ref="E13:P13" si="15">RIGHT(LEFT($C$11,E12))</f>
        <v>0</v>
      </c>
      <c r="F13" s="104" t="str">
        <f t="shared" si="15"/>
        <v>0</v>
      </c>
      <c r="G13" s="104" t="str">
        <f t="shared" si="15"/>
        <v>0</v>
      </c>
      <c r="H13" s="104" t="str">
        <f t="shared" si="15"/>
        <v>0</v>
      </c>
      <c r="I13" s="104" t="str">
        <f t="shared" si="15"/>
        <v>0</v>
      </c>
      <c r="J13" s="104" t="str">
        <f t="shared" si="15"/>
        <v>0</v>
      </c>
      <c r="K13" s="104" t="str">
        <f t="shared" si="15"/>
        <v>0</v>
      </c>
      <c r="L13" s="104" t="str">
        <f t="shared" si="15"/>
        <v>0</v>
      </c>
      <c r="M13" s="104" t="str">
        <f t="shared" si="15"/>
        <v>0</v>
      </c>
      <c r="N13" s="104" t="str">
        <f t="shared" si="15"/>
        <v>0</v>
      </c>
      <c r="O13" s="104" t="str">
        <f t="shared" si="15"/>
        <v>0</v>
      </c>
      <c r="P13" s="104" t="str">
        <f t="shared" si="15"/>
        <v>0</v>
      </c>
    </row>
    <row r="14" spans="2:17" x14ac:dyDescent="0.25">
      <c r="B14" t="s">
        <v>4850</v>
      </c>
      <c r="C14" s="104">
        <f t="shared" ref="C14" si="16">C13*2</f>
        <v>0</v>
      </c>
      <c r="D14" s="104">
        <f>D13*1</f>
        <v>0</v>
      </c>
      <c r="E14" s="104">
        <f t="shared" ref="E14" si="17">E13*2</f>
        <v>0</v>
      </c>
      <c r="F14" s="104">
        <f t="shared" ref="F14" si="18">F13*1</f>
        <v>0</v>
      </c>
      <c r="G14" s="104">
        <f t="shared" ref="G14" si="19">G13*2</f>
        <v>0</v>
      </c>
      <c r="H14" s="104">
        <f t="shared" ref="H14" si="20">H13*1</f>
        <v>0</v>
      </c>
      <c r="I14" s="104">
        <f t="shared" ref="I14" si="21">I13*2</f>
        <v>0</v>
      </c>
      <c r="J14" s="104">
        <f t="shared" ref="J14" si="22">J13*1</f>
        <v>0</v>
      </c>
      <c r="K14" s="104">
        <f t="shared" ref="K14" si="23">K13*2</f>
        <v>0</v>
      </c>
      <c r="L14" s="104">
        <f t="shared" ref="L14" si="24">L13*1</f>
        <v>0</v>
      </c>
      <c r="M14" s="104">
        <f t="shared" ref="M14" si="25">M13*2</f>
        <v>0</v>
      </c>
      <c r="N14" s="104">
        <f t="shared" ref="N14" si="26">N13*1</f>
        <v>0</v>
      </c>
      <c r="O14" s="104">
        <f t="shared" ref="O14" si="27">O13*2</f>
        <v>0</v>
      </c>
      <c r="P14" s="104">
        <f t="shared" ref="P14" si="28">P13*1</f>
        <v>0</v>
      </c>
    </row>
    <row r="15" spans="2:17" x14ac:dyDescent="0.25">
      <c r="B15" t="s">
        <v>4851</v>
      </c>
      <c r="C15" s="104">
        <f>IF(C14&gt;=10,LEFT(C14,1)+RIGHT(C14,1),C14)</f>
        <v>0</v>
      </c>
      <c r="D15" s="104">
        <f t="shared" ref="D15:P15" si="29">IF(D14&gt;=10,LEFT(D14,1)+RIGHT(D14,1),D14)</f>
        <v>0</v>
      </c>
      <c r="E15" s="104">
        <f t="shared" si="29"/>
        <v>0</v>
      </c>
      <c r="F15" s="104">
        <f t="shared" si="29"/>
        <v>0</v>
      </c>
      <c r="G15" s="104">
        <f t="shared" si="29"/>
        <v>0</v>
      </c>
      <c r="H15" s="104">
        <f t="shared" si="29"/>
        <v>0</v>
      </c>
      <c r="I15" s="104">
        <f t="shared" si="29"/>
        <v>0</v>
      </c>
      <c r="J15" s="104">
        <f t="shared" si="29"/>
        <v>0</v>
      </c>
      <c r="K15" s="104">
        <f t="shared" si="29"/>
        <v>0</v>
      </c>
      <c r="L15" s="104">
        <f t="shared" si="29"/>
        <v>0</v>
      </c>
      <c r="M15" s="104">
        <f t="shared" si="29"/>
        <v>0</v>
      </c>
      <c r="N15" s="104">
        <f t="shared" si="29"/>
        <v>0</v>
      </c>
      <c r="O15" s="104">
        <f t="shared" si="29"/>
        <v>0</v>
      </c>
      <c r="P15" s="104">
        <f t="shared" si="29"/>
        <v>0</v>
      </c>
      <c r="Q15">
        <f>SUM(C15:P15)</f>
        <v>0</v>
      </c>
    </row>
  </sheetData>
  <mergeCells count="2">
    <mergeCell ref="C3:E3"/>
    <mergeCell ref="C11:E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theme="5"/>
  </sheetPr>
  <dimension ref="A2:M42"/>
  <sheetViews>
    <sheetView workbookViewId="0">
      <selection activeCell="H12" sqref="H12"/>
    </sheetView>
  </sheetViews>
  <sheetFormatPr baseColWidth="10" defaultRowHeight="15" x14ac:dyDescent="0.25"/>
  <cols>
    <col min="1" max="1" width="59" bestFit="1" customWidth="1"/>
  </cols>
  <sheetData>
    <row r="2" spans="1:13" ht="45" x14ac:dyDescent="0.25">
      <c r="A2" t="s">
        <v>4902</v>
      </c>
      <c r="B2" s="526" t="s">
        <v>4897</v>
      </c>
      <c r="C2" s="526" t="s">
        <v>4898</v>
      </c>
      <c r="D2" s="526" t="s">
        <v>4899</v>
      </c>
      <c r="E2" s="526" t="s">
        <v>4899</v>
      </c>
      <c r="F2" s="526" t="s">
        <v>4900</v>
      </c>
      <c r="G2" s="526" t="s">
        <v>4901</v>
      </c>
      <c r="H2" s="526"/>
      <c r="J2" s="527" t="s">
        <v>4909</v>
      </c>
    </row>
    <row r="3" spans="1:13" x14ac:dyDescent="0.25">
      <c r="A3" s="377" t="s">
        <v>4903</v>
      </c>
      <c r="B3">
        <f>LEN($A3)-LEN(SUBSTITUTE($A3,"@",""))</f>
        <v>1</v>
      </c>
      <c r="C3">
        <f t="shared" ref="C3" si="0">LEN($A3)-SUMPRODUCT((LEN($A3)-LEN(SUBSTITUTE($A3,$J$2:$J$41,""))))</f>
        <v>0</v>
      </c>
      <c r="D3">
        <f t="shared" ref="D3" si="1">FIND("@",$A3,1)</f>
        <v>12</v>
      </c>
      <c r="E3">
        <f>LEN($A3)-FIND("@",$A3,1)</f>
        <v>9</v>
      </c>
      <c r="F3">
        <f>LEN($A3)</f>
        <v>21</v>
      </c>
      <c r="G3">
        <f t="shared" ref="G3" si="2">LEN($A3)-SEARCH("µ",SUBSTITUTE($A3,".","µ",LEN($A3)-LEN(SUBSTITUTE($A3,".",""))))+1</f>
        <v>3</v>
      </c>
      <c r="J3" s="528" t="s">
        <v>2803</v>
      </c>
    </row>
    <row r="4" spans="1:13" x14ac:dyDescent="0.25">
      <c r="J4" s="528" t="s">
        <v>4910</v>
      </c>
    </row>
    <row r="5" spans="1:13" x14ac:dyDescent="0.25">
      <c r="J5" s="528">
        <v>0</v>
      </c>
    </row>
    <row r="6" spans="1:13" x14ac:dyDescent="0.25">
      <c r="J6" s="528">
        <v>1</v>
      </c>
    </row>
    <row r="7" spans="1:13" x14ac:dyDescent="0.25">
      <c r="J7" s="528">
        <v>2</v>
      </c>
    </row>
    <row r="8" spans="1:13" x14ac:dyDescent="0.25">
      <c r="B8" t="str">
        <f>SUBSTITUTE(A3,"@","")</f>
        <v>adressemaildetest.fr</v>
      </c>
      <c r="J8" s="528">
        <v>3</v>
      </c>
      <c r="M8" t="str">
        <f>LEFT(A3,FIND("@",A3)-1)</f>
        <v>adressemail</v>
      </c>
    </row>
    <row r="9" spans="1:13" x14ac:dyDescent="0.25">
      <c r="J9" s="528">
        <v>4</v>
      </c>
    </row>
    <row r="10" spans="1:13" x14ac:dyDescent="0.25">
      <c r="J10" s="528">
        <v>5</v>
      </c>
    </row>
    <row r="11" spans="1:13" x14ac:dyDescent="0.25">
      <c r="J11" s="528">
        <v>6</v>
      </c>
    </row>
    <row r="12" spans="1:13" x14ac:dyDescent="0.25">
      <c r="A12" t="s">
        <v>4904</v>
      </c>
      <c r="J12" s="528">
        <v>7</v>
      </c>
    </row>
    <row r="13" spans="1:13" x14ac:dyDescent="0.25">
      <c r="A13" t="s">
        <v>4907</v>
      </c>
      <c r="J13" s="528">
        <v>8</v>
      </c>
    </row>
    <row r="14" spans="1:13" x14ac:dyDescent="0.25">
      <c r="A14" t="s">
        <v>4905</v>
      </c>
      <c r="J14" s="528">
        <v>9</v>
      </c>
    </row>
    <row r="15" spans="1:13" x14ac:dyDescent="0.25">
      <c r="A15" t="s">
        <v>4906</v>
      </c>
      <c r="J15" s="528" t="s">
        <v>4897</v>
      </c>
    </row>
    <row r="16" spans="1:13" x14ac:dyDescent="0.25">
      <c r="A16" t="s">
        <v>4908</v>
      </c>
      <c r="J16" s="528" t="s">
        <v>4911</v>
      </c>
    </row>
    <row r="17" spans="10:10" x14ac:dyDescent="0.25">
      <c r="J17" s="528" t="s">
        <v>4912</v>
      </c>
    </row>
    <row r="18" spans="10:10" x14ac:dyDescent="0.25">
      <c r="J18" s="528" t="s">
        <v>4913</v>
      </c>
    </row>
    <row r="19" spans="10:10" x14ac:dyDescent="0.25">
      <c r="J19" s="528" t="s">
        <v>4914</v>
      </c>
    </row>
    <row r="20" spans="10:10" x14ac:dyDescent="0.25">
      <c r="J20" s="528" t="s">
        <v>4915</v>
      </c>
    </row>
    <row r="21" spans="10:10" x14ac:dyDescent="0.25">
      <c r="J21" s="528" t="s">
        <v>4916</v>
      </c>
    </row>
    <row r="22" spans="10:10" x14ac:dyDescent="0.25">
      <c r="J22" s="528" t="s">
        <v>4917</v>
      </c>
    </row>
    <row r="23" spans="10:10" x14ac:dyDescent="0.25">
      <c r="J23" s="528" t="s">
        <v>4918</v>
      </c>
    </row>
    <row r="24" spans="10:10" x14ac:dyDescent="0.25">
      <c r="J24" s="528" t="s">
        <v>4919</v>
      </c>
    </row>
    <row r="25" spans="10:10" x14ac:dyDescent="0.25">
      <c r="J25" s="528" t="s">
        <v>4920</v>
      </c>
    </row>
    <row r="26" spans="10:10" x14ac:dyDescent="0.25">
      <c r="J26" s="528" t="s">
        <v>4921</v>
      </c>
    </row>
    <row r="27" spans="10:10" x14ac:dyDescent="0.25">
      <c r="J27" s="528" t="s">
        <v>4922</v>
      </c>
    </row>
    <row r="28" spans="10:10" x14ac:dyDescent="0.25">
      <c r="J28" s="528" t="s">
        <v>4923</v>
      </c>
    </row>
    <row r="29" spans="10:10" x14ac:dyDescent="0.25">
      <c r="J29" s="528" t="s">
        <v>4924</v>
      </c>
    </row>
    <row r="30" spans="10:10" x14ac:dyDescent="0.25">
      <c r="J30" s="528" t="s">
        <v>4925</v>
      </c>
    </row>
    <row r="31" spans="10:10" x14ac:dyDescent="0.25">
      <c r="J31" s="528" t="s">
        <v>4926</v>
      </c>
    </row>
    <row r="32" spans="10:10" x14ac:dyDescent="0.25">
      <c r="J32" s="528" t="s">
        <v>4927</v>
      </c>
    </row>
    <row r="33" spans="10:10" x14ac:dyDescent="0.25">
      <c r="J33" s="528" t="s">
        <v>4928</v>
      </c>
    </row>
    <row r="34" spans="10:10" x14ac:dyDescent="0.25">
      <c r="J34" s="528" t="s">
        <v>4929</v>
      </c>
    </row>
    <row r="35" spans="10:10" x14ac:dyDescent="0.25">
      <c r="J35" s="528" t="s">
        <v>4930</v>
      </c>
    </row>
    <row r="36" spans="10:10" x14ac:dyDescent="0.25">
      <c r="J36" s="528" t="s">
        <v>4931</v>
      </c>
    </row>
    <row r="37" spans="10:10" x14ac:dyDescent="0.25">
      <c r="J37" s="528" t="s">
        <v>4932</v>
      </c>
    </row>
    <row r="38" spans="10:10" x14ac:dyDescent="0.25">
      <c r="J38" s="528" t="s">
        <v>4933</v>
      </c>
    </row>
    <row r="39" spans="10:10" x14ac:dyDescent="0.25">
      <c r="J39" s="528" t="s">
        <v>4934</v>
      </c>
    </row>
    <row r="40" spans="10:10" x14ac:dyDescent="0.25">
      <c r="J40" s="528" t="s">
        <v>209</v>
      </c>
    </row>
    <row r="41" spans="10:10" x14ac:dyDescent="0.25">
      <c r="J41" s="528" t="s">
        <v>4935</v>
      </c>
    </row>
    <row r="42" spans="10:10" x14ac:dyDescent="0.25">
      <c r="J42" s="528" t="s">
        <v>4936</v>
      </c>
    </row>
  </sheetData>
  <hyperlinks>
    <hyperlink ref="A3" r:id="rId1"/>
  </hyperlinks>
  <pageMargins left="0.7" right="0.7" top="0.75" bottom="0.75" header="0.3" footer="0.3"/>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800000"/>
  </sheetPr>
  <dimension ref="A1:C70"/>
  <sheetViews>
    <sheetView showGridLines="0" zoomScaleNormal="100" workbookViewId="0">
      <selection activeCell="D27" sqref="D27"/>
    </sheetView>
  </sheetViews>
  <sheetFormatPr baseColWidth="10" defaultColWidth="9.140625" defaultRowHeight="15" x14ac:dyDescent="0.25"/>
  <cols>
    <col min="1" max="1" width="83.28515625" customWidth="1"/>
    <col min="2" max="2" width="9.140625" style="36"/>
    <col min="3" max="3" width="107.5703125" bestFit="1" customWidth="1"/>
  </cols>
  <sheetData>
    <row r="1" spans="1:3" x14ac:dyDescent="0.25">
      <c r="A1" s="42" t="s">
        <v>2423</v>
      </c>
    </row>
    <row r="3" spans="1:3" x14ac:dyDescent="0.25">
      <c r="A3" s="377" t="s">
        <v>2424</v>
      </c>
    </row>
    <row r="5" spans="1:3" ht="33" customHeight="1" x14ac:dyDescent="0.25">
      <c r="A5" s="1028" t="s">
        <v>4957</v>
      </c>
      <c r="B5" s="1028"/>
      <c r="C5" s="1028"/>
    </row>
    <row r="6" spans="1:3" ht="15.75" thickBot="1" x14ac:dyDescent="0.3">
      <c r="A6" s="362"/>
      <c r="B6" s="368"/>
    </row>
    <row r="7" spans="1:3" x14ac:dyDescent="0.25">
      <c r="A7" s="365" t="s">
        <v>2494</v>
      </c>
      <c r="B7" s="366" t="s">
        <v>2495</v>
      </c>
      <c r="C7" s="367" t="s">
        <v>2496</v>
      </c>
    </row>
    <row r="8" spans="1:3" x14ac:dyDescent="0.25">
      <c r="A8" s="371" t="s">
        <v>2425</v>
      </c>
      <c r="B8" s="372" t="s">
        <v>2426</v>
      </c>
      <c r="C8" s="373" t="s">
        <v>2427</v>
      </c>
    </row>
    <row r="9" spans="1:3" x14ac:dyDescent="0.25">
      <c r="A9" s="363" t="s">
        <v>2425</v>
      </c>
      <c r="B9" s="369" t="s">
        <v>2428</v>
      </c>
      <c r="C9" s="51" t="s">
        <v>2429</v>
      </c>
    </row>
    <row r="10" spans="1:3" x14ac:dyDescent="0.25">
      <c r="A10" s="374" t="s">
        <v>2425</v>
      </c>
      <c r="B10" s="375" t="s">
        <v>2430</v>
      </c>
      <c r="C10" s="376" t="s">
        <v>2431</v>
      </c>
    </row>
    <row r="11" spans="1:3" x14ac:dyDescent="0.25">
      <c r="A11" s="371" t="s">
        <v>2432</v>
      </c>
      <c r="B11" s="372">
        <v>1610</v>
      </c>
      <c r="C11" s="373" t="s">
        <v>2433</v>
      </c>
    </row>
    <row r="12" spans="1:3" x14ac:dyDescent="0.25">
      <c r="A12" s="363" t="s">
        <v>2432</v>
      </c>
      <c r="B12" s="369">
        <v>1620</v>
      </c>
      <c r="C12" s="51" t="s">
        <v>2434</v>
      </c>
    </row>
    <row r="13" spans="1:3" x14ac:dyDescent="0.25">
      <c r="A13" s="363" t="s">
        <v>2432</v>
      </c>
      <c r="B13" s="369">
        <v>1630</v>
      </c>
      <c r="C13" s="51" t="s">
        <v>2435</v>
      </c>
    </row>
    <row r="14" spans="1:3" x14ac:dyDescent="0.25">
      <c r="A14" s="363" t="s">
        <v>2432</v>
      </c>
      <c r="B14" s="369">
        <v>1640</v>
      </c>
      <c r="C14" s="51" t="s">
        <v>2436</v>
      </c>
    </row>
    <row r="15" spans="1:3" x14ac:dyDescent="0.25">
      <c r="A15" s="374" t="s">
        <v>2432</v>
      </c>
      <c r="B15" s="375">
        <v>1660</v>
      </c>
      <c r="C15" s="376" t="s">
        <v>2437</v>
      </c>
    </row>
    <row r="16" spans="1:3" x14ac:dyDescent="0.25">
      <c r="A16" s="371" t="s">
        <v>2438</v>
      </c>
      <c r="B16" s="372">
        <v>2811</v>
      </c>
      <c r="C16" s="373" t="s">
        <v>2439</v>
      </c>
    </row>
    <row r="17" spans="1:3" x14ac:dyDescent="0.25">
      <c r="A17" s="363" t="s">
        <v>2438</v>
      </c>
      <c r="B17" s="369">
        <v>2821</v>
      </c>
      <c r="C17" s="51" t="s">
        <v>2440</v>
      </c>
    </row>
    <row r="18" spans="1:3" x14ac:dyDescent="0.25">
      <c r="A18" s="374" t="s">
        <v>2438</v>
      </c>
      <c r="B18" s="375">
        <v>2831</v>
      </c>
      <c r="C18" s="376" t="s">
        <v>2441</v>
      </c>
    </row>
    <row r="19" spans="1:3" x14ac:dyDescent="0.25">
      <c r="A19" s="363" t="s">
        <v>2442</v>
      </c>
      <c r="B19" s="369">
        <v>2912</v>
      </c>
      <c r="C19" s="51" t="s">
        <v>2443</v>
      </c>
    </row>
    <row r="20" spans="1:3" x14ac:dyDescent="0.25">
      <c r="A20" s="363" t="s">
        <v>2442</v>
      </c>
      <c r="B20" s="369">
        <v>2913</v>
      </c>
      <c r="C20" s="51" t="s">
        <v>2444</v>
      </c>
    </row>
    <row r="21" spans="1:3" x14ac:dyDescent="0.25">
      <c r="A21" s="363" t="s">
        <v>2442</v>
      </c>
      <c r="B21" s="369">
        <v>2922</v>
      </c>
      <c r="C21" s="51" t="s">
        <v>2445</v>
      </c>
    </row>
    <row r="22" spans="1:3" x14ac:dyDescent="0.25">
      <c r="A22" s="363" t="s">
        <v>2442</v>
      </c>
      <c r="B22" s="369">
        <v>2923</v>
      </c>
      <c r="C22" s="51" t="s">
        <v>2446</v>
      </c>
    </row>
    <row r="23" spans="1:3" x14ac:dyDescent="0.25">
      <c r="A23" s="363" t="s">
        <v>2442</v>
      </c>
      <c r="B23" s="369">
        <v>2932</v>
      </c>
      <c r="C23" s="51" t="s">
        <v>2447</v>
      </c>
    </row>
    <row r="24" spans="1:3" x14ac:dyDescent="0.25">
      <c r="A24" s="374" t="s">
        <v>2442</v>
      </c>
      <c r="B24" s="375">
        <v>2933</v>
      </c>
      <c r="C24" s="376" t="s">
        <v>2448</v>
      </c>
    </row>
    <row r="25" spans="1:3" x14ac:dyDescent="0.25">
      <c r="A25" s="363" t="s">
        <v>2449</v>
      </c>
      <c r="B25" s="369">
        <v>3511</v>
      </c>
      <c r="C25" s="51" t="s">
        <v>2450</v>
      </c>
    </row>
    <row r="26" spans="1:3" x14ac:dyDescent="0.25">
      <c r="A26" s="363" t="s">
        <v>2449</v>
      </c>
      <c r="B26" s="369">
        <v>3512</v>
      </c>
      <c r="C26" s="51" t="s">
        <v>2451</v>
      </c>
    </row>
    <row r="27" spans="1:3" x14ac:dyDescent="0.25">
      <c r="A27" s="363" t="s">
        <v>2449</v>
      </c>
      <c r="B27" s="369">
        <v>3513</v>
      </c>
      <c r="C27" s="51" t="s">
        <v>2452</v>
      </c>
    </row>
    <row r="28" spans="1:3" x14ac:dyDescent="0.25">
      <c r="A28" s="363" t="s">
        <v>2449</v>
      </c>
      <c r="B28" s="369">
        <v>3520</v>
      </c>
      <c r="C28" s="51" t="s">
        <v>2453</v>
      </c>
    </row>
    <row r="29" spans="1:3" x14ac:dyDescent="0.25">
      <c r="A29" s="363" t="s">
        <v>2449</v>
      </c>
      <c r="B29" s="369">
        <v>3530</v>
      </c>
      <c r="C29" s="51" t="s">
        <v>2454</v>
      </c>
    </row>
    <row r="30" spans="1:3" x14ac:dyDescent="0.25">
      <c r="A30" s="374" t="s">
        <v>2449</v>
      </c>
      <c r="B30" s="375">
        <v>3540</v>
      </c>
      <c r="C30" s="376" t="s">
        <v>2455</v>
      </c>
    </row>
    <row r="31" spans="1:3" x14ac:dyDescent="0.25">
      <c r="A31" s="363" t="s">
        <v>2456</v>
      </c>
      <c r="B31" s="369">
        <v>3610</v>
      </c>
      <c r="C31" s="51" t="s">
        <v>2457</v>
      </c>
    </row>
    <row r="32" spans="1:3" x14ac:dyDescent="0.25">
      <c r="A32" s="363" t="s">
        <v>2456</v>
      </c>
      <c r="B32" s="369">
        <v>3620</v>
      </c>
      <c r="C32" s="51" t="s">
        <v>2458</v>
      </c>
    </row>
    <row r="33" spans="1:3" x14ac:dyDescent="0.25">
      <c r="A33" s="363" t="s">
        <v>2456</v>
      </c>
      <c r="B33" s="369">
        <v>3630</v>
      </c>
      <c r="C33" s="51" t="s">
        <v>2459</v>
      </c>
    </row>
    <row r="34" spans="1:3" x14ac:dyDescent="0.25">
      <c r="A34" s="363" t="s">
        <v>2456</v>
      </c>
      <c r="B34" s="369">
        <v>3640</v>
      </c>
      <c r="C34" s="51" t="s">
        <v>2460</v>
      </c>
    </row>
    <row r="35" spans="1:3" x14ac:dyDescent="0.25">
      <c r="A35" s="363" t="s">
        <v>2456</v>
      </c>
      <c r="B35" s="369">
        <v>3650</v>
      </c>
      <c r="C35" s="51" t="s">
        <v>2461</v>
      </c>
    </row>
    <row r="36" spans="1:3" x14ac:dyDescent="0.25">
      <c r="A36" s="363" t="s">
        <v>2456</v>
      </c>
      <c r="B36" s="369">
        <v>3700</v>
      </c>
      <c r="C36" s="51" t="s">
        <v>2462</v>
      </c>
    </row>
    <row r="37" spans="1:3" x14ac:dyDescent="0.25">
      <c r="A37" s="374" t="s">
        <v>2456</v>
      </c>
      <c r="B37" s="375">
        <v>3800</v>
      </c>
      <c r="C37" s="376" t="s">
        <v>2463</v>
      </c>
    </row>
    <row r="38" spans="1:3" x14ac:dyDescent="0.25">
      <c r="A38" s="374" t="s">
        <v>2464</v>
      </c>
      <c r="B38" s="375">
        <v>4500</v>
      </c>
      <c r="C38" s="376" t="s">
        <v>2464</v>
      </c>
    </row>
    <row r="39" spans="1:3" x14ac:dyDescent="0.25">
      <c r="A39" s="374" t="s">
        <v>2465</v>
      </c>
      <c r="B39" s="375">
        <v>4600</v>
      </c>
      <c r="C39" s="376" t="s">
        <v>2465</v>
      </c>
    </row>
    <row r="40" spans="1:3" x14ac:dyDescent="0.25">
      <c r="A40" s="374" t="s">
        <v>2466</v>
      </c>
      <c r="B40" s="375">
        <v>4700</v>
      </c>
      <c r="C40" s="376" t="s">
        <v>2466</v>
      </c>
    </row>
    <row r="41" spans="1:3" x14ac:dyDescent="0.25">
      <c r="A41" s="363" t="s">
        <v>2467</v>
      </c>
      <c r="B41" s="369">
        <v>4810</v>
      </c>
      <c r="C41" s="51" t="s">
        <v>430</v>
      </c>
    </row>
    <row r="42" spans="1:3" x14ac:dyDescent="0.25">
      <c r="A42" s="363" t="s">
        <v>2467</v>
      </c>
      <c r="B42" s="369">
        <v>4820</v>
      </c>
      <c r="C42" s="51" t="s">
        <v>2468</v>
      </c>
    </row>
    <row r="43" spans="1:3" x14ac:dyDescent="0.25">
      <c r="A43" s="363" t="s">
        <v>2467</v>
      </c>
      <c r="B43" s="369">
        <v>4830</v>
      </c>
      <c r="C43" s="51" t="s">
        <v>432</v>
      </c>
    </row>
    <row r="44" spans="1:3" x14ac:dyDescent="0.25">
      <c r="A44" s="374" t="s">
        <v>2467</v>
      </c>
      <c r="B44" s="375">
        <v>4840</v>
      </c>
      <c r="C44" s="376" t="s">
        <v>2469</v>
      </c>
    </row>
    <row r="45" spans="1:3" x14ac:dyDescent="0.25">
      <c r="A45" s="363" t="s">
        <v>2470</v>
      </c>
      <c r="B45" s="369">
        <v>5110</v>
      </c>
      <c r="C45" s="51" t="s">
        <v>2471</v>
      </c>
    </row>
    <row r="46" spans="1:3" x14ac:dyDescent="0.25">
      <c r="A46" s="363" t="s">
        <v>2470</v>
      </c>
      <c r="B46" s="369">
        <v>5120</v>
      </c>
      <c r="C46" s="51" t="s">
        <v>2472</v>
      </c>
    </row>
    <row r="47" spans="1:3" x14ac:dyDescent="0.25">
      <c r="A47" s="363" t="s">
        <v>2470</v>
      </c>
      <c r="B47" s="369">
        <v>5130</v>
      </c>
      <c r="C47" s="51" t="s">
        <v>2473</v>
      </c>
    </row>
    <row r="48" spans="1:3" x14ac:dyDescent="0.25">
      <c r="A48" s="363" t="s">
        <v>2470</v>
      </c>
      <c r="B48" s="369">
        <v>5210</v>
      </c>
      <c r="C48" s="51" t="s">
        <v>2474</v>
      </c>
    </row>
    <row r="49" spans="1:3" x14ac:dyDescent="0.25">
      <c r="A49" s="363" t="s">
        <v>2470</v>
      </c>
      <c r="B49" s="369">
        <v>5220</v>
      </c>
      <c r="C49" s="51" t="s">
        <v>2475</v>
      </c>
    </row>
    <row r="50" spans="1:3" x14ac:dyDescent="0.25">
      <c r="A50" s="363" t="s">
        <v>2470</v>
      </c>
      <c r="B50" s="369">
        <v>5230</v>
      </c>
      <c r="C50" s="51" t="s">
        <v>2476</v>
      </c>
    </row>
    <row r="51" spans="1:3" x14ac:dyDescent="0.25">
      <c r="A51" s="363" t="s">
        <v>2470</v>
      </c>
      <c r="B51" s="369">
        <v>5300</v>
      </c>
      <c r="C51" s="51" t="s">
        <v>2477</v>
      </c>
    </row>
    <row r="52" spans="1:3" x14ac:dyDescent="0.25">
      <c r="A52" s="363" t="s">
        <v>2470</v>
      </c>
      <c r="B52" s="369">
        <v>7410</v>
      </c>
      <c r="C52" s="51" t="s">
        <v>2478</v>
      </c>
    </row>
    <row r="53" spans="1:3" x14ac:dyDescent="0.25">
      <c r="A53" s="374" t="s">
        <v>2470</v>
      </c>
      <c r="B53" s="375">
        <v>7420</v>
      </c>
      <c r="C53" s="376" t="s">
        <v>2479</v>
      </c>
    </row>
    <row r="54" spans="1:3" x14ac:dyDescent="0.25">
      <c r="A54" s="363" t="s">
        <v>2480</v>
      </c>
      <c r="B54" s="369">
        <v>6110</v>
      </c>
      <c r="C54" s="51" t="s">
        <v>2481</v>
      </c>
    </row>
    <row r="55" spans="1:3" x14ac:dyDescent="0.25">
      <c r="A55" s="363" t="s">
        <v>2480</v>
      </c>
      <c r="B55" s="369">
        <v>6120</v>
      </c>
      <c r="C55" s="51" t="s">
        <v>2482</v>
      </c>
    </row>
    <row r="56" spans="1:3" x14ac:dyDescent="0.25">
      <c r="A56" s="363" t="s">
        <v>2480</v>
      </c>
      <c r="B56" s="369">
        <v>6130</v>
      </c>
      <c r="C56" s="51" t="s">
        <v>2483</v>
      </c>
    </row>
    <row r="57" spans="1:3" x14ac:dyDescent="0.25">
      <c r="A57" s="363" t="s">
        <v>2480</v>
      </c>
      <c r="B57" s="369">
        <v>6140</v>
      </c>
      <c r="C57" s="51" t="s">
        <v>2484</v>
      </c>
    </row>
    <row r="58" spans="1:3" x14ac:dyDescent="0.25">
      <c r="A58" s="363" t="s">
        <v>2480</v>
      </c>
      <c r="B58" s="369">
        <v>6150</v>
      </c>
      <c r="C58" s="51" t="s">
        <v>2485</v>
      </c>
    </row>
    <row r="59" spans="1:3" x14ac:dyDescent="0.25">
      <c r="A59" s="363" t="s">
        <v>2480</v>
      </c>
      <c r="B59" s="369">
        <v>6160</v>
      </c>
      <c r="C59" s="51" t="s">
        <v>2486</v>
      </c>
    </row>
    <row r="60" spans="1:3" x14ac:dyDescent="0.25">
      <c r="A60" s="363" t="s">
        <v>2480</v>
      </c>
      <c r="B60" s="369">
        <v>7310</v>
      </c>
      <c r="C60" s="51" t="s">
        <v>2487</v>
      </c>
    </row>
    <row r="61" spans="1:3" x14ac:dyDescent="0.25">
      <c r="A61" s="363" t="s">
        <v>2480</v>
      </c>
      <c r="B61" s="369">
        <v>7320</v>
      </c>
      <c r="C61" s="51" t="s">
        <v>2488</v>
      </c>
    </row>
    <row r="62" spans="1:3" x14ac:dyDescent="0.25">
      <c r="A62" s="363" t="s">
        <v>2480</v>
      </c>
      <c r="B62" s="369">
        <v>8310</v>
      </c>
      <c r="C62" s="51" t="s">
        <v>2489</v>
      </c>
    </row>
    <row r="63" spans="1:3" x14ac:dyDescent="0.25">
      <c r="A63" s="363" t="s">
        <v>2480</v>
      </c>
      <c r="B63" s="369">
        <v>8320</v>
      </c>
      <c r="C63" s="51" t="s">
        <v>434</v>
      </c>
    </row>
    <row r="64" spans="1:3" x14ac:dyDescent="0.25">
      <c r="A64" s="363" t="s">
        <v>2480</v>
      </c>
      <c r="B64" s="369">
        <v>8330</v>
      </c>
      <c r="C64" s="51" t="s">
        <v>435</v>
      </c>
    </row>
    <row r="65" spans="1:3" x14ac:dyDescent="0.25">
      <c r="A65" s="363" t="s">
        <v>2480</v>
      </c>
      <c r="B65" s="369">
        <v>8340</v>
      </c>
      <c r="C65" s="51" t="s">
        <v>436</v>
      </c>
    </row>
    <row r="66" spans="1:3" x14ac:dyDescent="0.25">
      <c r="A66" s="363" t="s">
        <v>2480</v>
      </c>
      <c r="B66" s="369">
        <v>8410</v>
      </c>
      <c r="C66" s="51" t="s">
        <v>2490</v>
      </c>
    </row>
    <row r="67" spans="1:3" x14ac:dyDescent="0.25">
      <c r="A67" s="363" t="s">
        <v>2480</v>
      </c>
      <c r="B67" s="369">
        <v>8420</v>
      </c>
      <c r="C67" s="51" t="s">
        <v>437</v>
      </c>
    </row>
    <row r="68" spans="1:3" x14ac:dyDescent="0.25">
      <c r="A68" s="363" t="s">
        <v>2480</v>
      </c>
      <c r="B68" s="369">
        <v>8430</v>
      </c>
      <c r="C68" s="51" t="s">
        <v>2491</v>
      </c>
    </row>
    <row r="69" spans="1:3" x14ac:dyDescent="0.25">
      <c r="A69" s="374" t="s">
        <v>2480</v>
      </c>
      <c r="B69" s="375">
        <v>8440</v>
      </c>
      <c r="C69" s="376" t="s">
        <v>2492</v>
      </c>
    </row>
    <row r="70" spans="1:3" ht="15.75" thickBot="1" x14ac:dyDescent="0.3">
      <c r="A70" s="364" t="s">
        <v>2493</v>
      </c>
      <c r="B70" s="370">
        <v>9000</v>
      </c>
      <c r="C70" s="50" t="s">
        <v>2493</v>
      </c>
    </row>
  </sheetData>
  <sheetProtection algorithmName="SHA-512" hashValue="wig/n72yKZ9pJ+qCOVe3Pd0qwLQSSBGgATTD1TW20CDA0LMcAx22kmn3d2mff0InYgKzKjG+CZhpnIB+aMNSkg==" saltValue="0fNiqhMEAQ+EHJvd6jy5aQ==" spinCount="100000" sheet="1" objects="1" scenarios="1"/>
  <mergeCells count="1">
    <mergeCell ref="A5:C5"/>
  </mergeCells>
  <hyperlinks>
    <hyperlink ref="A3" r:id="rId1"/>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X35"/>
  <sheetViews>
    <sheetView zoomScaleNormal="100" workbookViewId="0">
      <selection activeCell="O24" sqref="O24"/>
    </sheetView>
  </sheetViews>
  <sheetFormatPr baseColWidth="10" defaultColWidth="9.140625" defaultRowHeight="15" x14ac:dyDescent="0.25"/>
  <cols>
    <col min="2" max="2" width="26.42578125" bestFit="1" customWidth="1"/>
    <col min="3" max="6" width="12" customWidth="1"/>
    <col min="8" max="8" width="26.42578125" bestFit="1" customWidth="1"/>
    <col min="9" max="12" width="12" customWidth="1"/>
    <col min="14" max="14" width="26.42578125" bestFit="1" customWidth="1"/>
    <col min="15" max="18" width="12" customWidth="1"/>
    <col min="20" max="20" width="26.42578125" bestFit="1" customWidth="1"/>
    <col min="21" max="24" width="12" customWidth="1"/>
  </cols>
  <sheetData>
    <row r="1" spans="2:24" ht="15.75" thickBot="1" x14ac:dyDescent="0.3"/>
    <row r="2" spans="2:24" ht="20.25" thickTop="1" thickBot="1" x14ac:dyDescent="0.35">
      <c r="B2" s="1035" t="s">
        <v>2575</v>
      </c>
      <c r="C2" s="1036"/>
      <c r="D2" s="1036"/>
      <c r="E2" s="1036"/>
      <c r="F2" s="1036"/>
      <c r="G2" s="1036"/>
      <c r="H2" s="1036"/>
      <c r="I2" s="1036"/>
      <c r="J2" s="1036"/>
      <c r="K2" s="1036"/>
      <c r="L2" s="1037"/>
      <c r="N2" s="1038" t="s">
        <v>2576</v>
      </c>
      <c r="O2" s="1039"/>
      <c r="P2" s="1039"/>
      <c r="Q2" s="1039"/>
      <c r="R2" s="1039"/>
      <c r="S2" s="1039"/>
      <c r="T2" s="1039"/>
      <c r="U2" s="1039"/>
      <c r="V2" s="1039"/>
      <c r="W2" s="1039"/>
      <c r="X2" s="1040"/>
    </row>
    <row r="3" spans="2:24" x14ac:dyDescent="0.25">
      <c r="B3" s="1029" t="s">
        <v>635</v>
      </c>
      <c r="C3" s="1030"/>
      <c r="D3" s="1030"/>
      <c r="E3" s="1030"/>
      <c r="F3" s="1031"/>
      <c r="H3" s="1032" t="s">
        <v>636</v>
      </c>
      <c r="I3" s="1033"/>
      <c r="J3" s="1033"/>
      <c r="K3" s="1033"/>
      <c r="L3" s="1034"/>
      <c r="N3" s="1041" t="s">
        <v>635</v>
      </c>
      <c r="O3" s="1042"/>
      <c r="P3" s="1042"/>
      <c r="Q3" s="1042"/>
      <c r="R3" s="1043"/>
      <c r="S3" s="65"/>
      <c r="T3" s="1044" t="s">
        <v>636</v>
      </c>
      <c r="U3" s="1045"/>
      <c r="V3" s="1045"/>
      <c r="W3" s="1045"/>
      <c r="X3" s="1046"/>
    </row>
    <row r="4" spans="2:24" ht="45" x14ac:dyDescent="0.25">
      <c r="B4" s="207" t="s">
        <v>285</v>
      </c>
      <c r="C4" s="208" t="s">
        <v>286</v>
      </c>
      <c r="D4" s="208" t="s">
        <v>642</v>
      </c>
      <c r="E4" s="208" t="s">
        <v>287</v>
      </c>
      <c r="F4" s="209" t="s">
        <v>643</v>
      </c>
      <c r="H4" s="210" t="s">
        <v>285</v>
      </c>
      <c r="I4" s="211" t="s">
        <v>286</v>
      </c>
      <c r="J4" s="211" t="s">
        <v>642</v>
      </c>
      <c r="K4" s="211" t="s">
        <v>287</v>
      </c>
      <c r="L4" s="212" t="s">
        <v>643</v>
      </c>
      <c r="M4" s="36"/>
      <c r="N4" s="218" t="s">
        <v>285</v>
      </c>
      <c r="O4" s="219" t="s">
        <v>286</v>
      </c>
      <c r="P4" s="219" t="s">
        <v>642</v>
      </c>
      <c r="Q4" s="219" t="s">
        <v>287</v>
      </c>
      <c r="R4" s="220" t="s">
        <v>643</v>
      </c>
      <c r="S4" s="171"/>
      <c r="T4" s="221" t="s">
        <v>285</v>
      </c>
      <c r="U4" s="222" t="s">
        <v>286</v>
      </c>
      <c r="V4" s="222" t="s">
        <v>642</v>
      </c>
      <c r="W4" s="222" t="s">
        <v>287</v>
      </c>
      <c r="X4" s="223" t="s">
        <v>643</v>
      </c>
    </row>
    <row r="5" spans="2:24" x14ac:dyDescent="0.25">
      <c r="B5" s="197" t="s">
        <v>10</v>
      </c>
      <c r="C5" s="562">
        <v>1</v>
      </c>
      <c r="D5" s="562">
        <v>1.7</v>
      </c>
      <c r="E5" s="562">
        <v>0.26</v>
      </c>
      <c r="F5" s="563">
        <v>1.1499999999999999</v>
      </c>
      <c r="H5" s="84" t="s">
        <v>10</v>
      </c>
      <c r="I5" s="566">
        <v>1.66</v>
      </c>
      <c r="J5" s="566">
        <v>2.75</v>
      </c>
      <c r="K5" s="566">
        <v>10.61</v>
      </c>
      <c r="L5" s="567">
        <v>17.36</v>
      </c>
      <c r="N5" s="213" t="s">
        <v>10</v>
      </c>
      <c r="O5" s="198">
        <v>1</v>
      </c>
      <c r="P5" s="198">
        <v>1.67</v>
      </c>
      <c r="Q5" s="198">
        <v>0.26</v>
      </c>
      <c r="R5" s="203">
        <v>1.28</v>
      </c>
      <c r="S5" s="65"/>
      <c r="T5" s="214" t="s">
        <v>10</v>
      </c>
      <c r="U5" s="198">
        <v>1</v>
      </c>
      <c r="V5" s="198">
        <v>1.67</v>
      </c>
      <c r="W5" s="198">
        <v>9.99</v>
      </c>
      <c r="X5" s="199">
        <v>16</v>
      </c>
    </row>
    <row r="6" spans="2:24" x14ac:dyDescent="0.25">
      <c r="B6" s="197" t="s">
        <v>11</v>
      </c>
      <c r="C6" s="562">
        <v>0.85</v>
      </c>
      <c r="D6" s="562">
        <v>1.72</v>
      </c>
      <c r="E6" s="562">
        <v>0.2</v>
      </c>
      <c r="F6" s="563">
        <v>1.25</v>
      </c>
      <c r="H6" s="84" t="s">
        <v>11</v>
      </c>
      <c r="I6" s="562">
        <v>1.29</v>
      </c>
      <c r="J6" s="562">
        <v>2.4300000000000002</v>
      </c>
      <c r="K6" s="562">
        <v>8.65</v>
      </c>
      <c r="L6" s="568">
        <v>15.04</v>
      </c>
      <c r="N6" s="213" t="s">
        <v>11</v>
      </c>
      <c r="O6" s="198">
        <v>0.89</v>
      </c>
      <c r="P6" s="198">
        <v>1.64</v>
      </c>
      <c r="Q6" s="198">
        <v>0.26</v>
      </c>
      <c r="R6" s="203">
        <v>1.3</v>
      </c>
      <c r="S6" s="65"/>
      <c r="T6" s="214" t="s">
        <v>11</v>
      </c>
      <c r="U6" s="198">
        <v>0.89</v>
      </c>
      <c r="V6" s="198">
        <v>1.64</v>
      </c>
      <c r="W6" s="198">
        <v>9.99</v>
      </c>
      <c r="X6" s="199">
        <v>16</v>
      </c>
    </row>
    <row r="7" spans="2:24" x14ac:dyDescent="0.25">
      <c r="B7" s="197" t="s">
        <v>12</v>
      </c>
      <c r="C7" s="562">
        <v>0.83</v>
      </c>
      <c r="D7" s="562">
        <v>1.79</v>
      </c>
      <c r="E7" s="562">
        <v>0.28000000000000003</v>
      </c>
      <c r="F7" s="563">
        <v>1.28</v>
      </c>
      <c r="H7" s="84" t="s">
        <v>12</v>
      </c>
      <c r="I7" s="562">
        <v>1.66</v>
      </c>
      <c r="J7" s="562">
        <v>2.75</v>
      </c>
      <c r="K7" s="562">
        <v>10.61</v>
      </c>
      <c r="L7" s="568">
        <v>17.36</v>
      </c>
      <c r="N7" s="213" t="s">
        <v>12</v>
      </c>
      <c r="O7" s="198">
        <v>0.8</v>
      </c>
      <c r="P7" s="198">
        <v>1.81</v>
      </c>
      <c r="Q7" s="198">
        <v>0.27</v>
      </c>
      <c r="R7" s="203">
        <v>1.1599999999999999</v>
      </c>
      <c r="S7" s="65"/>
      <c r="T7" s="214" t="s">
        <v>12</v>
      </c>
      <c r="U7" s="198">
        <v>0.8</v>
      </c>
      <c r="V7" s="198">
        <v>1.81</v>
      </c>
      <c r="W7" s="198">
        <v>9.99</v>
      </c>
      <c r="X7" s="199">
        <v>16</v>
      </c>
    </row>
    <row r="8" spans="2:24" x14ac:dyDescent="0.25">
      <c r="B8" s="197" t="s">
        <v>13</v>
      </c>
      <c r="C8" s="562">
        <v>1.07</v>
      </c>
      <c r="D8" s="562">
        <v>1.99</v>
      </c>
      <c r="E8" s="562">
        <v>0.88</v>
      </c>
      <c r="F8" s="563">
        <v>1.99</v>
      </c>
      <c r="H8" s="84" t="s">
        <v>13</v>
      </c>
      <c r="I8" s="562">
        <v>1.66</v>
      </c>
      <c r="J8" s="562">
        <v>2.75</v>
      </c>
      <c r="K8" s="562">
        <v>10.61</v>
      </c>
      <c r="L8" s="568">
        <v>17.36</v>
      </c>
      <c r="N8" s="213" t="s">
        <v>13</v>
      </c>
      <c r="O8" s="198">
        <v>1.03</v>
      </c>
      <c r="P8" s="198">
        <v>1.9</v>
      </c>
      <c r="Q8" s="198">
        <v>0.92</v>
      </c>
      <c r="R8" s="203">
        <v>1.98</v>
      </c>
      <c r="S8" s="65"/>
      <c r="T8" s="214" t="s">
        <v>13</v>
      </c>
      <c r="U8" s="198">
        <v>1.03</v>
      </c>
      <c r="V8" s="198">
        <v>1.9</v>
      </c>
      <c r="W8" s="198">
        <v>8.52</v>
      </c>
      <c r="X8" s="199">
        <v>13.43</v>
      </c>
    </row>
    <row r="9" spans="2:24" x14ac:dyDescent="0.25">
      <c r="B9" s="197" t="s">
        <v>14</v>
      </c>
      <c r="C9" s="562">
        <v>1.02</v>
      </c>
      <c r="D9" s="562">
        <v>1.92</v>
      </c>
      <c r="E9" s="562">
        <v>0.94</v>
      </c>
      <c r="F9" s="563">
        <v>2.48</v>
      </c>
      <c r="H9" s="84" t="s">
        <v>14</v>
      </c>
      <c r="I9" s="562">
        <v>1.66</v>
      </c>
      <c r="J9" s="562">
        <v>2.75</v>
      </c>
      <c r="K9" s="562">
        <v>10.61</v>
      </c>
      <c r="L9" s="568">
        <v>17.36</v>
      </c>
      <c r="N9" s="213" t="s">
        <v>14</v>
      </c>
      <c r="O9" s="198">
        <v>1</v>
      </c>
      <c r="P9" s="198">
        <v>1.93</v>
      </c>
      <c r="Q9" s="198">
        <v>1.1200000000000001</v>
      </c>
      <c r="R9" s="203">
        <v>2.67</v>
      </c>
      <c r="S9" s="65"/>
      <c r="T9" s="214" t="s">
        <v>14</v>
      </c>
      <c r="U9" s="198">
        <v>1</v>
      </c>
      <c r="V9" s="198">
        <v>1.93</v>
      </c>
      <c r="W9" s="198">
        <v>9.99</v>
      </c>
      <c r="X9" s="199">
        <v>16</v>
      </c>
    </row>
    <row r="10" spans="2:24" x14ac:dyDescent="0.25">
      <c r="B10" s="197" t="s">
        <v>15</v>
      </c>
      <c r="C10" s="562">
        <v>0.97</v>
      </c>
      <c r="D10" s="562">
        <v>1.91</v>
      </c>
      <c r="E10" s="562">
        <v>0.49</v>
      </c>
      <c r="F10" s="563">
        <v>1.1000000000000001</v>
      </c>
      <c r="H10" s="84" t="s">
        <v>15</v>
      </c>
      <c r="I10" s="562">
        <v>1.68</v>
      </c>
      <c r="J10" s="562">
        <v>3.13</v>
      </c>
      <c r="K10" s="562">
        <v>7.68</v>
      </c>
      <c r="L10" s="568">
        <v>15.19</v>
      </c>
      <c r="N10" s="213" t="s">
        <v>15</v>
      </c>
      <c r="O10" s="198">
        <v>0.91</v>
      </c>
      <c r="P10" s="198">
        <v>1.74</v>
      </c>
      <c r="Q10" s="198">
        <v>0.61</v>
      </c>
      <c r="R10" s="203">
        <v>1.31</v>
      </c>
      <c r="S10" s="65"/>
      <c r="T10" s="214" t="s">
        <v>15</v>
      </c>
      <c r="U10" s="198">
        <v>0.91</v>
      </c>
      <c r="V10" s="198">
        <v>1.74</v>
      </c>
      <c r="W10" s="198">
        <v>7.13</v>
      </c>
      <c r="X10" s="199">
        <v>15.18</v>
      </c>
    </row>
    <row r="11" spans="2:24" x14ac:dyDescent="0.25">
      <c r="B11" s="197" t="s">
        <v>16</v>
      </c>
      <c r="C11" s="562">
        <v>1.26</v>
      </c>
      <c r="D11" s="562">
        <v>2.34</v>
      </c>
      <c r="E11" s="562">
        <v>1.1499999999999999</v>
      </c>
      <c r="F11" s="563">
        <v>2.75</v>
      </c>
      <c r="H11" s="84" t="s">
        <v>16</v>
      </c>
      <c r="I11" s="562">
        <v>1.59</v>
      </c>
      <c r="J11" s="562">
        <v>2.33</v>
      </c>
      <c r="K11" s="562">
        <v>7.62</v>
      </c>
      <c r="L11" s="568">
        <v>11.91</v>
      </c>
      <c r="N11" s="213" t="s">
        <v>16</v>
      </c>
      <c r="O11" s="198">
        <v>1.1399999999999999</v>
      </c>
      <c r="P11" s="198">
        <v>2.11</v>
      </c>
      <c r="Q11" s="198">
        <v>1.2</v>
      </c>
      <c r="R11" s="203">
        <v>2.7</v>
      </c>
      <c r="S11" s="65"/>
      <c r="T11" s="214" t="s">
        <v>16</v>
      </c>
      <c r="U11" s="198">
        <v>1.1399999999999999</v>
      </c>
      <c r="V11" s="198">
        <v>2.11</v>
      </c>
      <c r="W11" s="198">
        <v>7.17</v>
      </c>
      <c r="X11" s="199">
        <v>11.19</v>
      </c>
    </row>
    <row r="12" spans="2:24" x14ac:dyDescent="0.25">
      <c r="B12" s="197" t="s">
        <v>17</v>
      </c>
      <c r="C12" s="562">
        <v>1.04</v>
      </c>
      <c r="D12" s="562">
        <v>2.09</v>
      </c>
      <c r="E12" s="562">
        <v>1.35</v>
      </c>
      <c r="F12" s="563">
        <v>2.97</v>
      </c>
      <c r="H12" s="84" t="s">
        <v>17</v>
      </c>
      <c r="I12" s="562">
        <v>1.54</v>
      </c>
      <c r="J12" s="562">
        <v>2.58</v>
      </c>
      <c r="K12" s="562">
        <v>13.21</v>
      </c>
      <c r="L12" s="568">
        <v>19.29</v>
      </c>
      <c r="N12" s="213" t="s">
        <v>17</v>
      </c>
      <c r="O12" s="198">
        <v>0.98</v>
      </c>
      <c r="P12" s="198">
        <v>1.99</v>
      </c>
      <c r="Q12" s="198">
        <v>1.55</v>
      </c>
      <c r="R12" s="203">
        <v>3.15</v>
      </c>
      <c r="S12" s="65"/>
      <c r="T12" s="214" t="s">
        <v>17</v>
      </c>
      <c r="U12" s="198">
        <v>0.98</v>
      </c>
      <c r="V12" s="198">
        <v>1.99</v>
      </c>
      <c r="W12" s="198">
        <v>13.46</v>
      </c>
      <c r="X12" s="199">
        <v>19.190000000000001</v>
      </c>
    </row>
    <row r="13" spans="2:24" x14ac:dyDescent="0.25">
      <c r="B13" s="197" t="s">
        <v>18</v>
      </c>
      <c r="C13" s="562">
        <v>0.86</v>
      </c>
      <c r="D13" s="562">
        <v>1.89</v>
      </c>
      <c r="E13" s="562">
        <v>0.32</v>
      </c>
      <c r="F13" s="563">
        <v>1.46</v>
      </c>
      <c r="H13" s="84" t="s">
        <v>18</v>
      </c>
      <c r="I13" s="562">
        <v>1.66</v>
      </c>
      <c r="J13" s="562">
        <v>2.75</v>
      </c>
      <c r="K13" s="562">
        <v>10.61</v>
      </c>
      <c r="L13" s="568">
        <v>17.36</v>
      </c>
      <c r="N13" s="213" t="s">
        <v>18</v>
      </c>
      <c r="O13" s="198">
        <v>0.88</v>
      </c>
      <c r="P13" s="198">
        <v>1.81</v>
      </c>
      <c r="Q13" s="198">
        <v>0.39</v>
      </c>
      <c r="R13" s="203">
        <v>1.26</v>
      </c>
      <c r="S13" s="65"/>
      <c r="T13" s="214" t="s">
        <v>18</v>
      </c>
      <c r="U13" s="198">
        <v>0.88</v>
      </c>
      <c r="V13" s="198">
        <v>1.81</v>
      </c>
      <c r="W13" s="198">
        <v>9.99</v>
      </c>
      <c r="X13" s="199">
        <v>16</v>
      </c>
    </row>
    <row r="14" spans="2:24" x14ac:dyDescent="0.25">
      <c r="B14" s="197" t="s">
        <v>19</v>
      </c>
      <c r="C14" s="562">
        <v>0.96</v>
      </c>
      <c r="D14" s="562">
        <v>1.87</v>
      </c>
      <c r="E14" s="562">
        <v>0.8</v>
      </c>
      <c r="F14" s="563">
        <v>2.2200000000000002</v>
      </c>
      <c r="H14" s="84" t="s">
        <v>19</v>
      </c>
      <c r="I14" s="562">
        <v>1.66</v>
      </c>
      <c r="J14" s="562">
        <v>2.75</v>
      </c>
      <c r="K14" s="562">
        <v>10.61</v>
      </c>
      <c r="L14" s="568">
        <v>17.36</v>
      </c>
      <c r="N14" s="213" t="s">
        <v>19</v>
      </c>
      <c r="O14" s="198">
        <v>1.03</v>
      </c>
      <c r="P14" s="198">
        <v>1.85</v>
      </c>
      <c r="Q14" s="198">
        <v>1</v>
      </c>
      <c r="R14" s="203">
        <v>2.4700000000000002</v>
      </c>
      <c r="S14" s="65"/>
      <c r="T14" s="214" t="s">
        <v>19</v>
      </c>
      <c r="U14" s="198">
        <v>1.03</v>
      </c>
      <c r="V14" s="198">
        <v>1.85</v>
      </c>
      <c r="W14" s="198">
        <v>9.99</v>
      </c>
      <c r="X14" s="199">
        <v>16</v>
      </c>
    </row>
    <row r="15" spans="2:24" x14ac:dyDescent="0.25">
      <c r="B15" s="197" t="s">
        <v>20</v>
      </c>
      <c r="C15" s="562">
        <v>1.21</v>
      </c>
      <c r="D15" s="562">
        <v>2.33</v>
      </c>
      <c r="E15" s="562">
        <v>1.92</v>
      </c>
      <c r="F15" s="563">
        <v>3.49</v>
      </c>
      <c r="H15" s="84" t="s">
        <v>20</v>
      </c>
      <c r="I15" s="562">
        <v>1.92</v>
      </c>
      <c r="J15" s="562">
        <v>2.87</v>
      </c>
      <c r="K15" s="562">
        <v>10.43</v>
      </c>
      <c r="L15" s="568">
        <v>16.739999999999998</v>
      </c>
      <c r="N15" s="213" t="s">
        <v>20</v>
      </c>
      <c r="O15" s="198">
        <v>1.08</v>
      </c>
      <c r="P15" s="198">
        <v>2.11</v>
      </c>
      <c r="Q15" s="198">
        <v>2.12</v>
      </c>
      <c r="R15" s="203">
        <v>3.49</v>
      </c>
      <c r="S15" s="65"/>
      <c r="T15" s="214" t="s">
        <v>20</v>
      </c>
      <c r="U15" s="198">
        <v>1.08</v>
      </c>
      <c r="V15" s="198">
        <v>2.11</v>
      </c>
      <c r="W15" s="198">
        <v>9.4700000000000006</v>
      </c>
      <c r="X15" s="199">
        <v>14.81</v>
      </c>
    </row>
    <row r="16" spans="2:24" x14ac:dyDescent="0.25">
      <c r="B16" s="197" t="s">
        <v>21</v>
      </c>
      <c r="C16" s="562">
        <v>1.17</v>
      </c>
      <c r="D16" s="562">
        <v>2.34</v>
      </c>
      <c r="E16" s="562">
        <v>1.46</v>
      </c>
      <c r="F16" s="563">
        <v>3.09</v>
      </c>
      <c r="H16" s="84" t="s">
        <v>21</v>
      </c>
      <c r="I16" s="562">
        <v>1.4</v>
      </c>
      <c r="J16" s="562">
        <v>2.42</v>
      </c>
      <c r="K16" s="562">
        <v>7.74</v>
      </c>
      <c r="L16" s="568">
        <v>13.84</v>
      </c>
      <c r="N16" s="213" t="s">
        <v>21</v>
      </c>
      <c r="O16" s="198">
        <v>1.05</v>
      </c>
      <c r="P16" s="198">
        <v>2.2599999999999998</v>
      </c>
      <c r="Q16" s="198">
        <v>1.75</v>
      </c>
      <c r="R16" s="203">
        <v>3.45</v>
      </c>
      <c r="S16" s="65"/>
      <c r="T16" s="214" t="s">
        <v>21</v>
      </c>
      <c r="U16" s="198">
        <v>1.05</v>
      </c>
      <c r="V16" s="198">
        <v>2.2599999999999998</v>
      </c>
      <c r="W16" s="198">
        <v>8.51</v>
      </c>
      <c r="X16" s="199">
        <v>13.92</v>
      </c>
    </row>
    <row r="17" spans="2:24" x14ac:dyDescent="0.25">
      <c r="B17" s="197" t="s">
        <v>22</v>
      </c>
      <c r="C17" s="562">
        <v>0.45</v>
      </c>
      <c r="D17" s="562">
        <v>1.58</v>
      </c>
      <c r="E17" s="562">
        <v>0.25</v>
      </c>
      <c r="F17" s="563">
        <v>1.48</v>
      </c>
      <c r="H17" s="84" t="s">
        <v>22</v>
      </c>
      <c r="I17" s="562">
        <v>1.66</v>
      </c>
      <c r="J17" s="562">
        <v>2.75</v>
      </c>
      <c r="K17" s="562">
        <v>10.61</v>
      </c>
      <c r="L17" s="568">
        <v>17.36</v>
      </c>
      <c r="N17" s="213" t="s">
        <v>22</v>
      </c>
      <c r="O17" s="198">
        <v>0.37</v>
      </c>
      <c r="P17" s="198">
        <v>1.51</v>
      </c>
      <c r="Q17" s="198">
        <v>0.32</v>
      </c>
      <c r="R17" s="203">
        <v>1.59</v>
      </c>
      <c r="S17" s="65"/>
      <c r="T17" s="214" t="s">
        <v>22</v>
      </c>
      <c r="U17" s="198">
        <v>0.37</v>
      </c>
      <c r="V17" s="198">
        <v>1.51</v>
      </c>
      <c r="W17" s="198">
        <v>9.99</v>
      </c>
      <c r="X17" s="199">
        <v>16</v>
      </c>
    </row>
    <row r="18" spans="2:24" x14ac:dyDescent="0.25">
      <c r="B18" s="197" t="s">
        <v>23</v>
      </c>
      <c r="C18" s="562">
        <v>0.73</v>
      </c>
      <c r="D18" s="562">
        <v>1.6</v>
      </c>
      <c r="E18" s="562">
        <v>0.39</v>
      </c>
      <c r="F18" s="563">
        <v>1.36</v>
      </c>
      <c r="H18" s="84" t="s">
        <v>23</v>
      </c>
      <c r="I18" s="562">
        <v>1.66</v>
      </c>
      <c r="J18" s="562">
        <v>2.75</v>
      </c>
      <c r="K18" s="562">
        <v>10.61</v>
      </c>
      <c r="L18" s="568">
        <v>17.36</v>
      </c>
      <c r="N18" s="213" t="s">
        <v>23</v>
      </c>
      <c r="O18" s="198">
        <v>0.74</v>
      </c>
      <c r="P18" s="198">
        <v>1.53</v>
      </c>
      <c r="Q18" s="198">
        <v>0.4</v>
      </c>
      <c r="R18" s="203">
        <v>1.33</v>
      </c>
      <c r="S18" s="65"/>
      <c r="T18" s="214" t="s">
        <v>23</v>
      </c>
      <c r="U18" s="198">
        <v>0.74</v>
      </c>
      <c r="V18" s="198">
        <v>1.53</v>
      </c>
      <c r="W18" s="198">
        <v>9.99</v>
      </c>
      <c r="X18" s="199">
        <v>16</v>
      </c>
    </row>
    <row r="19" spans="2:24" x14ac:dyDescent="0.25">
      <c r="B19" s="197" t="s">
        <v>24</v>
      </c>
      <c r="C19" s="562">
        <v>1.08</v>
      </c>
      <c r="D19" s="562">
        <v>2.02</v>
      </c>
      <c r="E19" s="562">
        <v>0.66</v>
      </c>
      <c r="F19" s="563">
        <v>1.97</v>
      </c>
      <c r="H19" s="84" t="s">
        <v>24</v>
      </c>
      <c r="I19" s="562">
        <v>1.66</v>
      </c>
      <c r="J19" s="562">
        <v>2.75</v>
      </c>
      <c r="K19" s="562">
        <v>10.61</v>
      </c>
      <c r="L19" s="568">
        <v>17.36</v>
      </c>
      <c r="N19" s="213" t="s">
        <v>24</v>
      </c>
      <c r="O19" s="198">
        <v>1.04</v>
      </c>
      <c r="P19" s="198">
        <v>1.95</v>
      </c>
      <c r="Q19" s="198">
        <v>0.79</v>
      </c>
      <c r="R19" s="203">
        <v>2.16</v>
      </c>
      <c r="S19" s="65"/>
      <c r="T19" s="214" t="s">
        <v>24</v>
      </c>
      <c r="U19" s="198">
        <v>1.04</v>
      </c>
      <c r="V19" s="198">
        <v>1.95</v>
      </c>
      <c r="W19" s="198">
        <v>9.99</v>
      </c>
      <c r="X19" s="199">
        <v>16</v>
      </c>
    </row>
    <row r="20" spans="2:24" x14ac:dyDescent="0.25">
      <c r="B20" s="197" t="s">
        <v>25</v>
      </c>
      <c r="C20" s="562">
        <v>0.63</v>
      </c>
      <c r="D20" s="562">
        <v>1.61</v>
      </c>
      <c r="E20" s="562">
        <v>0.26</v>
      </c>
      <c r="F20" s="563">
        <v>1.3</v>
      </c>
      <c r="H20" s="84" t="s">
        <v>25</v>
      </c>
      <c r="I20" s="562">
        <v>1.66</v>
      </c>
      <c r="J20" s="562">
        <v>2.75</v>
      </c>
      <c r="K20" s="562">
        <v>10.61</v>
      </c>
      <c r="L20" s="568">
        <v>17.36</v>
      </c>
      <c r="N20" s="213" t="s">
        <v>25</v>
      </c>
      <c r="O20" s="198">
        <v>0.68</v>
      </c>
      <c r="P20" s="198">
        <v>1.58</v>
      </c>
      <c r="Q20" s="198">
        <v>0.3</v>
      </c>
      <c r="R20" s="203">
        <v>1.39</v>
      </c>
      <c r="S20" s="65"/>
      <c r="T20" s="214" t="s">
        <v>25</v>
      </c>
      <c r="U20" s="198">
        <v>0.68</v>
      </c>
      <c r="V20" s="198">
        <v>1.58</v>
      </c>
      <c r="W20" s="198">
        <v>9.99</v>
      </c>
      <c r="X20" s="199">
        <v>16</v>
      </c>
    </row>
    <row r="21" spans="2:24" x14ac:dyDescent="0.25">
      <c r="B21" s="197" t="s">
        <v>26</v>
      </c>
      <c r="C21" s="562">
        <v>1.2</v>
      </c>
      <c r="D21" s="562">
        <v>2.21</v>
      </c>
      <c r="E21" s="562">
        <v>1.5</v>
      </c>
      <c r="F21" s="563">
        <v>2.91</v>
      </c>
      <c r="H21" s="84" t="s">
        <v>26</v>
      </c>
      <c r="I21" s="562">
        <v>1.99</v>
      </c>
      <c r="J21" s="562">
        <v>3.01</v>
      </c>
      <c r="K21" s="562">
        <v>12.13</v>
      </c>
      <c r="L21" s="568">
        <v>18.28</v>
      </c>
      <c r="N21" s="213" t="s">
        <v>26</v>
      </c>
      <c r="O21" s="198">
        <v>1.1000000000000001</v>
      </c>
      <c r="P21" s="198">
        <v>1.95</v>
      </c>
      <c r="Q21" s="198">
        <v>2.38</v>
      </c>
      <c r="R21" s="203">
        <v>4.12</v>
      </c>
      <c r="S21" s="65"/>
      <c r="T21" s="214" t="s">
        <v>26</v>
      </c>
      <c r="U21" s="198">
        <v>1.1000000000000001</v>
      </c>
      <c r="V21" s="198">
        <v>1.95</v>
      </c>
      <c r="W21" s="198">
        <v>11.02</v>
      </c>
      <c r="X21" s="199">
        <v>16.100000000000001</v>
      </c>
    </row>
    <row r="22" spans="2:24" x14ac:dyDescent="0.25">
      <c r="B22" s="197" t="s">
        <v>27</v>
      </c>
      <c r="C22" s="562">
        <v>0.93</v>
      </c>
      <c r="D22" s="562">
        <v>1.95</v>
      </c>
      <c r="E22" s="562">
        <v>0.55000000000000004</v>
      </c>
      <c r="F22" s="563">
        <v>1.42</v>
      </c>
      <c r="H22" s="84" t="s">
        <v>27</v>
      </c>
      <c r="I22" s="562">
        <v>1.66</v>
      </c>
      <c r="J22" s="562">
        <v>2.75</v>
      </c>
      <c r="K22" s="562">
        <v>10.61</v>
      </c>
      <c r="L22" s="568">
        <v>17.36</v>
      </c>
      <c r="N22" s="213" t="s">
        <v>27</v>
      </c>
      <c r="O22" s="198">
        <v>0.92</v>
      </c>
      <c r="P22" s="198">
        <v>1.81</v>
      </c>
      <c r="Q22" s="198">
        <v>0.56999999999999995</v>
      </c>
      <c r="R22" s="203">
        <v>1.45</v>
      </c>
      <c r="S22" s="65"/>
      <c r="T22" s="214" t="s">
        <v>27</v>
      </c>
      <c r="U22" s="198">
        <v>0.92</v>
      </c>
      <c r="V22" s="198">
        <v>1.81</v>
      </c>
      <c r="W22" s="198">
        <v>9.99</v>
      </c>
      <c r="X22" s="199">
        <v>16</v>
      </c>
    </row>
    <row r="23" spans="2:24" x14ac:dyDescent="0.25">
      <c r="B23" s="197" t="s">
        <v>28</v>
      </c>
      <c r="C23" s="562">
        <v>1.29</v>
      </c>
      <c r="D23" s="562">
        <v>2.2999999999999998</v>
      </c>
      <c r="E23" s="562">
        <v>1.56</v>
      </c>
      <c r="F23" s="563">
        <v>2.94</v>
      </c>
      <c r="H23" s="84" t="s">
        <v>28</v>
      </c>
      <c r="I23" s="562">
        <v>1.56</v>
      </c>
      <c r="J23" s="562">
        <v>2.5299999999999998</v>
      </c>
      <c r="K23" s="562">
        <v>11.25</v>
      </c>
      <c r="L23" s="568">
        <v>18.079999999999998</v>
      </c>
      <c r="N23" s="213" t="s">
        <v>28</v>
      </c>
      <c r="O23" s="198">
        <v>1.18</v>
      </c>
      <c r="P23" s="198">
        <v>2.11</v>
      </c>
      <c r="Q23" s="198">
        <v>1.91</v>
      </c>
      <c r="R23" s="203">
        <v>3.39</v>
      </c>
      <c r="S23" s="65"/>
      <c r="T23" s="214" t="s">
        <v>28</v>
      </c>
      <c r="U23" s="198">
        <v>1.18</v>
      </c>
      <c r="V23" s="198">
        <v>2.11</v>
      </c>
      <c r="W23" s="198">
        <v>10.9</v>
      </c>
      <c r="X23" s="199">
        <v>17.03</v>
      </c>
    </row>
    <row r="24" spans="2:24" x14ac:dyDescent="0.25">
      <c r="B24" s="197" t="s">
        <v>29</v>
      </c>
      <c r="C24" s="562">
        <v>0.98</v>
      </c>
      <c r="D24" s="562">
        <v>2.0099999999999998</v>
      </c>
      <c r="E24" s="562">
        <v>0.67</v>
      </c>
      <c r="F24" s="563">
        <v>1.83</v>
      </c>
      <c r="H24" s="84" t="s">
        <v>29</v>
      </c>
      <c r="I24" s="562">
        <v>1.36</v>
      </c>
      <c r="J24" s="562">
        <v>2.3199999999999998</v>
      </c>
      <c r="K24" s="562">
        <v>7.63</v>
      </c>
      <c r="L24" s="568">
        <v>13.09</v>
      </c>
      <c r="N24" s="213" t="s">
        <v>29</v>
      </c>
      <c r="O24" s="198">
        <v>0.9</v>
      </c>
      <c r="P24" s="198">
        <v>1.89</v>
      </c>
      <c r="Q24" s="198">
        <v>0.61</v>
      </c>
      <c r="R24" s="203">
        <v>1.7</v>
      </c>
      <c r="S24" s="65"/>
      <c r="T24" s="214" t="s">
        <v>29</v>
      </c>
      <c r="U24" s="198">
        <v>0.9</v>
      </c>
      <c r="V24" s="198">
        <v>1.89</v>
      </c>
      <c r="W24" s="198">
        <v>9.99</v>
      </c>
      <c r="X24" s="199">
        <v>16</v>
      </c>
    </row>
    <row r="25" spans="2:24" x14ac:dyDescent="0.25">
      <c r="B25" s="197" t="s">
        <v>30</v>
      </c>
      <c r="C25" s="562">
        <v>0.52</v>
      </c>
      <c r="D25" s="562">
        <v>1.57</v>
      </c>
      <c r="E25" s="562">
        <v>0.35</v>
      </c>
      <c r="F25" s="563">
        <v>1.56</v>
      </c>
      <c r="H25" s="84" t="s">
        <v>30</v>
      </c>
      <c r="I25" s="562">
        <v>1.66</v>
      </c>
      <c r="J25" s="562">
        <v>2.75</v>
      </c>
      <c r="K25" s="562">
        <v>10.61</v>
      </c>
      <c r="L25" s="568">
        <v>17.36</v>
      </c>
      <c r="N25" s="213" t="s">
        <v>30</v>
      </c>
      <c r="O25" s="198">
        <v>0.47</v>
      </c>
      <c r="P25" s="198">
        <v>1.45</v>
      </c>
      <c r="Q25" s="198">
        <v>0.43</v>
      </c>
      <c r="R25" s="203">
        <v>1.46</v>
      </c>
      <c r="S25" s="65"/>
      <c r="T25" s="214" t="s">
        <v>30</v>
      </c>
      <c r="U25" s="198">
        <v>0.47</v>
      </c>
      <c r="V25" s="198">
        <v>1.45</v>
      </c>
      <c r="W25" s="198">
        <v>9.99</v>
      </c>
      <c r="X25" s="199">
        <v>16</v>
      </c>
    </row>
    <row r="26" spans="2:24" ht="15.75" thickBot="1" x14ac:dyDescent="0.3">
      <c r="B26" s="200" t="s">
        <v>31</v>
      </c>
      <c r="C26" s="564">
        <v>0.84</v>
      </c>
      <c r="D26" s="564">
        <v>1.74</v>
      </c>
      <c r="E26" s="564">
        <v>0.1</v>
      </c>
      <c r="F26" s="565">
        <v>1.1299999999999999</v>
      </c>
      <c r="G26" s="205"/>
      <c r="H26" s="206" t="s">
        <v>31</v>
      </c>
      <c r="I26" s="564">
        <v>1.66</v>
      </c>
      <c r="J26" s="564">
        <v>2.75</v>
      </c>
      <c r="K26" s="564">
        <v>10.61</v>
      </c>
      <c r="L26" s="569">
        <v>17.36</v>
      </c>
      <c r="N26" s="215" t="s">
        <v>31</v>
      </c>
      <c r="O26" s="201">
        <v>0.86</v>
      </c>
      <c r="P26" s="201">
        <v>1.74</v>
      </c>
      <c r="Q26" s="201">
        <v>0.18</v>
      </c>
      <c r="R26" s="204">
        <v>1.18</v>
      </c>
      <c r="S26" s="216"/>
      <c r="T26" s="217" t="s">
        <v>31</v>
      </c>
      <c r="U26" s="201">
        <v>0.86</v>
      </c>
      <c r="V26" s="201">
        <v>1.74</v>
      </c>
      <c r="W26" s="201">
        <v>9.99</v>
      </c>
      <c r="X26" s="202">
        <v>16</v>
      </c>
    </row>
    <row r="27" spans="2:24" ht="15.75" thickTop="1" x14ac:dyDescent="0.25"/>
    <row r="28" spans="2:24" ht="15" customHeight="1" x14ac:dyDescent="0.25">
      <c r="B28" s="1047" t="s">
        <v>5157</v>
      </c>
      <c r="C28" s="1047"/>
      <c r="D28" s="1047"/>
      <c r="E28" s="1047"/>
      <c r="F28" s="1047"/>
      <c r="G28" s="1047"/>
      <c r="H28" s="1047"/>
      <c r="I28" s="1047"/>
      <c r="J28" s="1047"/>
      <c r="K28" s="1047"/>
      <c r="L28" s="1047"/>
      <c r="N28" s="1047" t="s">
        <v>744</v>
      </c>
      <c r="O28" s="1047"/>
      <c r="P28" s="1047"/>
      <c r="Q28" s="1047"/>
      <c r="R28" s="1047"/>
      <c r="S28" s="1047"/>
      <c r="T28" s="1047"/>
      <c r="U28" s="1047"/>
      <c r="V28" s="1047"/>
      <c r="W28" s="1047"/>
      <c r="X28" s="1047"/>
    </row>
    <row r="29" spans="2:24" x14ac:dyDescent="0.25">
      <c r="B29" s="1047"/>
      <c r="C29" s="1047"/>
      <c r="D29" s="1047"/>
      <c r="E29" s="1047"/>
      <c r="F29" s="1047"/>
      <c r="G29" s="1047"/>
      <c r="H29" s="1047"/>
      <c r="I29" s="1047"/>
      <c r="J29" s="1047"/>
      <c r="K29" s="1047"/>
      <c r="L29" s="1047"/>
      <c r="N29" s="1047"/>
      <c r="O29" s="1047"/>
      <c r="P29" s="1047"/>
      <c r="Q29" s="1047"/>
      <c r="R29" s="1047"/>
      <c r="S29" s="1047"/>
      <c r="T29" s="1047"/>
      <c r="U29" s="1047"/>
      <c r="V29" s="1047"/>
      <c r="W29" s="1047"/>
      <c r="X29" s="1047"/>
    </row>
    <row r="30" spans="2:24" ht="15" customHeight="1" x14ac:dyDescent="0.25">
      <c r="B30" s="1047" t="s">
        <v>5158</v>
      </c>
      <c r="C30" s="1047"/>
      <c r="D30" s="1047"/>
      <c r="E30" s="1047"/>
      <c r="F30" s="1047"/>
      <c r="G30" s="1047"/>
      <c r="H30" s="1047"/>
      <c r="I30" s="1047"/>
      <c r="J30" s="1047"/>
      <c r="K30" s="1047"/>
      <c r="L30" s="1047"/>
      <c r="N30" s="1047" t="s">
        <v>2521</v>
      </c>
      <c r="O30" s="1047"/>
      <c r="P30" s="1047"/>
      <c r="Q30" s="1047"/>
      <c r="R30" s="1047"/>
      <c r="S30" s="1047"/>
      <c r="T30" s="1047"/>
      <c r="U30" s="1047"/>
      <c r="V30" s="1047"/>
      <c r="W30" s="1047"/>
      <c r="X30" s="1047"/>
    </row>
    <row r="31" spans="2:24" x14ac:dyDescent="0.25">
      <c r="B31" s="1047"/>
      <c r="C31" s="1047"/>
      <c r="D31" s="1047"/>
      <c r="E31" s="1047"/>
      <c r="F31" s="1047"/>
      <c r="G31" s="1047"/>
      <c r="H31" s="1047"/>
      <c r="I31" s="1047"/>
      <c r="J31" s="1047"/>
      <c r="K31" s="1047"/>
      <c r="L31" s="1047"/>
      <c r="N31" s="1047"/>
      <c r="O31" s="1047"/>
      <c r="P31" s="1047"/>
      <c r="Q31" s="1047"/>
      <c r="R31" s="1047"/>
      <c r="S31" s="1047"/>
      <c r="T31" s="1047"/>
      <c r="U31" s="1047"/>
      <c r="V31" s="1047"/>
      <c r="W31" s="1047"/>
      <c r="X31" s="1047"/>
    </row>
    <row r="32" spans="2:24" x14ac:dyDescent="0.25">
      <c r="B32" s="1047"/>
      <c r="C32" s="1047"/>
      <c r="D32" s="1047"/>
      <c r="E32" s="1047"/>
      <c r="F32" s="1047"/>
      <c r="G32" s="1047"/>
      <c r="H32" s="1047"/>
      <c r="I32" s="1047"/>
      <c r="J32" s="1047"/>
      <c r="K32" s="1047"/>
      <c r="L32" s="1047"/>
      <c r="N32" s="1047"/>
      <c r="O32" s="1047"/>
      <c r="P32" s="1047"/>
      <c r="Q32" s="1047"/>
      <c r="R32" s="1047"/>
      <c r="S32" s="1047"/>
      <c r="T32" s="1047"/>
      <c r="U32" s="1047"/>
      <c r="V32" s="1047"/>
      <c r="W32" s="1047"/>
      <c r="X32" s="1047"/>
    </row>
    <row r="33" spans="2:24" ht="15" customHeight="1" x14ac:dyDescent="0.25">
      <c r="B33" s="1047" t="s">
        <v>5159</v>
      </c>
      <c r="C33" s="1047"/>
      <c r="D33" s="1047"/>
      <c r="E33" s="1047"/>
      <c r="F33" s="1047"/>
      <c r="G33" s="1047"/>
      <c r="H33" s="1047"/>
      <c r="I33" s="1047"/>
      <c r="J33" s="1047"/>
      <c r="K33" s="1047"/>
      <c r="L33" s="1047"/>
      <c r="N33" s="1047" t="s">
        <v>2522</v>
      </c>
      <c r="O33" s="1047"/>
      <c r="P33" s="1047"/>
      <c r="Q33" s="1047"/>
      <c r="R33" s="1047"/>
      <c r="S33" s="1047"/>
      <c r="T33" s="1047"/>
      <c r="U33" s="1047"/>
      <c r="V33" s="1047"/>
      <c r="W33" s="1047"/>
      <c r="X33" s="1047"/>
    </row>
    <row r="34" spans="2:24" x14ac:dyDescent="0.25">
      <c r="B34" s="1047"/>
      <c r="C34" s="1047"/>
      <c r="D34" s="1047"/>
      <c r="E34" s="1047"/>
      <c r="F34" s="1047"/>
      <c r="G34" s="1047"/>
      <c r="H34" s="1047"/>
      <c r="I34" s="1047"/>
      <c r="J34" s="1047"/>
      <c r="K34" s="1047"/>
      <c r="L34" s="1047"/>
      <c r="N34" s="1047"/>
      <c r="O34" s="1047"/>
      <c r="P34" s="1047"/>
      <c r="Q34" s="1047"/>
      <c r="R34" s="1047"/>
      <c r="S34" s="1047"/>
      <c r="T34" s="1047"/>
      <c r="U34" s="1047"/>
      <c r="V34" s="1047"/>
      <c r="W34" s="1047"/>
      <c r="X34" s="1047"/>
    </row>
    <row r="35" spans="2:24" x14ac:dyDescent="0.25">
      <c r="B35" s="1047"/>
      <c r="C35" s="1047"/>
      <c r="D35" s="1047"/>
      <c r="E35" s="1047"/>
      <c r="F35" s="1047"/>
      <c r="G35" s="1047"/>
      <c r="H35" s="1047"/>
      <c r="I35" s="1047"/>
      <c r="J35" s="1047"/>
      <c r="K35" s="1047"/>
      <c r="L35" s="1047"/>
      <c r="N35" s="1047"/>
      <c r="O35" s="1047"/>
      <c r="P35" s="1047"/>
      <c r="Q35" s="1047"/>
      <c r="R35" s="1047"/>
      <c r="S35" s="1047"/>
      <c r="T35" s="1047"/>
      <c r="U35" s="1047"/>
      <c r="V35" s="1047"/>
      <c r="W35" s="1047"/>
      <c r="X35" s="1047"/>
    </row>
  </sheetData>
  <sheetProtection algorithmName="SHA-512" hashValue="fbS9vrsjpSlBbKqqfwRbwQDNzZS7rvKC+mpBF4kGcjhjBW0oYxzy+omrAdAVa/oEBk9kIbA9qTpI9oVbI9GpbQ==" saltValue="1MfBLOWc63p0uwPCmqxUjw==" spinCount="100000" sheet="1" objects="1" scenarios="1"/>
  <mergeCells count="12">
    <mergeCell ref="B28:L29"/>
    <mergeCell ref="B30:L32"/>
    <mergeCell ref="B33:L35"/>
    <mergeCell ref="N28:X29"/>
    <mergeCell ref="N30:X32"/>
    <mergeCell ref="N33:X35"/>
    <mergeCell ref="B3:F3"/>
    <mergeCell ref="H3:L3"/>
    <mergeCell ref="B2:L2"/>
    <mergeCell ref="N2:X2"/>
    <mergeCell ref="N3:R3"/>
    <mergeCell ref="T3:X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1:V306"/>
  <sheetViews>
    <sheetView zoomScaleNormal="100" workbookViewId="0">
      <pane ySplit="4" topLeftCell="A5" activePane="bottomLeft" state="frozen"/>
      <selection activeCell="L226" sqref="L226:M226"/>
      <selection pane="bottomLeft" activeCell="K31" sqref="K31"/>
    </sheetView>
  </sheetViews>
  <sheetFormatPr baseColWidth="10" defaultColWidth="9.140625" defaultRowHeight="15" x14ac:dyDescent="0.25"/>
  <cols>
    <col min="2" max="2" width="9.140625" hidden="1" customWidth="1"/>
    <col min="3" max="3" width="54.140625" hidden="1" customWidth="1"/>
    <col min="4" max="4" width="4.7109375" customWidth="1"/>
    <col min="5" max="5" width="28.140625" style="36" bestFit="1" customWidth="1"/>
    <col min="6" max="6" width="13.42578125" style="36" customWidth="1"/>
    <col min="7" max="7" width="33" style="36" hidden="1" customWidth="1"/>
    <col min="8" max="11" width="19.42578125" style="36" customWidth="1"/>
    <col min="12" max="12" width="6.85546875" style="36" customWidth="1"/>
    <col min="13" max="13" width="12.5703125" style="36" hidden="1" customWidth="1"/>
    <col min="14" max="14" width="19.42578125" style="289" hidden="1" customWidth="1"/>
    <col min="16" max="16" width="26.5703125" style="65" bestFit="1" customWidth="1"/>
    <col min="17" max="17" width="13.42578125" style="65" customWidth="1"/>
    <col min="18" max="18" width="33" style="65" hidden="1" customWidth="1"/>
    <col min="19" max="22" width="19.42578125" style="65" customWidth="1"/>
  </cols>
  <sheetData>
    <row r="1" spans="2:22" ht="15.75" thickBot="1" x14ac:dyDescent="0.3"/>
    <row r="2" spans="2:22" ht="20.25" thickTop="1" thickBot="1" x14ac:dyDescent="0.35">
      <c r="E2" s="1053" t="s">
        <v>2575</v>
      </c>
      <c r="F2" s="1054"/>
      <c r="G2" s="1054"/>
      <c r="H2" s="1054"/>
      <c r="I2" s="1054"/>
      <c r="J2" s="1054"/>
      <c r="K2" s="1055"/>
      <c r="L2" s="287"/>
      <c r="M2" s="287"/>
      <c r="N2" s="290"/>
      <c r="P2" s="1062" t="s">
        <v>2576</v>
      </c>
      <c r="Q2" s="1063"/>
      <c r="R2" s="1063"/>
      <c r="S2" s="1063"/>
      <c r="T2" s="1063"/>
      <c r="U2" s="1063"/>
      <c r="V2" s="1064"/>
    </row>
    <row r="3" spans="2:22" x14ac:dyDescent="0.25">
      <c r="B3" s="1" t="s">
        <v>693</v>
      </c>
      <c r="C3" s="1" t="s">
        <v>691</v>
      </c>
      <c r="E3" s="1060" t="s">
        <v>285</v>
      </c>
      <c r="F3" s="1058" t="s">
        <v>637</v>
      </c>
      <c r="G3" s="1056" t="s">
        <v>638</v>
      </c>
      <c r="H3" s="1051" t="s">
        <v>291</v>
      </c>
      <c r="I3" s="1051"/>
      <c r="J3" s="1051" t="s">
        <v>292</v>
      </c>
      <c r="K3" s="1052"/>
      <c r="L3" s="286"/>
      <c r="M3" s="1" t="s">
        <v>694</v>
      </c>
      <c r="N3" s="291" t="s">
        <v>692</v>
      </c>
      <c r="P3" s="1065" t="s">
        <v>285</v>
      </c>
      <c r="Q3" s="1067" t="s">
        <v>637</v>
      </c>
      <c r="R3" s="1069" t="s">
        <v>638</v>
      </c>
      <c r="S3" s="1071" t="s">
        <v>291</v>
      </c>
      <c r="T3" s="1071"/>
      <c r="U3" s="1071" t="s">
        <v>292</v>
      </c>
      <c r="V3" s="1072"/>
    </row>
    <row r="4" spans="2:22" ht="15.75" thickBot="1" x14ac:dyDescent="0.3">
      <c r="E4" s="1061"/>
      <c r="F4" s="1059"/>
      <c r="G4" s="1057"/>
      <c r="H4" s="250" t="s">
        <v>293</v>
      </c>
      <c r="I4" s="251" t="s">
        <v>294</v>
      </c>
      <c r="J4" s="250" t="s">
        <v>293</v>
      </c>
      <c r="K4" s="252" t="s">
        <v>294</v>
      </c>
      <c r="L4" s="288"/>
      <c r="M4" s="288"/>
      <c r="N4" s="292"/>
      <c r="P4" s="1066"/>
      <c r="Q4" s="1068"/>
      <c r="R4" s="1070"/>
      <c r="S4" s="239" t="s">
        <v>293</v>
      </c>
      <c r="T4" s="240" t="s">
        <v>294</v>
      </c>
      <c r="U4" s="239" t="s">
        <v>293</v>
      </c>
      <c r="V4" s="241" t="s">
        <v>294</v>
      </c>
    </row>
    <row r="5" spans="2:22" x14ac:dyDescent="0.25">
      <c r="B5" t="str">
        <f>E5&amp;F5</f>
        <v>AlsaceAbricotier</v>
      </c>
      <c r="C5" t="str">
        <f>E5&amp;F5&amp;G5</f>
        <v>AlsaceAbricotierAbricotier</v>
      </c>
      <c r="E5" s="232" t="s">
        <v>10</v>
      </c>
      <c r="F5" s="233" t="s">
        <v>130</v>
      </c>
      <c r="G5" s="233" t="s">
        <v>130</v>
      </c>
      <c r="H5" s="225">
        <v>0.01</v>
      </c>
      <c r="I5" s="225">
        <v>0.62</v>
      </c>
      <c r="J5" s="225">
        <v>5.1100000000000003</v>
      </c>
      <c r="K5" s="229">
        <v>10.66</v>
      </c>
      <c r="L5" s="198"/>
      <c r="M5" s="293" t="str">
        <f>P5&amp;Q5</f>
        <v>AlsaceAbricotier</v>
      </c>
      <c r="N5" s="293" t="str">
        <f>P5&amp;Q5&amp;R5</f>
        <v>AlsaceAbricotierAbricotier</v>
      </c>
      <c r="P5" s="242" t="s">
        <v>10</v>
      </c>
      <c r="Q5" s="243" t="s">
        <v>130</v>
      </c>
      <c r="R5" s="243" t="s">
        <v>130</v>
      </c>
      <c r="S5" s="225"/>
      <c r="T5" s="225"/>
      <c r="U5" s="225"/>
      <c r="V5" s="229"/>
    </row>
    <row r="6" spans="2:22" x14ac:dyDescent="0.25">
      <c r="B6" t="str">
        <f t="shared" ref="B6:B69" si="0">E6&amp;F6</f>
        <v>AlsaceAgrumes</v>
      </c>
      <c r="C6" t="str">
        <f t="shared" ref="C6:C69" si="1">E6&amp;F6&amp;G6</f>
        <v>AlsaceAgrumesClémentinier</v>
      </c>
      <c r="E6" s="234" t="s">
        <v>10</v>
      </c>
      <c r="F6" s="137" t="s">
        <v>639</v>
      </c>
      <c r="G6" s="137" t="s">
        <v>138</v>
      </c>
      <c r="H6" s="224">
        <v>0</v>
      </c>
      <c r="I6" s="224">
        <v>0.3</v>
      </c>
      <c r="J6" s="224">
        <v>2</v>
      </c>
      <c r="K6" s="227">
        <v>5</v>
      </c>
      <c r="L6" s="198"/>
      <c r="M6" s="293" t="str">
        <f t="shared" ref="M6:M69" si="2">P6&amp;Q6</f>
        <v>AlsaceAgrumes</v>
      </c>
      <c r="N6" s="293" t="str">
        <f t="shared" ref="N6:N69" si="3">P6&amp;Q6&amp;R6</f>
        <v>AlsaceAgrumesClémentinier</v>
      </c>
      <c r="P6" s="244" t="s">
        <v>10</v>
      </c>
      <c r="Q6" s="245" t="s">
        <v>639</v>
      </c>
      <c r="R6" s="245" t="s">
        <v>138</v>
      </c>
      <c r="S6" s="224"/>
      <c r="T6" s="224"/>
      <c r="U6" s="224"/>
      <c r="V6" s="227"/>
    </row>
    <row r="7" spans="2:22" x14ac:dyDescent="0.25">
      <c r="B7" t="str">
        <f t="shared" si="0"/>
        <v>AlsaceAutres</v>
      </c>
      <c r="C7" t="str">
        <f t="shared" si="1"/>
        <v>AlsaceAutresPrunier</v>
      </c>
      <c r="E7" s="234" t="s">
        <v>10</v>
      </c>
      <c r="F7" s="137" t="s">
        <v>173</v>
      </c>
      <c r="G7" s="137" t="s">
        <v>165</v>
      </c>
      <c r="H7" s="224">
        <v>0</v>
      </c>
      <c r="I7" s="224">
        <v>0.43</v>
      </c>
      <c r="J7" s="224">
        <v>3.64</v>
      </c>
      <c r="K7" s="227">
        <v>10.64</v>
      </c>
      <c r="L7" s="198"/>
      <c r="M7" s="293" t="str">
        <f t="shared" si="2"/>
        <v>AlsaceAutres</v>
      </c>
      <c r="N7" s="293" t="str">
        <f t="shared" si="3"/>
        <v>AlsaceAutresPrunier</v>
      </c>
      <c r="P7" s="244" t="s">
        <v>10</v>
      </c>
      <c r="Q7" s="245" t="s">
        <v>173</v>
      </c>
      <c r="R7" s="245" t="s">
        <v>165</v>
      </c>
      <c r="S7" s="224"/>
      <c r="T7" s="224"/>
      <c r="U7" s="224"/>
      <c r="V7" s="227"/>
    </row>
    <row r="8" spans="2:22" x14ac:dyDescent="0.25">
      <c r="B8" t="str">
        <f t="shared" si="0"/>
        <v>AlsaceCerisier</v>
      </c>
      <c r="C8" t="str">
        <f t="shared" si="1"/>
        <v>AlsaceCerisierCerisier</v>
      </c>
      <c r="E8" s="234" t="s">
        <v>10</v>
      </c>
      <c r="F8" s="137" t="s">
        <v>135</v>
      </c>
      <c r="G8" s="137" t="s">
        <v>135</v>
      </c>
      <c r="H8" s="224">
        <v>0</v>
      </c>
      <c r="I8" s="224">
        <v>0.46</v>
      </c>
      <c r="J8" s="224">
        <v>3.86</v>
      </c>
      <c r="K8" s="227">
        <v>8.0299999999999994</v>
      </c>
      <c r="L8" s="198"/>
      <c r="M8" s="293" t="str">
        <f t="shared" si="2"/>
        <v>AlsaceCerisier</v>
      </c>
      <c r="N8" s="293" t="str">
        <f t="shared" si="3"/>
        <v>AlsaceCerisierCerisier</v>
      </c>
      <c r="P8" s="244" t="s">
        <v>10</v>
      </c>
      <c r="Q8" s="245" t="s">
        <v>135</v>
      </c>
      <c r="R8" s="245" t="s">
        <v>135</v>
      </c>
      <c r="S8" s="224"/>
      <c r="T8" s="224"/>
      <c r="U8" s="224"/>
      <c r="V8" s="227"/>
    </row>
    <row r="9" spans="2:22" x14ac:dyDescent="0.25">
      <c r="B9" t="str">
        <f t="shared" si="0"/>
        <v>AlsaceMirabellier</v>
      </c>
      <c r="C9" t="str">
        <f t="shared" si="1"/>
        <v>AlsaceMirabellierAutres</v>
      </c>
      <c r="E9" s="234" t="s">
        <v>10</v>
      </c>
      <c r="F9" s="137" t="s">
        <v>148</v>
      </c>
      <c r="G9" s="137" t="s">
        <v>173</v>
      </c>
      <c r="H9" s="224">
        <v>0</v>
      </c>
      <c r="I9" s="224">
        <v>0.43</v>
      </c>
      <c r="J9" s="224">
        <v>3.64</v>
      </c>
      <c r="K9" s="227">
        <v>10.64</v>
      </c>
      <c r="L9" s="198"/>
      <c r="M9" s="293" t="str">
        <f t="shared" si="2"/>
        <v>AlsaceMirabellier</v>
      </c>
      <c r="N9" s="293" t="str">
        <f t="shared" si="3"/>
        <v>AlsaceMirabellierAutres</v>
      </c>
      <c r="P9" s="244" t="s">
        <v>10</v>
      </c>
      <c r="Q9" s="245" t="s">
        <v>148</v>
      </c>
      <c r="R9" s="245" t="s">
        <v>173</v>
      </c>
      <c r="S9" s="224"/>
      <c r="T9" s="224"/>
      <c r="U9" s="224"/>
      <c r="V9" s="227"/>
    </row>
    <row r="10" spans="2:22" x14ac:dyDescent="0.25">
      <c r="B10" t="str">
        <f t="shared" si="0"/>
        <v>AlsaceNectarinier</v>
      </c>
      <c r="C10" t="str">
        <f t="shared" si="1"/>
        <v>AlsaceNectarinierNectarinier-Pêcher</v>
      </c>
      <c r="E10" s="234" t="s">
        <v>10</v>
      </c>
      <c r="F10" s="137" t="s">
        <v>154</v>
      </c>
      <c r="G10" s="137" t="s">
        <v>640</v>
      </c>
      <c r="H10" s="224">
        <v>0.03</v>
      </c>
      <c r="I10" s="224">
        <v>0.84</v>
      </c>
      <c r="J10" s="224">
        <v>9.25</v>
      </c>
      <c r="K10" s="227">
        <v>19.38</v>
      </c>
      <c r="L10" s="198"/>
      <c r="M10" s="293" t="str">
        <f t="shared" si="2"/>
        <v>AlsaceNectarinier</v>
      </c>
      <c r="N10" s="293" t="str">
        <f t="shared" si="3"/>
        <v>AlsaceNectarinierNectarinier-Pêcher</v>
      </c>
      <c r="P10" s="244" t="s">
        <v>10</v>
      </c>
      <c r="Q10" s="245" t="s">
        <v>154</v>
      </c>
      <c r="R10" s="245" t="s">
        <v>640</v>
      </c>
      <c r="S10" s="224"/>
      <c r="T10" s="224"/>
      <c r="U10" s="224"/>
      <c r="V10" s="227"/>
    </row>
    <row r="11" spans="2:22" x14ac:dyDescent="0.25">
      <c r="B11" t="str">
        <f t="shared" si="0"/>
        <v>AlsaceNoyer</v>
      </c>
      <c r="C11" t="str">
        <f t="shared" si="1"/>
        <v>AlsaceNoyerAutres</v>
      </c>
      <c r="E11" s="234" t="s">
        <v>10</v>
      </c>
      <c r="F11" s="137" t="s">
        <v>157</v>
      </c>
      <c r="G11" s="137" t="s">
        <v>173</v>
      </c>
      <c r="H11" s="224">
        <v>0</v>
      </c>
      <c r="I11" s="224">
        <v>0.43</v>
      </c>
      <c r="J11" s="224">
        <v>3.64</v>
      </c>
      <c r="K11" s="227">
        <v>10.64</v>
      </c>
      <c r="L11" s="198"/>
      <c r="M11" s="293" t="str">
        <f t="shared" si="2"/>
        <v>AlsaceNoyer</v>
      </c>
      <c r="N11" s="293" t="str">
        <f t="shared" si="3"/>
        <v>AlsaceNoyerAutres</v>
      </c>
      <c r="P11" s="244" t="s">
        <v>10</v>
      </c>
      <c r="Q11" s="245" t="s">
        <v>157</v>
      </c>
      <c r="R11" s="245" t="s">
        <v>173</v>
      </c>
      <c r="S11" s="224"/>
      <c r="T11" s="224"/>
      <c r="U11" s="224"/>
      <c r="V11" s="227"/>
    </row>
    <row r="12" spans="2:22" x14ac:dyDescent="0.25">
      <c r="B12" t="str">
        <f t="shared" si="0"/>
        <v>AlsacePêcher</v>
      </c>
      <c r="C12" t="str">
        <f t="shared" si="1"/>
        <v>AlsacePêcherNectarinier-Pêcher</v>
      </c>
      <c r="E12" s="234" t="s">
        <v>10</v>
      </c>
      <c r="F12" s="137" t="s">
        <v>161</v>
      </c>
      <c r="G12" s="137" t="s">
        <v>640</v>
      </c>
      <c r="H12" s="224">
        <v>0.03</v>
      </c>
      <c r="I12" s="224">
        <v>0.84</v>
      </c>
      <c r="J12" s="224">
        <v>9.25</v>
      </c>
      <c r="K12" s="227">
        <v>19.38</v>
      </c>
      <c r="L12" s="198"/>
      <c r="M12" s="293" t="str">
        <f t="shared" si="2"/>
        <v>AlsacePêcher</v>
      </c>
      <c r="N12" s="293" t="str">
        <f t="shared" si="3"/>
        <v>AlsacePêcherNectarinier-Pêcher</v>
      </c>
      <c r="P12" s="244" t="s">
        <v>10</v>
      </c>
      <c r="Q12" s="245" t="s">
        <v>161</v>
      </c>
      <c r="R12" s="245" t="s">
        <v>640</v>
      </c>
      <c r="S12" s="224"/>
      <c r="T12" s="224"/>
      <c r="U12" s="224"/>
      <c r="V12" s="227"/>
    </row>
    <row r="13" spans="2:22" x14ac:dyDescent="0.25">
      <c r="B13" t="str">
        <f t="shared" si="0"/>
        <v>AlsacePoirier</v>
      </c>
      <c r="C13" t="str">
        <f t="shared" si="1"/>
        <v>AlsacePoirierAutres</v>
      </c>
      <c r="E13" s="234" t="s">
        <v>10</v>
      </c>
      <c r="F13" s="137" t="s">
        <v>162</v>
      </c>
      <c r="G13" s="137" t="s">
        <v>173</v>
      </c>
      <c r="H13" s="224">
        <v>0</v>
      </c>
      <c r="I13" s="224">
        <v>0.43</v>
      </c>
      <c r="J13" s="224">
        <v>3.64</v>
      </c>
      <c r="K13" s="227">
        <v>10.64</v>
      </c>
      <c r="L13" s="198"/>
      <c r="M13" s="293" t="str">
        <f t="shared" si="2"/>
        <v>AlsacePoirier</v>
      </c>
      <c r="N13" s="293" t="str">
        <f t="shared" si="3"/>
        <v>AlsacePoirierAutres</v>
      </c>
      <c r="P13" s="244" t="s">
        <v>10</v>
      </c>
      <c r="Q13" s="245" t="s">
        <v>162</v>
      </c>
      <c r="R13" s="245" t="s">
        <v>173</v>
      </c>
      <c r="S13" s="224"/>
      <c r="T13" s="224"/>
      <c r="U13" s="224"/>
      <c r="V13" s="227"/>
    </row>
    <row r="14" spans="2:22" x14ac:dyDescent="0.25">
      <c r="B14" t="str">
        <f t="shared" si="0"/>
        <v>AlsacePommier</v>
      </c>
      <c r="C14" t="str">
        <f t="shared" si="1"/>
        <v>AlsacePommierPommier</v>
      </c>
      <c r="E14" s="234" t="s">
        <v>10</v>
      </c>
      <c r="F14" s="137" t="s">
        <v>164</v>
      </c>
      <c r="G14" s="137" t="s">
        <v>164</v>
      </c>
      <c r="H14" s="224">
        <v>0</v>
      </c>
      <c r="I14" s="224">
        <v>1.1100000000000001</v>
      </c>
      <c r="J14" s="224">
        <v>5.92</v>
      </c>
      <c r="K14" s="227">
        <v>24.76</v>
      </c>
      <c r="L14" s="198"/>
      <c r="M14" s="293" t="str">
        <f t="shared" si="2"/>
        <v>AlsacePommier</v>
      </c>
      <c r="N14" s="293" t="str">
        <f t="shared" si="3"/>
        <v>AlsacePommierPommier</v>
      </c>
      <c r="P14" s="244" t="s">
        <v>10</v>
      </c>
      <c r="Q14" s="245" t="s">
        <v>164</v>
      </c>
      <c r="R14" s="245" t="s">
        <v>164</v>
      </c>
      <c r="S14" s="224"/>
      <c r="T14" s="224"/>
      <c r="U14" s="224"/>
      <c r="V14" s="227"/>
    </row>
    <row r="15" spans="2:22" ht="15.75" thickBot="1" x14ac:dyDescent="0.3">
      <c r="B15" t="str">
        <f t="shared" si="0"/>
        <v>AlsacePrunier</v>
      </c>
      <c r="C15" t="str">
        <f t="shared" si="1"/>
        <v>AlsacePrunierPrunier</v>
      </c>
      <c r="E15" s="235" t="s">
        <v>10</v>
      </c>
      <c r="F15" s="236" t="s">
        <v>165</v>
      </c>
      <c r="G15" s="236" t="s">
        <v>165</v>
      </c>
      <c r="H15" s="226">
        <v>0</v>
      </c>
      <c r="I15" s="226">
        <v>0.43</v>
      </c>
      <c r="J15" s="226">
        <v>3.64</v>
      </c>
      <c r="K15" s="228">
        <v>10.64</v>
      </c>
      <c r="L15" s="198"/>
      <c r="M15" s="293" t="str">
        <f t="shared" si="2"/>
        <v>AlsacePrunier</v>
      </c>
      <c r="N15" s="293" t="str">
        <f t="shared" si="3"/>
        <v>AlsacePrunierPrunier</v>
      </c>
      <c r="P15" s="246" t="s">
        <v>10</v>
      </c>
      <c r="Q15" s="247" t="s">
        <v>165</v>
      </c>
      <c r="R15" s="247" t="s">
        <v>165</v>
      </c>
      <c r="S15" s="226"/>
      <c r="T15" s="226"/>
      <c r="U15" s="226"/>
      <c r="V15" s="228"/>
    </row>
    <row r="16" spans="2:22" ht="15.75" thickTop="1" x14ac:dyDescent="0.25">
      <c r="B16" t="str">
        <f t="shared" si="0"/>
        <v>AquitaineAbricotier</v>
      </c>
      <c r="C16" t="str">
        <f t="shared" si="1"/>
        <v>AquitaineAbricotierAbricotier</v>
      </c>
      <c r="E16" s="232" t="s">
        <v>11</v>
      </c>
      <c r="F16" s="233" t="s">
        <v>130</v>
      </c>
      <c r="G16" s="233" t="s">
        <v>130</v>
      </c>
      <c r="H16" s="225">
        <v>0.01</v>
      </c>
      <c r="I16" s="225">
        <v>0.62</v>
      </c>
      <c r="J16" s="225">
        <v>5.1100000000000003</v>
      </c>
      <c r="K16" s="229">
        <v>10.66</v>
      </c>
      <c r="L16" s="198"/>
      <c r="M16" s="293" t="str">
        <f t="shared" si="2"/>
        <v>AquitaineAbricotier</v>
      </c>
      <c r="N16" s="293" t="str">
        <f t="shared" si="3"/>
        <v>AquitaineAbricotierAbricotier</v>
      </c>
      <c r="P16" s="242" t="s">
        <v>11</v>
      </c>
      <c r="Q16" s="243" t="s">
        <v>130</v>
      </c>
      <c r="R16" s="243" t="s">
        <v>130</v>
      </c>
      <c r="S16" s="225"/>
      <c r="T16" s="225"/>
      <c r="U16" s="225"/>
      <c r="V16" s="229"/>
    </row>
    <row r="17" spans="2:22" x14ac:dyDescent="0.25">
      <c r="B17" t="str">
        <f t="shared" si="0"/>
        <v>AquitaineAgrumes</v>
      </c>
      <c r="C17" t="str">
        <f t="shared" si="1"/>
        <v>AquitaineAgrumesClémentinier</v>
      </c>
      <c r="E17" s="234" t="s">
        <v>11</v>
      </c>
      <c r="F17" s="137" t="s">
        <v>639</v>
      </c>
      <c r="G17" s="137" t="s">
        <v>138</v>
      </c>
      <c r="H17" s="224">
        <v>0</v>
      </c>
      <c r="I17" s="224">
        <v>0.3</v>
      </c>
      <c r="J17" s="224">
        <v>2</v>
      </c>
      <c r="K17" s="227">
        <v>5</v>
      </c>
      <c r="L17" s="198"/>
      <c r="M17" s="293" t="str">
        <f t="shared" si="2"/>
        <v>AquitaineAgrumes</v>
      </c>
      <c r="N17" s="293" t="str">
        <f t="shared" si="3"/>
        <v>AquitaineAgrumesClémentinier</v>
      </c>
      <c r="P17" s="244" t="s">
        <v>11</v>
      </c>
      <c r="Q17" s="245" t="s">
        <v>639</v>
      </c>
      <c r="R17" s="245" t="s">
        <v>138</v>
      </c>
      <c r="S17" s="224"/>
      <c r="T17" s="224"/>
      <c r="U17" s="224"/>
      <c r="V17" s="227"/>
    </row>
    <row r="18" spans="2:22" x14ac:dyDescent="0.25">
      <c r="B18" t="str">
        <f t="shared" si="0"/>
        <v>AquitaineAutres</v>
      </c>
      <c r="C18" t="str">
        <f t="shared" si="1"/>
        <v>AquitaineAutresPrunier</v>
      </c>
      <c r="E18" s="234" t="s">
        <v>11</v>
      </c>
      <c r="F18" s="137" t="s">
        <v>173</v>
      </c>
      <c r="G18" s="137" t="s">
        <v>165</v>
      </c>
      <c r="H18" s="224">
        <v>0.04</v>
      </c>
      <c r="I18" s="224">
        <v>0.28999999999999998</v>
      </c>
      <c r="J18" s="224">
        <v>5.44</v>
      </c>
      <c r="K18" s="227">
        <v>9.0500000000000007</v>
      </c>
      <c r="L18" s="198"/>
      <c r="M18" s="293" t="str">
        <f t="shared" si="2"/>
        <v>AquitaineAutres</v>
      </c>
      <c r="N18" s="293" t="str">
        <f t="shared" si="3"/>
        <v>AquitaineAutresPrunier</v>
      </c>
      <c r="P18" s="244" t="s">
        <v>11</v>
      </c>
      <c r="Q18" s="245" t="s">
        <v>173</v>
      </c>
      <c r="R18" s="245" t="s">
        <v>165</v>
      </c>
      <c r="S18" s="224"/>
      <c r="T18" s="224"/>
      <c r="U18" s="224"/>
      <c r="V18" s="227"/>
    </row>
    <row r="19" spans="2:22" x14ac:dyDescent="0.25">
      <c r="B19" t="str">
        <f t="shared" si="0"/>
        <v>AquitaineCerisier</v>
      </c>
      <c r="C19" t="str">
        <f t="shared" si="1"/>
        <v>AquitaineCerisierCerisier</v>
      </c>
      <c r="E19" s="234" t="s">
        <v>11</v>
      </c>
      <c r="F19" s="137" t="s">
        <v>135</v>
      </c>
      <c r="G19" s="137" t="s">
        <v>135</v>
      </c>
      <c r="H19" s="224">
        <v>0</v>
      </c>
      <c r="I19" s="224">
        <v>0.26</v>
      </c>
      <c r="J19" s="224">
        <v>2.31</v>
      </c>
      <c r="K19" s="227">
        <v>10.67</v>
      </c>
      <c r="L19" s="198"/>
      <c r="M19" s="293" t="str">
        <f t="shared" si="2"/>
        <v>AquitaineCerisier</v>
      </c>
      <c r="N19" s="293" t="str">
        <f t="shared" si="3"/>
        <v>AquitaineCerisierCerisier</v>
      </c>
      <c r="P19" s="244" t="s">
        <v>11</v>
      </c>
      <c r="Q19" s="245" t="s">
        <v>135</v>
      </c>
      <c r="R19" s="245" t="s">
        <v>135</v>
      </c>
      <c r="S19" s="224"/>
      <c r="T19" s="224"/>
      <c r="U19" s="224"/>
      <c r="V19" s="227"/>
    </row>
    <row r="20" spans="2:22" x14ac:dyDescent="0.25">
      <c r="B20" t="str">
        <f t="shared" si="0"/>
        <v>AquitaineMirabellier</v>
      </c>
      <c r="C20" t="str">
        <f t="shared" si="1"/>
        <v>AquitaineMirabellierAutres</v>
      </c>
      <c r="E20" s="234" t="s">
        <v>11</v>
      </c>
      <c r="F20" s="137" t="s">
        <v>148</v>
      </c>
      <c r="G20" s="137" t="s">
        <v>173</v>
      </c>
      <c r="H20" s="224">
        <v>0.04</v>
      </c>
      <c r="I20" s="224">
        <v>0.28999999999999998</v>
      </c>
      <c r="J20" s="224">
        <v>5.44</v>
      </c>
      <c r="K20" s="227">
        <v>9.0500000000000007</v>
      </c>
      <c r="L20" s="198"/>
      <c r="M20" s="293" t="str">
        <f t="shared" si="2"/>
        <v>AquitaineMirabellier</v>
      </c>
      <c r="N20" s="293" t="str">
        <f t="shared" si="3"/>
        <v>AquitaineMirabellierAutres</v>
      </c>
      <c r="P20" s="244" t="s">
        <v>11</v>
      </c>
      <c r="Q20" s="245" t="s">
        <v>148</v>
      </c>
      <c r="R20" s="245" t="s">
        <v>173</v>
      </c>
      <c r="S20" s="224"/>
      <c r="T20" s="224"/>
      <c r="U20" s="224"/>
      <c r="V20" s="227"/>
    </row>
    <row r="21" spans="2:22" x14ac:dyDescent="0.25">
      <c r="B21" t="str">
        <f t="shared" si="0"/>
        <v>AquitaineNectarinier</v>
      </c>
      <c r="C21" t="str">
        <f t="shared" si="1"/>
        <v>AquitaineNectarinierNectarinier-Pêcher</v>
      </c>
      <c r="E21" s="234" t="s">
        <v>11</v>
      </c>
      <c r="F21" s="137" t="s">
        <v>154</v>
      </c>
      <c r="G21" s="137" t="s">
        <v>640</v>
      </c>
      <c r="H21" s="224">
        <v>0.06</v>
      </c>
      <c r="I21" s="224">
        <v>0.33</v>
      </c>
      <c r="J21" s="224">
        <v>7.23</v>
      </c>
      <c r="K21" s="227">
        <v>15.63</v>
      </c>
      <c r="L21" s="198"/>
      <c r="M21" s="293" t="str">
        <f t="shared" si="2"/>
        <v>AquitaineNectarinier</v>
      </c>
      <c r="N21" s="293" t="str">
        <f t="shared" si="3"/>
        <v>AquitaineNectarinierNectarinier-Pêcher</v>
      </c>
      <c r="P21" s="244" t="s">
        <v>11</v>
      </c>
      <c r="Q21" s="245" t="s">
        <v>154</v>
      </c>
      <c r="R21" s="245" t="s">
        <v>640</v>
      </c>
      <c r="S21" s="224"/>
      <c r="T21" s="224"/>
      <c r="U21" s="224"/>
      <c r="V21" s="227"/>
    </row>
    <row r="22" spans="2:22" x14ac:dyDescent="0.25">
      <c r="B22" t="str">
        <f t="shared" si="0"/>
        <v>AquitaineNoyer</v>
      </c>
      <c r="C22" t="str">
        <f t="shared" si="1"/>
        <v>AquitaineNoyerAutres</v>
      </c>
      <c r="E22" s="234" t="s">
        <v>11</v>
      </c>
      <c r="F22" s="137" t="s">
        <v>157</v>
      </c>
      <c r="G22" s="137" t="s">
        <v>173</v>
      </c>
      <c r="H22" s="224">
        <v>0.04</v>
      </c>
      <c r="I22" s="224">
        <v>0.28999999999999998</v>
      </c>
      <c r="J22" s="224">
        <v>5.44</v>
      </c>
      <c r="K22" s="227">
        <v>9.0500000000000007</v>
      </c>
      <c r="L22" s="198"/>
      <c r="M22" s="293" t="str">
        <f t="shared" si="2"/>
        <v>AquitaineNoyer</v>
      </c>
      <c r="N22" s="293" t="str">
        <f t="shared" si="3"/>
        <v>AquitaineNoyerAutres</v>
      </c>
      <c r="P22" s="244" t="s">
        <v>11</v>
      </c>
      <c r="Q22" s="245" t="s">
        <v>157</v>
      </c>
      <c r="R22" s="245" t="s">
        <v>173</v>
      </c>
      <c r="S22" s="224"/>
      <c r="T22" s="224"/>
      <c r="U22" s="224"/>
      <c r="V22" s="227"/>
    </row>
    <row r="23" spans="2:22" x14ac:dyDescent="0.25">
      <c r="B23" t="str">
        <f t="shared" si="0"/>
        <v>AquitainePêcher</v>
      </c>
      <c r="C23" t="str">
        <f t="shared" si="1"/>
        <v>AquitainePêcherNectarinier-Pêcher</v>
      </c>
      <c r="E23" s="234" t="s">
        <v>11</v>
      </c>
      <c r="F23" s="137" t="s">
        <v>161</v>
      </c>
      <c r="G23" s="137" t="s">
        <v>640</v>
      </c>
      <c r="H23" s="224">
        <v>0.06</v>
      </c>
      <c r="I23" s="224">
        <v>0.33</v>
      </c>
      <c r="J23" s="224">
        <v>7.23</v>
      </c>
      <c r="K23" s="227">
        <v>15.63</v>
      </c>
      <c r="L23" s="198"/>
      <c r="M23" s="293" t="str">
        <f t="shared" si="2"/>
        <v>AquitainePêcher</v>
      </c>
      <c r="N23" s="293" t="str">
        <f t="shared" si="3"/>
        <v>AquitainePêcherNectarinier-Pêcher</v>
      </c>
      <c r="P23" s="244" t="s">
        <v>11</v>
      </c>
      <c r="Q23" s="245" t="s">
        <v>161</v>
      </c>
      <c r="R23" s="245" t="s">
        <v>640</v>
      </c>
      <c r="S23" s="224"/>
      <c r="T23" s="224"/>
      <c r="U23" s="224"/>
      <c r="V23" s="227"/>
    </row>
    <row r="24" spans="2:22" x14ac:dyDescent="0.25">
      <c r="B24" t="str">
        <f t="shared" si="0"/>
        <v>AquitainePoirier</v>
      </c>
      <c r="C24" t="str">
        <f t="shared" si="1"/>
        <v>AquitainePoirierAutres</v>
      </c>
      <c r="E24" s="234" t="s">
        <v>11</v>
      </c>
      <c r="F24" s="137" t="s">
        <v>162</v>
      </c>
      <c r="G24" s="137" t="s">
        <v>173</v>
      </c>
      <c r="H24" s="224">
        <v>0.04</v>
      </c>
      <c r="I24" s="224">
        <v>0.28999999999999998</v>
      </c>
      <c r="J24" s="224">
        <v>5.44</v>
      </c>
      <c r="K24" s="227">
        <v>9.0500000000000007</v>
      </c>
      <c r="L24" s="198"/>
      <c r="M24" s="293" t="str">
        <f t="shared" si="2"/>
        <v>AquitainePoirier</v>
      </c>
      <c r="N24" s="293" t="str">
        <f t="shared" si="3"/>
        <v>AquitainePoirierAutres</v>
      </c>
      <c r="P24" s="244" t="s">
        <v>11</v>
      </c>
      <c r="Q24" s="245" t="s">
        <v>162</v>
      </c>
      <c r="R24" s="245" t="s">
        <v>173</v>
      </c>
      <c r="S24" s="224"/>
      <c r="T24" s="224"/>
      <c r="U24" s="224"/>
      <c r="V24" s="227"/>
    </row>
    <row r="25" spans="2:22" x14ac:dyDescent="0.25">
      <c r="B25" t="str">
        <f t="shared" si="0"/>
        <v>AquitainePommier</v>
      </c>
      <c r="C25" t="str">
        <f t="shared" si="1"/>
        <v>AquitainePommierPommier</v>
      </c>
      <c r="E25" s="234" t="s">
        <v>11</v>
      </c>
      <c r="F25" s="137" t="s">
        <v>164</v>
      </c>
      <c r="G25" s="137" t="s">
        <v>164</v>
      </c>
      <c r="H25" s="224">
        <v>0.03</v>
      </c>
      <c r="I25" s="224">
        <v>0.59</v>
      </c>
      <c r="J25" s="224">
        <v>17.690000000000001</v>
      </c>
      <c r="K25" s="227">
        <v>36.58</v>
      </c>
      <c r="L25" s="198"/>
      <c r="M25" s="293" t="str">
        <f t="shared" si="2"/>
        <v>AquitainePommier</v>
      </c>
      <c r="N25" s="293" t="str">
        <f t="shared" si="3"/>
        <v>AquitainePommierPommier</v>
      </c>
      <c r="P25" s="244" t="s">
        <v>11</v>
      </c>
      <c r="Q25" s="245" t="s">
        <v>164</v>
      </c>
      <c r="R25" s="245" t="s">
        <v>164</v>
      </c>
      <c r="S25" s="224"/>
      <c r="T25" s="224"/>
      <c r="U25" s="224"/>
      <c r="V25" s="227"/>
    </row>
    <row r="26" spans="2:22" ht="15.75" thickBot="1" x14ac:dyDescent="0.3">
      <c r="B26" t="str">
        <f t="shared" si="0"/>
        <v>AquitainePrunier</v>
      </c>
      <c r="C26" t="str">
        <f t="shared" si="1"/>
        <v>AquitainePrunierPrunier</v>
      </c>
      <c r="E26" s="235" t="s">
        <v>11</v>
      </c>
      <c r="F26" s="236" t="s">
        <v>165</v>
      </c>
      <c r="G26" s="236" t="s">
        <v>165</v>
      </c>
      <c r="H26" s="226">
        <v>0.04</v>
      </c>
      <c r="I26" s="226">
        <v>0.28999999999999998</v>
      </c>
      <c r="J26" s="226">
        <v>5.44</v>
      </c>
      <c r="K26" s="228">
        <v>9.0500000000000007</v>
      </c>
      <c r="L26" s="198"/>
      <c r="M26" s="293" t="str">
        <f t="shared" si="2"/>
        <v>AquitainePrunier</v>
      </c>
      <c r="N26" s="293" t="str">
        <f t="shared" si="3"/>
        <v>AquitainePrunierPrunier</v>
      </c>
      <c r="P26" s="246" t="s">
        <v>11</v>
      </c>
      <c r="Q26" s="247" t="s">
        <v>165</v>
      </c>
      <c r="R26" s="247" t="s">
        <v>165</v>
      </c>
      <c r="S26" s="226"/>
      <c r="T26" s="226"/>
      <c r="U26" s="226"/>
      <c r="V26" s="228"/>
    </row>
    <row r="27" spans="2:22" ht="15.75" thickTop="1" x14ac:dyDescent="0.25">
      <c r="B27" t="str">
        <f t="shared" si="0"/>
        <v>AuvergneAbricotier</v>
      </c>
      <c r="C27" t="str">
        <f t="shared" si="1"/>
        <v>AuvergneAbricotierAbricotier</v>
      </c>
      <c r="E27" s="232" t="s">
        <v>12</v>
      </c>
      <c r="F27" s="233" t="s">
        <v>130</v>
      </c>
      <c r="G27" s="233" t="s">
        <v>130</v>
      </c>
      <c r="H27" s="225">
        <v>0.01</v>
      </c>
      <c r="I27" s="225">
        <v>0.62</v>
      </c>
      <c r="J27" s="225">
        <v>5.1100000000000003</v>
      </c>
      <c r="K27" s="229">
        <v>10.66</v>
      </c>
      <c r="L27" s="198"/>
      <c r="M27" s="293" t="str">
        <f t="shared" si="2"/>
        <v>AuvergneAbricotier</v>
      </c>
      <c r="N27" s="293" t="str">
        <f t="shared" si="3"/>
        <v>AuvergneAbricotierAbricotier</v>
      </c>
      <c r="P27" s="242" t="s">
        <v>12</v>
      </c>
      <c r="Q27" s="243" t="s">
        <v>130</v>
      </c>
      <c r="R27" s="243" t="s">
        <v>130</v>
      </c>
      <c r="S27" s="225"/>
      <c r="T27" s="225"/>
      <c r="U27" s="225"/>
      <c r="V27" s="229"/>
    </row>
    <row r="28" spans="2:22" x14ac:dyDescent="0.25">
      <c r="B28" t="str">
        <f t="shared" si="0"/>
        <v>AuvergneAgrumes</v>
      </c>
      <c r="C28" t="str">
        <f t="shared" si="1"/>
        <v>AuvergneAgrumesClémentinier</v>
      </c>
      <c r="E28" s="234" t="s">
        <v>12</v>
      </c>
      <c r="F28" s="137" t="s">
        <v>639</v>
      </c>
      <c r="G28" s="137" t="s">
        <v>138</v>
      </c>
      <c r="H28" s="224">
        <v>0</v>
      </c>
      <c r="I28" s="224">
        <v>0.3</v>
      </c>
      <c r="J28" s="224">
        <v>2</v>
      </c>
      <c r="K28" s="227">
        <v>5</v>
      </c>
      <c r="L28" s="198"/>
      <c r="M28" s="293" t="str">
        <f t="shared" si="2"/>
        <v>AuvergneAgrumes</v>
      </c>
      <c r="N28" s="293" t="str">
        <f t="shared" si="3"/>
        <v>AuvergneAgrumesClémentinier</v>
      </c>
      <c r="P28" s="244" t="s">
        <v>12</v>
      </c>
      <c r="Q28" s="245" t="s">
        <v>639</v>
      </c>
      <c r="R28" s="245" t="s">
        <v>138</v>
      </c>
      <c r="S28" s="224"/>
      <c r="T28" s="224"/>
      <c r="U28" s="224"/>
      <c r="V28" s="227"/>
    </row>
    <row r="29" spans="2:22" x14ac:dyDescent="0.25">
      <c r="B29" t="str">
        <f t="shared" si="0"/>
        <v>AuvergneAutres</v>
      </c>
      <c r="C29" t="str">
        <f t="shared" si="1"/>
        <v>AuvergneAutresPrunier</v>
      </c>
      <c r="E29" s="234" t="s">
        <v>12</v>
      </c>
      <c r="F29" s="137" t="s">
        <v>173</v>
      </c>
      <c r="G29" s="137" t="s">
        <v>165</v>
      </c>
      <c r="H29" s="224">
        <v>0.01</v>
      </c>
      <c r="I29" s="224">
        <v>0.33</v>
      </c>
      <c r="J29" s="224">
        <v>5.14</v>
      </c>
      <c r="K29" s="227">
        <v>9.34</v>
      </c>
      <c r="L29" s="198"/>
      <c r="M29" s="293" t="str">
        <f t="shared" si="2"/>
        <v>AuvergneAutres</v>
      </c>
      <c r="N29" s="293" t="str">
        <f t="shared" si="3"/>
        <v>AuvergneAutresPrunier</v>
      </c>
      <c r="P29" s="244" t="s">
        <v>12</v>
      </c>
      <c r="Q29" s="245" t="s">
        <v>173</v>
      </c>
      <c r="R29" s="245" t="s">
        <v>165</v>
      </c>
      <c r="S29" s="224"/>
      <c r="T29" s="224"/>
      <c r="U29" s="224"/>
      <c r="V29" s="227"/>
    </row>
    <row r="30" spans="2:22" x14ac:dyDescent="0.25">
      <c r="B30" t="str">
        <f t="shared" si="0"/>
        <v>AuvergneCerisier</v>
      </c>
      <c r="C30" t="str">
        <f t="shared" si="1"/>
        <v>AuvergneCerisierCerisier</v>
      </c>
      <c r="E30" s="234" t="s">
        <v>12</v>
      </c>
      <c r="F30" s="137" t="s">
        <v>135</v>
      </c>
      <c r="G30" s="137" t="s">
        <v>135</v>
      </c>
      <c r="H30" s="224">
        <v>0</v>
      </c>
      <c r="I30" s="224">
        <v>0.36</v>
      </c>
      <c r="J30" s="224">
        <v>4.0599999999999996</v>
      </c>
      <c r="K30" s="227">
        <v>8.0299999999999994</v>
      </c>
      <c r="L30" s="198"/>
      <c r="M30" s="293" t="str">
        <f t="shared" si="2"/>
        <v>AuvergneCerisier</v>
      </c>
      <c r="N30" s="293" t="str">
        <f t="shared" si="3"/>
        <v>AuvergneCerisierCerisier</v>
      </c>
      <c r="P30" s="244" t="s">
        <v>12</v>
      </c>
      <c r="Q30" s="245" t="s">
        <v>135</v>
      </c>
      <c r="R30" s="245" t="s">
        <v>135</v>
      </c>
      <c r="S30" s="224"/>
      <c r="T30" s="224"/>
      <c r="U30" s="224"/>
      <c r="V30" s="227"/>
    </row>
    <row r="31" spans="2:22" x14ac:dyDescent="0.25">
      <c r="B31" t="str">
        <f t="shared" si="0"/>
        <v>AuvergneMirabellier</v>
      </c>
      <c r="C31" t="str">
        <f t="shared" si="1"/>
        <v>AuvergneMirabellierAutres</v>
      </c>
      <c r="E31" s="234" t="s">
        <v>12</v>
      </c>
      <c r="F31" s="137" t="s">
        <v>148</v>
      </c>
      <c r="G31" s="137" t="s">
        <v>173</v>
      </c>
      <c r="H31" s="224">
        <v>0.01</v>
      </c>
      <c r="I31" s="224">
        <v>0.33</v>
      </c>
      <c r="J31" s="224">
        <v>5.14</v>
      </c>
      <c r="K31" s="227">
        <v>9.34</v>
      </c>
      <c r="L31" s="198"/>
      <c r="M31" s="293" t="str">
        <f t="shared" si="2"/>
        <v>AuvergneMirabellier</v>
      </c>
      <c r="N31" s="293" t="str">
        <f t="shared" si="3"/>
        <v>AuvergneMirabellierAutres</v>
      </c>
      <c r="P31" s="244" t="s">
        <v>12</v>
      </c>
      <c r="Q31" s="245" t="s">
        <v>148</v>
      </c>
      <c r="R31" s="245" t="s">
        <v>173</v>
      </c>
      <c r="S31" s="224"/>
      <c r="T31" s="224"/>
      <c r="U31" s="224"/>
      <c r="V31" s="227"/>
    </row>
    <row r="32" spans="2:22" x14ac:dyDescent="0.25">
      <c r="B32" t="str">
        <f t="shared" si="0"/>
        <v>AuvergneNectarinier</v>
      </c>
      <c r="C32" t="str">
        <f t="shared" si="1"/>
        <v>AuvergneNectarinierNectarinier-Pêcher</v>
      </c>
      <c r="E32" s="234" t="s">
        <v>12</v>
      </c>
      <c r="F32" s="137" t="s">
        <v>154</v>
      </c>
      <c r="G32" s="137" t="s">
        <v>640</v>
      </c>
      <c r="H32" s="224">
        <v>0.03</v>
      </c>
      <c r="I32" s="224">
        <v>0.84</v>
      </c>
      <c r="J32" s="224">
        <v>9.25</v>
      </c>
      <c r="K32" s="227">
        <v>19.38</v>
      </c>
      <c r="L32" s="198"/>
      <c r="M32" s="293" t="str">
        <f t="shared" si="2"/>
        <v>AuvergneNectarinier</v>
      </c>
      <c r="N32" s="293" t="str">
        <f t="shared" si="3"/>
        <v>AuvergneNectarinierNectarinier-Pêcher</v>
      </c>
      <c r="P32" s="244" t="s">
        <v>12</v>
      </c>
      <c r="Q32" s="245" t="s">
        <v>154</v>
      </c>
      <c r="R32" s="245" t="s">
        <v>640</v>
      </c>
      <c r="S32" s="224"/>
      <c r="T32" s="224"/>
      <c r="U32" s="224"/>
      <c r="V32" s="227"/>
    </row>
    <row r="33" spans="2:22" x14ac:dyDescent="0.25">
      <c r="B33" t="str">
        <f t="shared" si="0"/>
        <v>AuvergneNoyer</v>
      </c>
      <c r="C33" t="str">
        <f t="shared" si="1"/>
        <v>AuvergneNoyerAutres</v>
      </c>
      <c r="E33" s="234" t="s">
        <v>12</v>
      </c>
      <c r="F33" s="137" t="s">
        <v>157</v>
      </c>
      <c r="G33" s="137" t="s">
        <v>173</v>
      </c>
      <c r="H33" s="224">
        <v>0.01</v>
      </c>
      <c r="I33" s="224">
        <v>0.33</v>
      </c>
      <c r="J33" s="224">
        <v>5.14</v>
      </c>
      <c r="K33" s="227">
        <v>9.34</v>
      </c>
      <c r="L33" s="198"/>
      <c r="M33" s="293" t="str">
        <f t="shared" si="2"/>
        <v>AuvergneNoyer</v>
      </c>
      <c r="N33" s="293" t="str">
        <f t="shared" si="3"/>
        <v>AuvergneNoyerAutres</v>
      </c>
      <c r="P33" s="244" t="s">
        <v>12</v>
      </c>
      <c r="Q33" s="245" t="s">
        <v>157</v>
      </c>
      <c r="R33" s="245" t="s">
        <v>173</v>
      </c>
      <c r="S33" s="224"/>
      <c r="T33" s="224"/>
      <c r="U33" s="224"/>
      <c r="V33" s="227"/>
    </row>
    <row r="34" spans="2:22" x14ac:dyDescent="0.25">
      <c r="B34" t="str">
        <f t="shared" si="0"/>
        <v>AuvergnePêcher</v>
      </c>
      <c r="C34" t="str">
        <f t="shared" si="1"/>
        <v>AuvergnePêcherNectarinier-Pêcher</v>
      </c>
      <c r="E34" s="234" t="s">
        <v>12</v>
      </c>
      <c r="F34" s="137" t="s">
        <v>161</v>
      </c>
      <c r="G34" s="137" t="s">
        <v>640</v>
      </c>
      <c r="H34" s="224">
        <v>0.03</v>
      </c>
      <c r="I34" s="224">
        <v>0.84</v>
      </c>
      <c r="J34" s="224">
        <v>9.25</v>
      </c>
      <c r="K34" s="227">
        <v>19.38</v>
      </c>
      <c r="L34" s="198"/>
      <c r="M34" s="293" t="str">
        <f t="shared" si="2"/>
        <v>AuvergnePêcher</v>
      </c>
      <c r="N34" s="293" t="str">
        <f t="shared" si="3"/>
        <v>AuvergnePêcherNectarinier-Pêcher</v>
      </c>
      <c r="P34" s="244" t="s">
        <v>12</v>
      </c>
      <c r="Q34" s="245" t="s">
        <v>161</v>
      </c>
      <c r="R34" s="245" t="s">
        <v>640</v>
      </c>
      <c r="S34" s="224"/>
      <c r="T34" s="224"/>
      <c r="U34" s="224"/>
      <c r="V34" s="227"/>
    </row>
    <row r="35" spans="2:22" x14ac:dyDescent="0.25">
      <c r="B35" t="str">
        <f t="shared" si="0"/>
        <v>AuvergnePoirier</v>
      </c>
      <c r="C35" t="str">
        <f t="shared" si="1"/>
        <v>AuvergnePoirierAutres</v>
      </c>
      <c r="E35" s="234" t="s">
        <v>12</v>
      </c>
      <c r="F35" s="137" t="s">
        <v>162</v>
      </c>
      <c r="G35" s="137" t="s">
        <v>173</v>
      </c>
      <c r="H35" s="224">
        <v>0.01</v>
      </c>
      <c r="I35" s="224">
        <v>0.33</v>
      </c>
      <c r="J35" s="224">
        <v>5.14</v>
      </c>
      <c r="K35" s="227">
        <v>9.34</v>
      </c>
      <c r="L35" s="198"/>
      <c r="M35" s="293" t="str">
        <f t="shared" si="2"/>
        <v>AuvergnePoirier</v>
      </c>
      <c r="N35" s="293" t="str">
        <f t="shared" si="3"/>
        <v>AuvergnePoirierAutres</v>
      </c>
      <c r="P35" s="244" t="s">
        <v>12</v>
      </c>
      <c r="Q35" s="245" t="s">
        <v>162</v>
      </c>
      <c r="R35" s="245" t="s">
        <v>173</v>
      </c>
      <c r="S35" s="224"/>
      <c r="T35" s="224"/>
      <c r="U35" s="224"/>
      <c r="V35" s="227"/>
    </row>
    <row r="36" spans="2:22" x14ac:dyDescent="0.25">
      <c r="B36" t="str">
        <f t="shared" si="0"/>
        <v>AuvergnePommier</v>
      </c>
      <c r="C36" t="str">
        <f t="shared" si="1"/>
        <v>AuvergnePommierPommier</v>
      </c>
      <c r="E36" s="234" t="s">
        <v>12</v>
      </c>
      <c r="F36" s="137" t="s">
        <v>164</v>
      </c>
      <c r="G36" s="137" t="s">
        <v>164</v>
      </c>
      <c r="H36" s="224">
        <v>0.03</v>
      </c>
      <c r="I36" s="224">
        <v>0.84</v>
      </c>
      <c r="J36" s="224">
        <v>9.25</v>
      </c>
      <c r="K36" s="227">
        <v>19.38</v>
      </c>
      <c r="L36" s="198"/>
      <c r="M36" s="293" t="str">
        <f t="shared" si="2"/>
        <v>AuvergnePommier</v>
      </c>
      <c r="N36" s="293" t="str">
        <f t="shared" si="3"/>
        <v>AuvergnePommierPommier</v>
      </c>
      <c r="P36" s="244" t="s">
        <v>12</v>
      </c>
      <c r="Q36" s="245" t="s">
        <v>164</v>
      </c>
      <c r="R36" s="245" t="s">
        <v>164</v>
      </c>
      <c r="S36" s="224"/>
      <c r="T36" s="224"/>
      <c r="U36" s="224"/>
      <c r="V36" s="227"/>
    </row>
    <row r="37" spans="2:22" ht="15.75" thickBot="1" x14ac:dyDescent="0.3">
      <c r="B37" t="str">
        <f t="shared" si="0"/>
        <v>AuvergnePrunier</v>
      </c>
      <c r="C37" t="str">
        <f t="shared" si="1"/>
        <v>AuvergnePrunierAutres</v>
      </c>
      <c r="E37" s="235" t="s">
        <v>12</v>
      </c>
      <c r="F37" s="236" t="s">
        <v>165</v>
      </c>
      <c r="G37" s="236" t="s">
        <v>173</v>
      </c>
      <c r="H37" s="226">
        <v>0.01</v>
      </c>
      <c r="I37" s="226">
        <v>0.33</v>
      </c>
      <c r="J37" s="226">
        <v>5.14</v>
      </c>
      <c r="K37" s="228">
        <v>9.34</v>
      </c>
      <c r="L37" s="198"/>
      <c r="M37" s="293" t="str">
        <f t="shared" si="2"/>
        <v>AuvergnePrunier</v>
      </c>
      <c r="N37" s="293" t="str">
        <f t="shared" si="3"/>
        <v>AuvergnePrunierAutres</v>
      </c>
      <c r="P37" s="246" t="s">
        <v>12</v>
      </c>
      <c r="Q37" s="247" t="s">
        <v>165</v>
      </c>
      <c r="R37" s="247" t="s">
        <v>173</v>
      </c>
      <c r="S37" s="226"/>
      <c r="T37" s="226"/>
      <c r="U37" s="226"/>
      <c r="V37" s="228"/>
    </row>
    <row r="38" spans="2:22" ht="15.75" thickTop="1" x14ac:dyDescent="0.25">
      <c r="B38" t="str">
        <f t="shared" si="0"/>
        <v>Basse-NormandieAbricotier</v>
      </c>
      <c r="C38" t="str">
        <f t="shared" si="1"/>
        <v>Basse-NormandieAbricotierAbricotier</v>
      </c>
      <c r="E38" s="232" t="s">
        <v>13</v>
      </c>
      <c r="F38" s="233" t="s">
        <v>130</v>
      </c>
      <c r="G38" s="233" t="s">
        <v>130</v>
      </c>
      <c r="H38" s="225">
        <v>0.01</v>
      </c>
      <c r="I38" s="225">
        <v>0.62</v>
      </c>
      <c r="J38" s="225">
        <v>5.1100000000000003</v>
      </c>
      <c r="K38" s="229">
        <v>10.66</v>
      </c>
      <c r="L38" s="198"/>
      <c r="M38" s="293" t="str">
        <f t="shared" si="2"/>
        <v>Basse-NormandieAbricotier</v>
      </c>
      <c r="N38" s="293" t="str">
        <f t="shared" si="3"/>
        <v>Basse-NormandieAbricotierAbricotier</v>
      </c>
      <c r="P38" s="242" t="s">
        <v>13</v>
      </c>
      <c r="Q38" s="243" t="s">
        <v>130</v>
      </c>
      <c r="R38" s="243" t="s">
        <v>130</v>
      </c>
      <c r="S38" s="225"/>
      <c r="T38" s="225"/>
      <c r="U38" s="225"/>
      <c r="V38" s="229"/>
    </row>
    <row r="39" spans="2:22" x14ac:dyDescent="0.25">
      <c r="B39" t="str">
        <f t="shared" si="0"/>
        <v>Basse-NormandieAgrumes</v>
      </c>
      <c r="C39" t="str">
        <f t="shared" si="1"/>
        <v>Basse-NormandieAgrumesClémentinier</v>
      </c>
      <c r="E39" s="234" t="s">
        <v>13</v>
      </c>
      <c r="F39" s="137" t="s">
        <v>639</v>
      </c>
      <c r="G39" s="137" t="s">
        <v>138</v>
      </c>
      <c r="H39" s="224">
        <v>0</v>
      </c>
      <c r="I39" s="224">
        <v>0.3</v>
      </c>
      <c r="J39" s="224">
        <v>2</v>
      </c>
      <c r="K39" s="227">
        <v>5</v>
      </c>
      <c r="L39" s="198"/>
      <c r="M39" s="293" t="str">
        <f t="shared" si="2"/>
        <v>Basse-NormandieAgrumes</v>
      </c>
      <c r="N39" s="293" t="str">
        <f t="shared" si="3"/>
        <v>Basse-NormandieAgrumesClémentinier</v>
      </c>
      <c r="P39" s="244" t="s">
        <v>13</v>
      </c>
      <c r="Q39" s="245" t="s">
        <v>639</v>
      </c>
      <c r="R39" s="245" t="s">
        <v>138</v>
      </c>
      <c r="S39" s="224"/>
      <c r="T39" s="224"/>
      <c r="U39" s="224"/>
      <c r="V39" s="227"/>
    </row>
    <row r="40" spans="2:22" x14ac:dyDescent="0.25">
      <c r="B40" t="str">
        <f t="shared" si="0"/>
        <v>Basse-NormandieAutres</v>
      </c>
      <c r="C40" t="str">
        <f t="shared" si="1"/>
        <v>Basse-NormandieAutresPrunier</v>
      </c>
      <c r="E40" s="234" t="s">
        <v>13</v>
      </c>
      <c r="F40" s="137" t="s">
        <v>173</v>
      </c>
      <c r="G40" s="137" t="s">
        <v>165</v>
      </c>
      <c r="H40" s="224">
        <v>0.01</v>
      </c>
      <c r="I40" s="224">
        <v>0.33</v>
      </c>
      <c r="J40" s="224">
        <v>5.14</v>
      </c>
      <c r="K40" s="227">
        <v>9.34</v>
      </c>
      <c r="L40" s="198"/>
      <c r="M40" s="293" t="str">
        <f t="shared" si="2"/>
        <v>Basse-NormandieAutres</v>
      </c>
      <c r="N40" s="293" t="str">
        <f t="shared" si="3"/>
        <v>Basse-NormandieAutresPrunier</v>
      </c>
      <c r="P40" s="244" t="s">
        <v>13</v>
      </c>
      <c r="Q40" s="245" t="s">
        <v>173</v>
      </c>
      <c r="R40" s="245" t="s">
        <v>165</v>
      </c>
      <c r="S40" s="224"/>
      <c r="T40" s="224"/>
      <c r="U40" s="224"/>
      <c r="V40" s="227"/>
    </row>
    <row r="41" spans="2:22" x14ac:dyDescent="0.25">
      <c r="B41" t="str">
        <f t="shared" si="0"/>
        <v>Basse-NormandieCerisier</v>
      </c>
      <c r="C41" t="str">
        <f t="shared" si="1"/>
        <v>Basse-NormandieCerisierCerisier</v>
      </c>
      <c r="E41" s="234" t="s">
        <v>13</v>
      </c>
      <c r="F41" s="137" t="s">
        <v>135</v>
      </c>
      <c r="G41" s="137" t="s">
        <v>135</v>
      </c>
      <c r="H41" s="224">
        <v>0</v>
      </c>
      <c r="I41" s="224">
        <v>0.36</v>
      </c>
      <c r="J41" s="224">
        <v>4.0599999999999996</v>
      </c>
      <c r="K41" s="227">
        <v>8.0299999999999994</v>
      </c>
      <c r="L41" s="198"/>
      <c r="M41" s="293" t="str">
        <f t="shared" si="2"/>
        <v>Basse-NormandieCerisier</v>
      </c>
      <c r="N41" s="293" t="str">
        <f t="shared" si="3"/>
        <v>Basse-NormandieCerisierCerisier</v>
      </c>
      <c r="P41" s="244" t="s">
        <v>13</v>
      </c>
      <c r="Q41" s="245" t="s">
        <v>135</v>
      </c>
      <c r="R41" s="245" t="s">
        <v>135</v>
      </c>
      <c r="S41" s="224"/>
      <c r="T41" s="224"/>
      <c r="U41" s="224"/>
      <c r="V41" s="227"/>
    </row>
    <row r="42" spans="2:22" x14ac:dyDescent="0.25">
      <c r="B42" t="str">
        <f t="shared" si="0"/>
        <v>Basse-NormandieMirabellier</v>
      </c>
      <c r="C42" t="str">
        <f t="shared" si="1"/>
        <v>Basse-NormandieMirabellierAutres</v>
      </c>
      <c r="E42" s="234" t="s">
        <v>13</v>
      </c>
      <c r="F42" s="137" t="s">
        <v>148</v>
      </c>
      <c r="G42" s="137" t="s">
        <v>173</v>
      </c>
      <c r="H42" s="224">
        <v>0.01</v>
      </c>
      <c r="I42" s="224">
        <v>0.33</v>
      </c>
      <c r="J42" s="224">
        <v>5.14</v>
      </c>
      <c r="K42" s="227">
        <v>9.34</v>
      </c>
      <c r="L42" s="198"/>
      <c r="M42" s="293" t="str">
        <f t="shared" si="2"/>
        <v>Basse-NormandieMirabellier</v>
      </c>
      <c r="N42" s="293" t="str">
        <f t="shared" si="3"/>
        <v>Basse-NormandieMirabellierAutres</v>
      </c>
      <c r="P42" s="244" t="s">
        <v>13</v>
      </c>
      <c r="Q42" s="245" t="s">
        <v>148</v>
      </c>
      <c r="R42" s="245" t="s">
        <v>173</v>
      </c>
      <c r="S42" s="224"/>
      <c r="T42" s="224"/>
      <c r="U42" s="224"/>
      <c r="V42" s="227"/>
    </row>
    <row r="43" spans="2:22" x14ac:dyDescent="0.25">
      <c r="B43" t="str">
        <f t="shared" si="0"/>
        <v>Basse-NormandieNectarinier</v>
      </c>
      <c r="C43" t="str">
        <f t="shared" si="1"/>
        <v>Basse-NormandieNectarinierNectarinier-Pêcher</v>
      </c>
      <c r="E43" s="234" t="s">
        <v>13</v>
      </c>
      <c r="F43" s="137" t="s">
        <v>154</v>
      </c>
      <c r="G43" s="137" t="s">
        <v>640</v>
      </c>
      <c r="H43" s="224">
        <v>0.03</v>
      </c>
      <c r="I43" s="224">
        <v>0.84</v>
      </c>
      <c r="J43" s="224">
        <v>9.25</v>
      </c>
      <c r="K43" s="227">
        <v>19.38</v>
      </c>
      <c r="L43" s="198"/>
      <c r="M43" s="293" t="str">
        <f t="shared" si="2"/>
        <v>Basse-NormandieNectarinier</v>
      </c>
      <c r="N43" s="293" t="str">
        <f t="shared" si="3"/>
        <v>Basse-NormandieNectarinierNectarinier-Pêcher</v>
      </c>
      <c r="P43" s="244" t="s">
        <v>13</v>
      </c>
      <c r="Q43" s="245" t="s">
        <v>154</v>
      </c>
      <c r="R43" s="245" t="s">
        <v>640</v>
      </c>
      <c r="S43" s="224"/>
      <c r="T43" s="224"/>
      <c r="U43" s="224"/>
      <c r="V43" s="227"/>
    </row>
    <row r="44" spans="2:22" x14ac:dyDescent="0.25">
      <c r="B44" t="str">
        <f t="shared" si="0"/>
        <v>Basse-NormandieNoyer</v>
      </c>
      <c r="C44" t="str">
        <f t="shared" si="1"/>
        <v>Basse-NormandieNoyerAutres</v>
      </c>
      <c r="E44" s="234" t="s">
        <v>13</v>
      </c>
      <c r="F44" s="137" t="s">
        <v>157</v>
      </c>
      <c r="G44" s="137" t="s">
        <v>173</v>
      </c>
      <c r="H44" s="224">
        <v>0.01</v>
      </c>
      <c r="I44" s="224">
        <v>0.33</v>
      </c>
      <c r="J44" s="224">
        <v>5.14</v>
      </c>
      <c r="K44" s="227">
        <v>9.34</v>
      </c>
      <c r="L44" s="198"/>
      <c r="M44" s="293" t="str">
        <f t="shared" si="2"/>
        <v>Basse-NormandieNoyer</v>
      </c>
      <c r="N44" s="293" t="str">
        <f t="shared" si="3"/>
        <v>Basse-NormandieNoyerAutres</v>
      </c>
      <c r="P44" s="244" t="s">
        <v>13</v>
      </c>
      <c r="Q44" s="245" t="s">
        <v>157</v>
      </c>
      <c r="R44" s="245" t="s">
        <v>173</v>
      </c>
      <c r="S44" s="224"/>
      <c r="T44" s="224"/>
      <c r="U44" s="224"/>
      <c r="V44" s="227"/>
    </row>
    <row r="45" spans="2:22" x14ac:dyDescent="0.25">
      <c r="B45" t="str">
        <f t="shared" si="0"/>
        <v>Basse-NormandiePêcher</v>
      </c>
      <c r="C45" t="str">
        <f t="shared" si="1"/>
        <v>Basse-NormandiePêcherNectarinier-Pêcher</v>
      </c>
      <c r="E45" s="234" t="s">
        <v>13</v>
      </c>
      <c r="F45" s="137" t="s">
        <v>161</v>
      </c>
      <c r="G45" s="137" t="s">
        <v>640</v>
      </c>
      <c r="H45" s="224">
        <v>0.03</v>
      </c>
      <c r="I45" s="224">
        <v>0.84</v>
      </c>
      <c r="J45" s="224">
        <v>9.25</v>
      </c>
      <c r="K45" s="227">
        <v>19.38</v>
      </c>
      <c r="L45" s="198"/>
      <c r="M45" s="293" t="str">
        <f t="shared" si="2"/>
        <v>Basse-NormandiePêcher</v>
      </c>
      <c r="N45" s="293" t="str">
        <f t="shared" si="3"/>
        <v>Basse-NormandiePêcherNectarinier-Pêcher</v>
      </c>
      <c r="P45" s="244" t="s">
        <v>13</v>
      </c>
      <c r="Q45" s="245" t="s">
        <v>161</v>
      </c>
      <c r="R45" s="245" t="s">
        <v>640</v>
      </c>
      <c r="S45" s="224"/>
      <c r="T45" s="224"/>
      <c r="U45" s="224"/>
      <c r="V45" s="227"/>
    </row>
    <row r="46" spans="2:22" x14ac:dyDescent="0.25">
      <c r="B46" t="str">
        <f t="shared" si="0"/>
        <v>Basse-NormandiePoirier</v>
      </c>
      <c r="C46" t="str">
        <f t="shared" si="1"/>
        <v>Basse-NormandiePoirierAutres</v>
      </c>
      <c r="E46" s="234" t="s">
        <v>13</v>
      </c>
      <c r="F46" s="137" t="s">
        <v>162</v>
      </c>
      <c r="G46" s="137" t="s">
        <v>173</v>
      </c>
      <c r="H46" s="224">
        <v>0.01</v>
      </c>
      <c r="I46" s="224">
        <v>0.33</v>
      </c>
      <c r="J46" s="224">
        <v>5.14</v>
      </c>
      <c r="K46" s="227">
        <v>9.34</v>
      </c>
      <c r="L46" s="198"/>
      <c r="M46" s="293" t="str">
        <f t="shared" si="2"/>
        <v>Basse-NormandiePoirier</v>
      </c>
      <c r="N46" s="293" t="str">
        <f t="shared" si="3"/>
        <v>Basse-NormandiePoirierAutres</v>
      </c>
      <c r="P46" s="244" t="s">
        <v>13</v>
      </c>
      <c r="Q46" s="245" t="s">
        <v>162</v>
      </c>
      <c r="R46" s="245" t="s">
        <v>173</v>
      </c>
      <c r="S46" s="224"/>
      <c r="T46" s="224"/>
      <c r="U46" s="224"/>
      <c r="V46" s="227"/>
    </row>
    <row r="47" spans="2:22" x14ac:dyDescent="0.25">
      <c r="B47" t="str">
        <f t="shared" si="0"/>
        <v>Basse-NormandiePommier</v>
      </c>
      <c r="C47" t="str">
        <f t="shared" si="1"/>
        <v>Basse-NormandiePommierPommier</v>
      </c>
      <c r="E47" s="234" t="s">
        <v>13</v>
      </c>
      <c r="F47" s="137" t="s">
        <v>164</v>
      </c>
      <c r="G47" s="137" t="s">
        <v>164</v>
      </c>
      <c r="H47" s="224">
        <v>0.03</v>
      </c>
      <c r="I47" s="224">
        <v>0.84</v>
      </c>
      <c r="J47" s="224">
        <v>9.25</v>
      </c>
      <c r="K47" s="227">
        <v>19.38</v>
      </c>
      <c r="L47" s="198"/>
      <c r="M47" s="293" t="str">
        <f t="shared" si="2"/>
        <v>Basse-NormandiePommier</v>
      </c>
      <c r="N47" s="293" t="str">
        <f t="shared" si="3"/>
        <v>Basse-NormandiePommierPommier</v>
      </c>
      <c r="P47" s="244" t="s">
        <v>13</v>
      </c>
      <c r="Q47" s="245" t="s">
        <v>164</v>
      </c>
      <c r="R47" s="245" t="s">
        <v>164</v>
      </c>
      <c r="S47" s="224"/>
      <c r="T47" s="224"/>
      <c r="U47" s="224"/>
      <c r="V47" s="227"/>
    </row>
    <row r="48" spans="2:22" ht="15.75" thickBot="1" x14ac:dyDescent="0.3">
      <c r="B48" t="str">
        <f t="shared" si="0"/>
        <v>Basse-NormandiePrunier</v>
      </c>
      <c r="C48" t="str">
        <f t="shared" si="1"/>
        <v>Basse-NormandiePrunierAutres</v>
      </c>
      <c r="E48" s="235" t="s">
        <v>13</v>
      </c>
      <c r="F48" s="236" t="s">
        <v>165</v>
      </c>
      <c r="G48" s="236" t="s">
        <v>173</v>
      </c>
      <c r="H48" s="226">
        <v>0.01</v>
      </c>
      <c r="I48" s="226">
        <v>0.33</v>
      </c>
      <c r="J48" s="226">
        <v>5.14</v>
      </c>
      <c r="K48" s="228">
        <v>9.34</v>
      </c>
      <c r="L48" s="198"/>
      <c r="M48" s="293" t="str">
        <f t="shared" si="2"/>
        <v>Basse-NormandiePrunier</v>
      </c>
      <c r="N48" s="293" t="str">
        <f t="shared" si="3"/>
        <v>Basse-NormandiePrunierAutres</v>
      </c>
      <c r="P48" s="246" t="s">
        <v>13</v>
      </c>
      <c r="Q48" s="247" t="s">
        <v>165</v>
      </c>
      <c r="R48" s="247" t="s">
        <v>173</v>
      </c>
      <c r="S48" s="226"/>
      <c r="T48" s="226"/>
      <c r="U48" s="226"/>
      <c r="V48" s="228"/>
    </row>
    <row r="49" spans="2:22" ht="15.75" thickTop="1" x14ac:dyDescent="0.25">
      <c r="B49" t="str">
        <f t="shared" si="0"/>
        <v>BourgogneAbricotier</v>
      </c>
      <c r="C49" t="str">
        <f t="shared" si="1"/>
        <v>BourgogneAbricotierAbricotier</v>
      </c>
      <c r="E49" s="232" t="s">
        <v>14</v>
      </c>
      <c r="F49" s="233" t="s">
        <v>130</v>
      </c>
      <c r="G49" s="233" t="s">
        <v>130</v>
      </c>
      <c r="H49" s="225">
        <v>0.01</v>
      </c>
      <c r="I49" s="225">
        <v>0.62</v>
      </c>
      <c r="J49" s="225">
        <v>5.1100000000000003</v>
      </c>
      <c r="K49" s="229">
        <v>10.66</v>
      </c>
      <c r="L49" s="198"/>
      <c r="M49" s="293" t="str">
        <f t="shared" si="2"/>
        <v>BourgogneAbricotier</v>
      </c>
      <c r="N49" s="293" t="str">
        <f t="shared" si="3"/>
        <v>BourgogneAbricotierAbricotier</v>
      </c>
      <c r="P49" s="242" t="s">
        <v>14</v>
      </c>
      <c r="Q49" s="243" t="s">
        <v>130</v>
      </c>
      <c r="R49" s="243" t="s">
        <v>130</v>
      </c>
      <c r="S49" s="225"/>
      <c r="T49" s="225"/>
      <c r="U49" s="225"/>
      <c r="V49" s="229"/>
    </row>
    <row r="50" spans="2:22" x14ac:dyDescent="0.25">
      <c r="B50" t="str">
        <f t="shared" si="0"/>
        <v>BourgogneAgrumes</v>
      </c>
      <c r="C50" t="str">
        <f t="shared" si="1"/>
        <v>BourgogneAgrumesClémentinier</v>
      </c>
      <c r="E50" s="234" t="s">
        <v>14</v>
      </c>
      <c r="F50" s="137" t="s">
        <v>639</v>
      </c>
      <c r="G50" s="137" t="s">
        <v>138</v>
      </c>
      <c r="H50" s="224">
        <v>0</v>
      </c>
      <c r="I50" s="224">
        <v>0.3</v>
      </c>
      <c r="J50" s="224">
        <v>2</v>
      </c>
      <c r="K50" s="227">
        <v>5</v>
      </c>
      <c r="L50" s="198"/>
      <c r="M50" s="293" t="str">
        <f t="shared" si="2"/>
        <v>BourgogneAgrumes</v>
      </c>
      <c r="N50" s="293" t="str">
        <f t="shared" si="3"/>
        <v>BourgogneAgrumesClémentinier</v>
      </c>
      <c r="P50" s="244" t="s">
        <v>14</v>
      </c>
      <c r="Q50" s="245" t="s">
        <v>639</v>
      </c>
      <c r="R50" s="245" t="s">
        <v>138</v>
      </c>
      <c r="S50" s="224"/>
      <c r="T50" s="224"/>
      <c r="U50" s="224"/>
      <c r="V50" s="227"/>
    </row>
    <row r="51" spans="2:22" x14ac:dyDescent="0.25">
      <c r="B51" t="str">
        <f t="shared" si="0"/>
        <v>BourgogneAutres</v>
      </c>
      <c r="C51" t="str">
        <f t="shared" si="1"/>
        <v>BourgogneAutresPrunier</v>
      </c>
      <c r="E51" s="234" t="s">
        <v>14</v>
      </c>
      <c r="F51" s="137" t="s">
        <v>173</v>
      </c>
      <c r="G51" s="137" t="s">
        <v>165</v>
      </c>
      <c r="H51" s="224">
        <v>0.01</v>
      </c>
      <c r="I51" s="224">
        <v>0.33</v>
      </c>
      <c r="J51" s="224">
        <v>5.14</v>
      </c>
      <c r="K51" s="227">
        <v>9.34</v>
      </c>
      <c r="L51" s="198"/>
      <c r="M51" s="293" t="str">
        <f t="shared" si="2"/>
        <v>BourgogneAutres</v>
      </c>
      <c r="N51" s="293" t="str">
        <f t="shared" si="3"/>
        <v>BourgogneAutresPrunier</v>
      </c>
      <c r="P51" s="244" t="s">
        <v>14</v>
      </c>
      <c r="Q51" s="245" t="s">
        <v>173</v>
      </c>
      <c r="R51" s="245" t="s">
        <v>165</v>
      </c>
      <c r="S51" s="224"/>
      <c r="T51" s="224"/>
      <c r="U51" s="224"/>
      <c r="V51" s="227"/>
    </row>
    <row r="52" spans="2:22" x14ac:dyDescent="0.25">
      <c r="B52" t="str">
        <f t="shared" si="0"/>
        <v>BourgogneCerisier</v>
      </c>
      <c r="C52" t="str">
        <f t="shared" si="1"/>
        <v>BourgogneCerisierCerisier</v>
      </c>
      <c r="E52" s="234" t="s">
        <v>14</v>
      </c>
      <c r="F52" s="137" t="s">
        <v>135</v>
      </c>
      <c r="G52" s="137" t="s">
        <v>135</v>
      </c>
      <c r="H52" s="224">
        <v>0</v>
      </c>
      <c r="I52" s="224">
        <v>0.26</v>
      </c>
      <c r="J52" s="224">
        <v>3.48</v>
      </c>
      <c r="K52" s="227">
        <v>6.6</v>
      </c>
      <c r="L52" s="198"/>
      <c r="M52" s="293" t="str">
        <f t="shared" si="2"/>
        <v>BourgogneCerisier</v>
      </c>
      <c r="N52" s="293" t="str">
        <f t="shared" si="3"/>
        <v>BourgogneCerisierCerisier</v>
      </c>
      <c r="P52" s="244" t="s">
        <v>14</v>
      </c>
      <c r="Q52" s="245" t="s">
        <v>135</v>
      </c>
      <c r="R52" s="245" t="s">
        <v>135</v>
      </c>
      <c r="S52" s="224"/>
      <c r="T52" s="224"/>
      <c r="U52" s="224"/>
      <c r="V52" s="227"/>
    </row>
    <row r="53" spans="2:22" x14ac:dyDescent="0.25">
      <c r="B53" t="str">
        <f t="shared" si="0"/>
        <v>BourgogneMirabellier</v>
      </c>
      <c r="C53" t="str">
        <f t="shared" si="1"/>
        <v>BourgogneMirabellierAutres</v>
      </c>
      <c r="E53" s="234" t="s">
        <v>14</v>
      </c>
      <c r="F53" s="137" t="s">
        <v>148</v>
      </c>
      <c r="G53" s="137" t="s">
        <v>173</v>
      </c>
      <c r="H53" s="224">
        <v>0.01</v>
      </c>
      <c r="I53" s="224">
        <v>0.33</v>
      </c>
      <c r="J53" s="224">
        <v>5.14</v>
      </c>
      <c r="K53" s="227">
        <v>9.34</v>
      </c>
      <c r="L53" s="198"/>
      <c r="M53" s="293" t="str">
        <f t="shared" si="2"/>
        <v>BourgogneMirabellier</v>
      </c>
      <c r="N53" s="293" t="str">
        <f t="shared" si="3"/>
        <v>BourgogneMirabellierAutres</v>
      </c>
      <c r="P53" s="244" t="s">
        <v>14</v>
      </c>
      <c r="Q53" s="245" t="s">
        <v>148</v>
      </c>
      <c r="R53" s="245" t="s">
        <v>173</v>
      </c>
      <c r="S53" s="224"/>
      <c r="T53" s="224"/>
      <c r="U53" s="224"/>
      <c r="V53" s="227"/>
    </row>
    <row r="54" spans="2:22" x14ac:dyDescent="0.25">
      <c r="B54" t="str">
        <f t="shared" si="0"/>
        <v>BourgogneNectarinier</v>
      </c>
      <c r="C54" t="str">
        <f t="shared" si="1"/>
        <v>BourgogneNectarinierNectarinier-Pêcher</v>
      </c>
      <c r="E54" s="234" t="s">
        <v>14</v>
      </c>
      <c r="F54" s="137" t="s">
        <v>154</v>
      </c>
      <c r="G54" s="137" t="s">
        <v>640</v>
      </c>
      <c r="H54" s="224">
        <v>0.03</v>
      </c>
      <c r="I54" s="224">
        <v>0.84</v>
      </c>
      <c r="J54" s="224">
        <v>9.25</v>
      </c>
      <c r="K54" s="227">
        <v>19.38</v>
      </c>
      <c r="L54" s="198"/>
      <c r="M54" s="293" t="str">
        <f t="shared" si="2"/>
        <v>BourgogneNectarinier</v>
      </c>
      <c r="N54" s="293" t="str">
        <f t="shared" si="3"/>
        <v>BourgogneNectarinierNectarinier-Pêcher</v>
      </c>
      <c r="P54" s="244" t="s">
        <v>14</v>
      </c>
      <c r="Q54" s="245" t="s">
        <v>154</v>
      </c>
      <c r="R54" s="245" t="s">
        <v>640</v>
      </c>
      <c r="S54" s="224"/>
      <c r="T54" s="224"/>
      <c r="U54" s="224"/>
      <c r="V54" s="227"/>
    </row>
    <row r="55" spans="2:22" x14ac:dyDescent="0.25">
      <c r="B55" t="str">
        <f t="shared" si="0"/>
        <v>BourgogneNoyer</v>
      </c>
      <c r="C55" t="str">
        <f t="shared" si="1"/>
        <v>BourgogneNoyerAutres</v>
      </c>
      <c r="E55" s="234" t="s">
        <v>14</v>
      </c>
      <c r="F55" s="137" t="s">
        <v>157</v>
      </c>
      <c r="G55" s="137" t="s">
        <v>173</v>
      </c>
      <c r="H55" s="224">
        <v>0.01</v>
      </c>
      <c r="I55" s="224">
        <v>0.33</v>
      </c>
      <c r="J55" s="224">
        <v>5.14</v>
      </c>
      <c r="K55" s="227">
        <v>9.34</v>
      </c>
      <c r="L55" s="198"/>
      <c r="M55" s="293" t="str">
        <f t="shared" si="2"/>
        <v>BourgogneNoyer</v>
      </c>
      <c r="N55" s="293" t="str">
        <f t="shared" si="3"/>
        <v>BourgogneNoyerAutres</v>
      </c>
      <c r="P55" s="244" t="s">
        <v>14</v>
      </c>
      <c r="Q55" s="245" t="s">
        <v>157</v>
      </c>
      <c r="R55" s="245" t="s">
        <v>173</v>
      </c>
      <c r="S55" s="224"/>
      <c r="T55" s="224"/>
      <c r="U55" s="224"/>
      <c r="V55" s="227"/>
    </row>
    <row r="56" spans="2:22" x14ac:dyDescent="0.25">
      <c r="B56" t="str">
        <f t="shared" si="0"/>
        <v>BourgognePêcher</v>
      </c>
      <c r="C56" t="str">
        <f t="shared" si="1"/>
        <v>BourgognePêcherNectarinier-Pêcher</v>
      </c>
      <c r="E56" s="234" t="s">
        <v>14</v>
      </c>
      <c r="F56" s="137" t="s">
        <v>161</v>
      </c>
      <c r="G56" s="137" t="s">
        <v>640</v>
      </c>
      <c r="H56" s="224">
        <v>0.03</v>
      </c>
      <c r="I56" s="224">
        <v>0.84</v>
      </c>
      <c r="J56" s="224">
        <v>9.25</v>
      </c>
      <c r="K56" s="227">
        <v>19.38</v>
      </c>
      <c r="L56" s="198"/>
      <c r="M56" s="293" t="str">
        <f t="shared" si="2"/>
        <v>BourgognePêcher</v>
      </c>
      <c r="N56" s="293" t="str">
        <f t="shared" si="3"/>
        <v>BourgognePêcherNectarinier-Pêcher</v>
      </c>
      <c r="P56" s="244" t="s">
        <v>14</v>
      </c>
      <c r="Q56" s="245" t="s">
        <v>161</v>
      </c>
      <c r="R56" s="245" t="s">
        <v>640</v>
      </c>
      <c r="S56" s="224"/>
      <c r="T56" s="224"/>
      <c r="U56" s="224"/>
      <c r="V56" s="227"/>
    </row>
    <row r="57" spans="2:22" x14ac:dyDescent="0.25">
      <c r="B57" t="str">
        <f t="shared" si="0"/>
        <v>BourgognePoirier</v>
      </c>
      <c r="C57" t="str">
        <f t="shared" si="1"/>
        <v>BourgognePoirierAutres</v>
      </c>
      <c r="E57" s="234" t="s">
        <v>14</v>
      </c>
      <c r="F57" s="137" t="s">
        <v>162</v>
      </c>
      <c r="G57" s="137" t="s">
        <v>173</v>
      </c>
      <c r="H57" s="224">
        <v>0.01</v>
      </c>
      <c r="I57" s="224">
        <v>0.33</v>
      </c>
      <c r="J57" s="224">
        <v>5.14</v>
      </c>
      <c r="K57" s="227">
        <v>9.34</v>
      </c>
      <c r="L57" s="198"/>
      <c r="M57" s="293" t="str">
        <f t="shared" si="2"/>
        <v>BourgognePoirier</v>
      </c>
      <c r="N57" s="293" t="str">
        <f t="shared" si="3"/>
        <v>BourgognePoirierAutres</v>
      </c>
      <c r="P57" s="244" t="s">
        <v>14</v>
      </c>
      <c r="Q57" s="245" t="s">
        <v>162</v>
      </c>
      <c r="R57" s="245" t="s">
        <v>173</v>
      </c>
      <c r="S57" s="224"/>
      <c r="T57" s="224"/>
      <c r="U57" s="224"/>
      <c r="V57" s="227"/>
    </row>
    <row r="58" spans="2:22" x14ac:dyDescent="0.25">
      <c r="B58" t="str">
        <f t="shared" si="0"/>
        <v>BourgognePommier</v>
      </c>
      <c r="C58" t="str">
        <f t="shared" si="1"/>
        <v>BourgognePommierPommier</v>
      </c>
      <c r="E58" s="234" t="s">
        <v>14</v>
      </c>
      <c r="F58" s="137" t="s">
        <v>164</v>
      </c>
      <c r="G58" s="137" t="s">
        <v>164</v>
      </c>
      <c r="H58" s="224">
        <v>0.03</v>
      </c>
      <c r="I58" s="224">
        <v>0.84</v>
      </c>
      <c r="J58" s="224">
        <v>9.25</v>
      </c>
      <c r="K58" s="227">
        <v>19.38</v>
      </c>
      <c r="L58" s="198"/>
      <c r="M58" s="293" t="str">
        <f t="shared" si="2"/>
        <v>BourgognePommier</v>
      </c>
      <c r="N58" s="293" t="str">
        <f t="shared" si="3"/>
        <v>BourgognePommierPommier</v>
      </c>
      <c r="P58" s="244" t="s">
        <v>14</v>
      </c>
      <c r="Q58" s="245" t="s">
        <v>164</v>
      </c>
      <c r="R58" s="245" t="s">
        <v>164</v>
      </c>
      <c r="S58" s="224"/>
      <c r="T58" s="224"/>
      <c r="U58" s="224"/>
      <c r="V58" s="227"/>
    </row>
    <row r="59" spans="2:22" ht="15.75" thickBot="1" x14ac:dyDescent="0.3">
      <c r="B59" t="str">
        <f t="shared" si="0"/>
        <v>BourgognePrunier</v>
      </c>
      <c r="C59" t="str">
        <f t="shared" si="1"/>
        <v>BourgognePrunierAutres</v>
      </c>
      <c r="E59" s="235" t="s">
        <v>14</v>
      </c>
      <c r="F59" s="236" t="s">
        <v>165</v>
      </c>
      <c r="G59" s="236" t="s">
        <v>173</v>
      </c>
      <c r="H59" s="226">
        <v>0.01</v>
      </c>
      <c r="I59" s="226">
        <v>0.33</v>
      </c>
      <c r="J59" s="226">
        <v>5.14</v>
      </c>
      <c r="K59" s="228">
        <v>9.34</v>
      </c>
      <c r="L59" s="198"/>
      <c r="M59" s="293" t="str">
        <f t="shared" si="2"/>
        <v>BourgognePrunier</v>
      </c>
      <c r="N59" s="293" t="str">
        <f t="shared" si="3"/>
        <v>BourgognePrunierAutres</v>
      </c>
      <c r="P59" s="246" t="s">
        <v>14</v>
      </c>
      <c r="Q59" s="247" t="s">
        <v>165</v>
      </c>
      <c r="R59" s="247" t="s">
        <v>173</v>
      </c>
      <c r="S59" s="226"/>
      <c r="T59" s="226"/>
      <c r="U59" s="226"/>
      <c r="V59" s="228"/>
    </row>
    <row r="60" spans="2:22" ht="15.75" thickTop="1" x14ac:dyDescent="0.25">
      <c r="B60" t="str">
        <f t="shared" si="0"/>
        <v>BretagneAbricotier</v>
      </c>
      <c r="C60" t="str">
        <f t="shared" si="1"/>
        <v>BretagneAbricotierAbricotier</v>
      </c>
      <c r="E60" s="234" t="s">
        <v>15</v>
      </c>
      <c r="F60" s="137" t="s">
        <v>130</v>
      </c>
      <c r="G60" s="137" t="s">
        <v>130</v>
      </c>
      <c r="H60" s="224">
        <v>0.01</v>
      </c>
      <c r="I60" s="224">
        <v>0.62</v>
      </c>
      <c r="J60" s="224">
        <v>5.1100000000000003</v>
      </c>
      <c r="K60" s="227">
        <v>10.66</v>
      </c>
      <c r="L60" s="198"/>
      <c r="M60" s="293" t="str">
        <f t="shared" si="2"/>
        <v>BretagneAbricotier</v>
      </c>
      <c r="N60" s="293" t="str">
        <f t="shared" si="3"/>
        <v>BretagneAbricotierAbricotier</v>
      </c>
      <c r="P60" s="244" t="s">
        <v>15</v>
      </c>
      <c r="Q60" s="245" t="s">
        <v>130</v>
      </c>
      <c r="R60" s="245" t="s">
        <v>130</v>
      </c>
      <c r="S60" s="224"/>
      <c r="T60" s="224"/>
      <c r="U60" s="224"/>
      <c r="V60" s="227"/>
    </row>
    <row r="61" spans="2:22" x14ac:dyDescent="0.25">
      <c r="B61" t="str">
        <f t="shared" si="0"/>
        <v>BretagneAgrumes</v>
      </c>
      <c r="C61" t="str">
        <f t="shared" si="1"/>
        <v>BretagneAgrumesClémentinier</v>
      </c>
      <c r="E61" s="234" t="s">
        <v>15</v>
      </c>
      <c r="F61" s="137" t="s">
        <v>639</v>
      </c>
      <c r="G61" s="137" t="s">
        <v>138</v>
      </c>
      <c r="H61" s="224">
        <v>0</v>
      </c>
      <c r="I61" s="224">
        <v>0.3</v>
      </c>
      <c r="J61" s="224">
        <v>2</v>
      </c>
      <c r="K61" s="227">
        <v>5</v>
      </c>
      <c r="L61" s="198"/>
      <c r="M61" s="293" t="str">
        <f t="shared" si="2"/>
        <v>BretagneAgrumes</v>
      </c>
      <c r="N61" s="293" t="str">
        <f t="shared" si="3"/>
        <v>BretagneAgrumesClémentinier</v>
      </c>
      <c r="P61" s="244" t="s">
        <v>15</v>
      </c>
      <c r="Q61" s="245" t="s">
        <v>639</v>
      </c>
      <c r="R61" s="245" t="s">
        <v>138</v>
      </c>
      <c r="S61" s="224"/>
      <c r="T61" s="224"/>
      <c r="U61" s="224"/>
      <c r="V61" s="227"/>
    </row>
    <row r="62" spans="2:22" x14ac:dyDescent="0.25">
      <c r="B62" t="str">
        <f t="shared" si="0"/>
        <v>BretagneAutres</v>
      </c>
      <c r="C62" t="str">
        <f t="shared" si="1"/>
        <v>BretagneAutresPrunier</v>
      </c>
      <c r="E62" s="234" t="s">
        <v>15</v>
      </c>
      <c r="F62" s="137" t="s">
        <v>173</v>
      </c>
      <c r="G62" s="137" t="s">
        <v>165</v>
      </c>
      <c r="H62" s="224">
        <v>0.01</v>
      </c>
      <c r="I62" s="224">
        <v>0.33</v>
      </c>
      <c r="J62" s="224">
        <v>5.14</v>
      </c>
      <c r="K62" s="227">
        <v>9.34</v>
      </c>
      <c r="L62" s="198"/>
      <c r="M62" s="293" t="str">
        <f t="shared" si="2"/>
        <v>BretagneAutres</v>
      </c>
      <c r="N62" s="293" t="str">
        <f t="shared" si="3"/>
        <v>BretagneAutresPrunier</v>
      </c>
      <c r="P62" s="244" t="s">
        <v>15</v>
      </c>
      <c r="Q62" s="245" t="s">
        <v>173</v>
      </c>
      <c r="R62" s="245" t="s">
        <v>165</v>
      </c>
      <c r="S62" s="224"/>
      <c r="T62" s="224"/>
      <c r="U62" s="224"/>
      <c r="V62" s="227"/>
    </row>
    <row r="63" spans="2:22" x14ac:dyDescent="0.25">
      <c r="B63" t="str">
        <f t="shared" si="0"/>
        <v>BretagneCerisier</v>
      </c>
      <c r="C63" t="str">
        <f t="shared" si="1"/>
        <v>BretagneCerisierCerisier</v>
      </c>
      <c r="E63" s="234" t="s">
        <v>15</v>
      </c>
      <c r="F63" s="137" t="s">
        <v>135</v>
      </c>
      <c r="G63" s="137" t="s">
        <v>135</v>
      </c>
      <c r="H63" s="224">
        <v>0</v>
      </c>
      <c r="I63" s="224">
        <v>0.36</v>
      </c>
      <c r="J63" s="224">
        <v>4.0599999999999996</v>
      </c>
      <c r="K63" s="227">
        <v>8.0299999999999994</v>
      </c>
      <c r="L63" s="198"/>
      <c r="M63" s="293" t="str">
        <f t="shared" si="2"/>
        <v>BretagneCerisier</v>
      </c>
      <c r="N63" s="293" t="str">
        <f t="shared" si="3"/>
        <v>BretagneCerisierCerisier</v>
      </c>
      <c r="P63" s="244" t="s">
        <v>15</v>
      </c>
      <c r="Q63" s="245" t="s">
        <v>135</v>
      </c>
      <c r="R63" s="245" t="s">
        <v>135</v>
      </c>
      <c r="S63" s="224"/>
      <c r="T63" s="224"/>
      <c r="U63" s="224"/>
      <c r="V63" s="227"/>
    </row>
    <row r="64" spans="2:22" x14ac:dyDescent="0.25">
      <c r="B64" t="str">
        <f t="shared" si="0"/>
        <v>BretagneMirabellier</v>
      </c>
      <c r="C64" t="str">
        <f t="shared" si="1"/>
        <v>BretagneMirabellierAutres</v>
      </c>
      <c r="E64" s="234" t="s">
        <v>15</v>
      </c>
      <c r="F64" s="137" t="s">
        <v>148</v>
      </c>
      <c r="G64" s="137" t="s">
        <v>173</v>
      </c>
      <c r="H64" s="224">
        <v>0.01</v>
      </c>
      <c r="I64" s="224">
        <v>0.33</v>
      </c>
      <c r="J64" s="224">
        <v>5.14</v>
      </c>
      <c r="K64" s="227">
        <v>9.34</v>
      </c>
      <c r="L64" s="198"/>
      <c r="M64" s="293" t="str">
        <f t="shared" si="2"/>
        <v>BretagneMirabellier</v>
      </c>
      <c r="N64" s="293" t="str">
        <f t="shared" si="3"/>
        <v>BretagneMirabellierAutres</v>
      </c>
      <c r="P64" s="244" t="s">
        <v>15</v>
      </c>
      <c r="Q64" s="245" t="s">
        <v>148</v>
      </c>
      <c r="R64" s="245" t="s">
        <v>173</v>
      </c>
      <c r="S64" s="224"/>
      <c r="T64" s="224"/>
      <c r="U64" s="224"/>
      <c r="V64" s="227"/>
    </row>
    <row r="65" spans="2:22" x14ac:dyDescent="0.25">
      <c r="B65" t="str">
        <f t="shared" si="0"/>
        <v>BretagneNectarinier</v>
      </c>
      <c r="C65" t="str">
        <f t="shared" si="1"/>
        <v>BretagneNectarinierNectarinier-Pêcher</v>
      </c>
      <c r="E65" s="234" t="s">
        <v>15</v>
      </c>
      <c r="F65" s="137" t="s">
        <v>154</v>
      </c>
      <c r="G65" s="137" t="s">
        <v>640</v>
      </c>
      <c r="H65" s="224">
        <v>0.03</v>
      </c>
      <c r="I65" s="224">
        <v>0.84</v>
      </c>
      <c r="J65" s="224">
        <v>9.25</v>
      </c>
      <c r="K65" s="227">
        <v>19.38</v>
      </c>
      <c r="L65" s="198"/>
      <c r="M65" s="293" t="str">
        <f t="shared" si="2"/>
        <v>BretagneNectarinier</v>
      </c>
      <c r="N65" s="293" t="str">
        <f t="shared" si="3"/>
        <v>BretagneNectarinierNectarinier-Pêcher</v>
      </c>
      <c r="P65" s="244" t="s">
        <v>15</v>
      </c>
      <c r="Q65" s="245" t="s">
        <v>154</v>
      </c>
      <c r="R65" s="245" t="s">
        <v>640</v>
      </c>
      <c r="S65" s="224"/>
      <c r="T65" s="224"/>
      <c r="U65" s="224"/>
      <c r="V65" s="227"/>
    </row>
    <row r="66" spans="2:22" x14ac:dyDescent="0.25">
      <c r="B66" t="str">
        <f t="shared" si="0"/>
        <v>BretagneNoyer</v>
      </c>
      <c r="C66" t="str">
        <f t="shared" si="1"/>
        <v>BretagneNoyerAutres</v>
      </c>
      <c r="E66" s="234" t="s">
        <v>15</v>
      </c>
      <c r="F66" s="137" t="s">
        <v>157</v>
      </c>
      <c r="G66" s="137" t="s">
        <v>173</v>
      </c>
      <c r="H66" s="224">
        <v>0.01</v>
      </c>
      <c r="I66" s="224">
        <v>0.33</v>
      </c>
      <c r="J66" s="224">
        <v>5.14</v>
      </c>
      <c r="K66" s="227">
        <v>9.34</v>
      </c>
      <c r="L66" s="198"/>
      <c r="M66" s="293" t="str">
        <f t="shared" si="2"/>
        <v>BretagneNoyer</v>
      </c>
      <c r="N66" s="293" t="str">
        <f t="shared" si="3"/>
        <v>BretagneNoyerAutres</v>
      </c>
      <c r="P66" s="244" t="s">
        <v>15</v>
      </c>
      <c r="Q66" s="245" t="s">
        <v>157</v>
      </c>
      <c r="R66" s="245" t="s">
        <v>173</v>
      </c>
      <c r="S66" s="224"/>
      <c r="T66" s="224"/>
      <c r="U66" s="224"/>
      <c r="V66" s="227"/>
    </row>
    <row r="67" spans="2:22" x14ac:dyDescent="0.25">
      <c r="B67" t="str">
        <f t="shared" si="0"/>
        <v>BretagnePêcher</v>
      </c>
      <c r="C67" t="str">
        <f t="shared" si="1"/>
        <v>BretagnePêcherNectarinier-Pêcher</v>
      </c>
      <c r="E67" s="234" t="s">
        <v>15</v>
      </c>
      <c r="F67" s="137" t="s">
        <v>161</v>
      </c>
      <c r="G67" s="137" t="s">
        <v>640</v>
      </c>
      <c r="H67" s="224">
        <v>0.03</v>
      </c>
      <c r="I67" s="224">
        <v>0.84</v>
      </c>
      <c r="J67" s="224">
        <v>9.25</v>
      </c>
      <c r="K67" s="227">
        <v>19.38</v>
      </c>
      <c r="L67" s="198"/>
      <c r="M67" s="293" t="str">
        <f t="shared" si="2"/>
        <v>BretagnePêcher</v>
      </c>
      <c r="N67" s="293" t="str">
        <f t="shared" si="3"/>
        <v>BretagnePêcherNectarinier-Pêcher</v>
      </c>
      <c r="P67" s="244" t="s">
        <v>15</v>
      </c>
      <c r="Q67" s="245" t="s">
        <v>161</v>
      </c>
      <c r="R67" s="245" t="s">
        <v>640</v>
      </c>
      <c r="S67" s="224"/>
      <c r="T67" s="224"/>
      <c r="U67" s="224"/>
      <c r="V67" s="227"/>
    </row>
    <row r="68" spans="2:22" x14ac:dyDescent="0.25">
      <c r="B68" t="str">
        <f t="shared" si="0"/>
        <v>BretagnePoirier</v>
      </c>
      <c r="C68" t="str">
        <f t="shared" si="1"/>
        <v>BretagnePoirierAutres</v>
      </c>
      <c r="E68" s="234" t="s">
        <v>15</v>
      </c>
      <c r="F68" s="137" t="s">
        <v>162</v>
      </c>
      <c r="G68" s="137" t="s">
        <v>173</v>
      </c>
      <c r="H68" s="224">
        <v>0.01</v>
      </c>
      <c r="I68" s="224">
        <v>0.33</v>
      </c>
      <c r="J68" s="224">
        <v>5.14</v>
      </c>
      <c r="K68" s="227">
        <v>9.34</v>
      </c>
      <c r="L68" s="198"/>
      <c r="M68" s="293" t="str">
        <f t="shared" si="2"/>
        <v>BretagnePoirier</v>
      </c>
      <c r="N68" s="293" t="str">
        <f t="shared" si="3"/>
        <v>BretagnePoirierAutres</v>
      </c>
      <c r="P68" s="244" t="s">
        <v>15</v>
      </c>
      <c r="Q68" s="245" t="s">
        <v>162</v>
      </c>
      <c r="R68" s="245" t="s">
        <v>173</v>
      </c>
      <c r="S68" s="224"/>
      <c r="T68" s="224"/>
      <c r="U68" s="224"/>
      <c r="V68" s="227"/>
    </row>
    <row r="69" spans="2:22" x14ac:dyDescent="0.25">
      <c r="B69" t="str">
        <f t="shared" si="0"/>
        <v>BretagnePommier</v>
      </c>
      <c r="C69" t="str">
        <f t="shared" si="1"/>
        <v>BretagnePommierPommier</v>
      </c>
      <c r="E69" s="234" t="s">
        <v>15</v>
      </c>
      <c r="F69" s="137" t="s">
        <v>164</v>
      </c>
      <c r="G69" s="137" t="s">
        <v>164</v>
      </c>
      <c r="H69" s="224">
        <v>0</v>
      </c>
      <c r="I69" s="224">
        <v>0.52</v>
      </c>
      <c r="J69" s="224">
        <v>7.73</v>
      </c>
      <c r="K69" s="227">
        <v>27.33</v>
      </c>
      <c r="L69" s="198"/>
      <c r="M69" s="293" t="str">
        <f t="shared" si="2"/>
        <v>BretagnePommier</v>
      </c>
      <c r="N69" s="293" t="str">
        <f t="shared" si="3"/>
        <v>BretagnePommierPommier</v>
      </c>
      <c r="P69" s="244" t="s">
        <v>15</v>
      </c>
      <c r="Q69" s="245" t="s">
        <v>164</v>
      </c>
      <c r="R69" s="245" t="s">
        <v>164</v>
      </c>
      <c r="S69" s="224"/>
      <c r="T69" s="224"/>
      <c r="U69" s="224"/>
      <c r="V69" s="227"/>
    </row>
    <row r="70" spans="2:22" ht="15.75" thickBot="1" x14ac:dyDescent="0.3">
      <c r="B70" t="str">
        <f t="shared" ref="B70:B133" si="4">E70&amp;F70</f>
        <v>BretagnePrunier</v>
      </c>
      <c r="C70" t="str">
        <f t="shared" ref="C70:C133" si="5">E70&amp;F70&amp;G70</f>
        <v>BretagnePrunierAutres</v>
      </c>
      <c r="E70" s="235" t="s">
        <v>15</v>
      </c>
      <c r="F70" s="236" t="s">
        <v>165</v>
      </c>
      <c r="G70" s="236" t="s">
        <v>173</v>
      </c>
      <c r="H70" s="226">
        <v>0.01</v>
      </c>
      <c r="I70" s="226">
        <v>0.33</v>
      </c>
      <c r="J70" s="226">
        <v>5.14</v>
      </c>
      <c r="K70" s="228">
        <v>9.34</v>
      </c>
      <c r="L70" s="198"/>
      <c r="M70" s="293" t="str">
        <f t="shared" ref="M70:M133" si="6">P70&amp;Q70</f>
        <v>BretagnePrunier</v>
      </c>
      <c r="N70" s="293" t="str">
        <f t="shared" ref="N70:N133" si="7">P70&amp;Q70&amp;R70</f>
        <v>BretagnePrunierAutres</v>
      </c>
      <c r="P70" s="246" t="s">
        <v>15</v>
      </c>
      <c r="Q70" s="247" t="s">
        <v>165</v>
      </c>
      <c r="R70" s="247" t="s">
        <v>173</v>
      </c>
      <c r="S70" s="226"/>
      <c r="T70" s="226"/>
      <c r="U70" s="226"/>
      <c r="V70" s="228"/>
    </row>
    <row r="71" spans="2:22" ht="15.75" thickTop="1" x14ac:dyDescent="0.25">
      <c r="B71" t="str">
        <f t="shared" si="4"/>
        <v>CentreAbricotier</v>
      </c>
      <c r="C71" t="str">
        <f t="shared" si="5"/>
        <v>CentreAbricotierAbricotier</v>
      </c>
      <c r="E71" s="234" t="s">
        <v>16</v>
      </c>
      <c r="F71" s="137" t="s">
        <v>130</v>
      </c>
      <c r="G71" s="137" t="s">
        <v>130</v>
      </c>
      <c r="H71" s="224">
        <v>0.01</v>
      </c>
      <c r="I71" s="224">
        <v>0.62</v>
      </c>
      <c r="J71" s="224">
        <v>5.1100000000000003</v>
      </c>
      <c r="K71" s="227">
        <v>10.66</v>
      </c>
      <c r="L71" s="198"/>
      <c r="M71" s="293" t="str">
        <f t="shared" si="6"/>
        <v>CentreAbricotier</v>
      </c>
      <c r="N71" s="293" t="str">
        <f t="shared" si="7"/>
        <v>CentreAbricotierAbricotier</v>
      </c>
      <c r="P71" s="244" t="s">
        <v>16</v>
      </c>
      <c r="Q71" s="245" t="s">
        <v>130</v>
      </c>
      <c r="R71" s="245" t="s">
        <v>130</v>
      </c>
      <c r="S71" s="224"/>
      <c r="T71" s="224"/>
      <c r="U71" s="224"/>
      <c r="V71" s="227"/>
    </row>
    <row r="72" spans="2:22" x14ac:dyDescent="0.25">
      <c r="B72" t="str">
        <f t="shared" si="4"/>
        <v>CentreAgrumes</v>
      </c>
      <c r="C72" t="str">
        <f t="shared" si="5"/>
        <v>CentreAgrumesClémentinier</v>
      </c>
      <c r="E72" s="234" t="s">
        <v>16</v>
      </c>
      <c r="F72" s="137" t="s">
        <v>639</v>
      </c>
      <c r="G72" s="137" t="s">
        <v>138</v>
      </c>
      <c r="H72" s="224">
        <v>0</v>
      </c>
      <c r="I72" s="224">
        <v>0.3</v>
      </c>
      <c r="J72" s="224">
        <v>2</v>
      </c>
      <c r="K72" s="227">
        <v>5</v>
      </c>
      <c r="L72" s="198"/>
      <c r="M72" s="293" t="str">
        <f t="shared" si="6"/>
        <v>CentreAgrumes</v>
      </c>
      <c r="N72" s="293" t="str">
        <f t="shared" si="7"/>
        <v>CentreAgrumesClémentinier</v>
      </c>
      <c r="P72" s="244" t="s">
        <v>16</v>
      </c>
      <c r="Q72" s="245" t="s">
        <v>639</v>
      </c>
      <c r="R72" s="245" t="s">
        <v>138</v>
      </c>
      <c r="S72" s="224"/>
      <c r="T72" s="224"/>
      <c r="U72" s="224"/>
      <c r="V72" s="227"/>
    </row>
    <row r="73" spans="2:22" x14ac:dyDescent="0.25">
      <c r="B73" t="str">
        <f t="shared" si="4"/>
        <v>CentreAutres</v>
      </c>
      <c r="C73" t="str">
        <f t="shared" si="5"/>
        <v>CentreAutresPrunier</v>
      </c>
      <c r="E73" s="234" t="s">
        <v>16</v>
      </c>
      <c r="F73" s="137" t="s">
        <v>173</v>
      </c>
      <c r="G73" s="137" t="s">
        <v>165</v>
      </c>
      <c r="H73" s="224">
        <v>0.01</v>
      </c>
      <c r="I73" s="224">
        <v>0.33</v>
      </c>
      <c r="J73" s="224">
        <v>5.14</v>
      </c>
      <c r="K73" s="227">
        <v>9.34</v>
      </c>
      <c r="L73" s="198"/>
      <c r="M73" s="293" t="str">
        <f t="shared" si="6"/>
        <v>CentreAutres</v>
      </c>
      <c r="N73" s="293" t="str">
        <f t="shared" si="7"/>
        <v>CentreAutresPrunier</v>
      </c>
      <c r="P73" s="244" t="s">
        <v>16</v>
      </c>
      <c r="Q73" s="245" t="s">
        <v>173</v>
      </c>
      <c r="R73" s="245" t="s">
        <v>165</v>
      </c>
      <c r="S73" s="224"/>
      <c r="T73" s="224"/>
      <c r="U73" s="224"/>
      <c r="V73" s="227"/>
    </row>
    <row r="74" spans="2:22" x14ac:dyDescent="0.25">
      <c r="B74" t="str">
        <f t="shared" si="4"/>
        <v>CentreCerisier</v>
      </c>
      <c r="C74" t="str">
        <f t="shared" si="5"/>
        <v>CentreCerisierCerisier</v>
      </c>
      <c r="E74" s="234" t="s">
        <v>16</v>
      </c>
      <c r="F74" s="137" t="s">
        <v>135</v>
      </c>
      <c r="G74" s="137" t="s">
        <v>135</v>
      </c>
      <c r="H74" s="224">
        <v>0.14000000000000001</v>
      </c>
      <c r="I74" s="224">
        <v>0.36</v>
      </c>
      <c r="J74" s="224">
        <v>7.91</v>
      </c>
      <c r="K74" s="227">
        <v>12.19</v>
      </c>
      <c r="L74" s="198"/>
      <c r="M74" s="293" t="str">
        <f t="shared" si="6"/>
        <v>CentreCerisier</v>
      </c>
      <c r="N74" s="293" t="str">
        <f t="shared" si="7"/>
        <v>CentreCerisierCerisier</v>
      </c>
      <c r="P74" s="244" t="s">
        <v>16</v>
      </c>
      <c r="Q74" s="245" t="s">
        <v>135</v>
      </c>
      <c r="R74" s="245" t="s">
        <v>135</v>
      </c>
      <c r="S74" s="224"/>
      <c r="T74" s="224"/>
      <c r="U74" s="224"/>
      <c r="V74" s="227"/>
    </row>
    <row r="75" spans="2:22" x14ac:dyDescent="0.25">
      <c r="B75" t="str">
        <f t="shared" si="4"/>
        <v>CentreMirabellier</v>
      </c>
      <c r="C75" t="str">
        <f t="shared" si="5"/>
        <v>CentreMirabellierAutres</v>
      </c>
      <c r="E75" s="234" t="s">
        <v>16</v>
      </c>
      <c r="F75" s="137" t="s">
        <v>148</v>
      </c>
      <c r="G75" s="137" t="s">
        <v>173</v>
      </c>
      <c r="H75" s="224">
        <v>0.01</v>
      </c>
      <c r="I75" s="224">
        <v>0.33</v>
      </c>
      <c r="J75" s="224">
        <v>5.14</v>
      </c>
      <c r="K75" s="227">
        <v>9.34</v>
      </c>
      <c r="L75" s="198"/>
      <c r="M75" s="293" t="str">
        <f t="shared" si="6"/>
        <v>CentreMirabellier</v>
      </c>
      <c r="N75" s="293" t="str">
        <f t="shared" si="7"/>
        <v>CentreMirabellierAutres</v>
      </c>
      <c r="P75" s="244" t="s">
        <v>16</v>
      </c>
      <c r="Q75" s="245" t="s">
        <v>148</v>
      </c>
      <c r="R75" s="245" t="s">
        <v>173</v>
      </c>
      <c r="S75" s="224"/>
      <c r="T75" s="224"/>
      <c r="U75" s="224"/>
      <c r="V75" s="227"/>
    </row>
    <row r="76" spans="2:22" x14ac:dyDescent="0.25">
      <c r="B76" t="str">
        <f t="shared" si="4"/>
        <v>CentreNectarinier</v>
      </c>
      <c r="C76" t="str">
        <f t="shared" si="5"/>
        <v>CentreNectarinierNectarinier-Pêcher</v>
      </c>
      <c r="E76" s="234" t="s">
        <v>16</v>
      </c>
      <c r="F76" s="137" t="s">
        <v>154</v>
      </c>
      <c r="G76" s="137" t="s">
        <v>640</v>
      </c>
      <c r="H76" s="224">
        <v>0.03</v>
      </c>
      <c r="I76" s="224">
        <v>0.84</v>
      </c>
      <c r="J76" s="224">
        <v>9.25</v>
      </c>
      <c r="K76" s="227">
        <v>19.38</v>
      </c>
      <c r="L76" s="198"/>
      <c r="M76" s="293" t="str">
        <f t="shared" si="6"/>
        <v>CentreNectarinier</v>
      </c>
      <c r="N76" s="293" t="str">
        <f t="shared" si="7"/>
        <v>CentreNectarinierNectarinier-Pêcher</v>
      </c>
      <c r="P76" s="244" t="s">
        <v>16</v>
      </c>
      <c r="Q76" s="245" t="s">
        <v>154</v>
      </c>
      <c r="R76" s="245" t="s">
        <v>640</v>
      </c>
      <c r="S76" s="224"/>
      <c r="T76" s="224"/>
      <c r="U76" s="224"/>
      <c r="V76" s="227"/>
    </row>
    <row r="77" spans="2:22" x14ac:dyDescent="0.25">
      <c r="B77" t="str">
        <f t="shared" si="4"/>
        <v>CentreNoyer</v>
      </c>
      <c r="C77" t="str">
        <f t="shared" si="5"/>
        <v>CentreNoyerAutres</v>
      </c>
      <c r="E77" s="234" t="s">
        <v>16</v>
      </c>
      <c r="F77" s="137" t="s">
        <v>157</v>
      </c>
      <c r="G77" s="137" t="s">
        <v>173</v>
      </c>
      <c r="H77" s="224">
        <v>0.01</v>
      </c>
      <c r="I77" s="224">
        <v>0.33</v>
      </c>
      <c r="J77" s="224">
        <v>5.14</v>
      </c>
      <c r="K77" s="227">
        <v>9.34</v>
      </c>
      <c r="L77" s="198"/>
      <c r="M77" s="293" t="str">
        <f t="shared" si="6"/>
        <v>CentreNoyer</v>
      </c>
      <c r="N77" s="293" t="str">
        <f t="shared" si="7"/>
        <v>CentreNoyerAutres</v>
      </c>
      <c r="P77" s="244" t="s">
        <v>16</v>
      </c>
      <c r="Q77" s="245" t="s">
        <v>157</v>
      </c>
      <c r="R77" s="245" t="s">
        <v>173</v>
      </c>
      <c r="S77" s="224"/>
      <c r="T77" s="224"/>
      <c r="U77" s="224"/>
      <c r="V77" s="227"/>
    </row>
    <row r="78" spans="2:22" x14ac:dyDescent="0.25">
      <c r="B78" t="str">
        <f t="shared" si="4"/>
        <v>CentrePêcher</v>
      </c>
      <c r="C78" t="str">
        <f t="shared" si="5"/>
        <v>CentrePêcherNectarinier-Pêcher</v>
      </c>
      <c r="E78" s="234" t="s">
        <v>16</v>
      </c>
      <c r="F78" s="137" t="s">
        <v>161</v>
      </c>
      <c r="G78" s="137" t="s">
        <v>640</v>
      </c>
      <c r="H78" s="224">
        <v>0.03</v>
      </c>
      <c r="I78" s="224">
        <v>0.84</v>
      </c>
      <c r="J78" s="224">
        <v>9.25</v>
      </c>
      <c r="K78" s="227">
        <v>19.38</v>
      </c>
      <c r="L78" s="198"/>
      <c r="M78" s="293" t="str">
        <f t="shared" si="6"/>
        <v>CentrePêcher</v>
      </c>
      <c r="N78" s="293" t="str">
        <f t="shared" si="7"/>
        <v>CentrePêcherNectarinier-Pêcher</v>
      </c>
      <c r="P78" s="244" t="s">
        <v>16</v>
      </c>
      <c r="Q78" s="245" t="s">
        <v>161</v>
      </c>
      <c r="R78" s="245" t="s">
        <v>640</v>
      </c>
      <c r="S78" s="224"/>
      <c r="T78" s="224"/>
      <c r="U78" s="224"/>
      <c r="V78" s="227"/>
    </row>
    <row r="79" spans="2:22" x14ac:dyDescent="0.25">
      <c r="B79" t="str">
        <f t="shared" si="4"/>
        <v>CentrePoirier</v>
      </c>
      <c r="C79" t="str">
        <f t="shared" si="5"/>
        <v>CentrePoirierAutres</v>
      </c>
      <c r="E79" s="234" t="s">
        <v>16</v>
      </c>
      <c r="F79" s="137" t="s">
        <v>162</v>
      </c>
      <c r="G79" s="137" t="s">
        <v>173</v>
      </c>
      <c r="H79" s="224">
        <v>0.01</v>
      </c>
      <c r="I79" s="224">
        <v>0.33</v>
      </c>
      <c r="J79" s="224">
        <v>5.14</v>
      </c>
      <c r="K79" s="227">
        <v>9.34</v>
      </c>
      <c r="L79" s="198"/>
      <c r="M79" s="293" t="str">
        <f t="shared" si="6"/>
        <v>CentrePoirier</v>
      </c>
      <c r="N79" s="293" t="str">
        <f t="shared" si="7"/>
        <v>CentrePoirierAutres</v>
      </c>
      <c r="P79" s="244" t="s">
        <v>16</v>
      </c>
      <c r="Q79" s="245" t="s">
        <v>162</v>
      </c>
      <c r="R79" s="245" t="s">
        <v>173</v>
      </c>
      <c r="S79" s="224"/>
      <c r="T79" s="224"/>
      <c r="U79" s="224"/>
      <c r="V79" s="227"/>
    </row>
    <row r="80" spans="2:22" x14ac:dyDescent="0.25">
      <c r="B80" t="str">
        <f t="shared" si="4"/>
        <v>CentrePommier</v>
      </c>
      <c r="C80" t="str">
        <f t="shared" si="5"/>
        <v>CentrePommierPommier</v>
      </c>
      <c r="E80" s="234" t="s">
        <v>16</v>
      </c>
      <c r="F80" s="137" t="s">
        <v>164</v>
      </c>
      <c r="G80" s="137" t="s">
        <v>164</v>
      </c>
      <c r="H80" s="224">
        <v>0.08</v>
      </c>
      <c r="I80" s="224">
        <v>0.47</v>
      </c>
      <c r="J80" s="224">
        <v>22.68</v>
      </c>
      <c r="K80" s="227">
        <v>35.54</v>
      </c>
      <c r="L80" s="198"/>
      <c r="M80" s="293" t="str">
        <f t="shared" si="6"/>
        <v>CentrePommier</v>
      </c>
      <c r="N80" s="293" t="str">
        <f t="shared" si="7"/>
        <v>CentrePommierPommier</v>
      </c>
      <c r="P80" s="244" t="s">
        <v>16</v>
      </c>
      <c r="Q80" s="245" t="s">
        <v>164</v>
      </c>
      <c r="R80" s="245" t="s">
        <v>164</v>
      </c>
      <c r="S80" s="224"/>
      <c r="T80" s="224"/>
      <c r="U80" s="224"/>
      <c r="V80" s="227"/>
    </row>
    <row r="81" spans="2:22" ht="15.75" thickBot="1" x14ac:dyDescent="0.3">
      <c r="B81" t="str">
        <f t="shared" si="4"/>
        <v>CentrePrunier</v>
      </c>
      <c r="C81" t="str">
        <f t="shared" si="5"/>
        <v>CentrePrunierAutres</v>
      </c>
      <c r="E81" s="235" t="s">
        <v>16</v>
      </c>
      <c r="F81" s="236" t="s">
        <v>165</v>
      </c>
      <c r="G81" s="236" t="s">
        <v>173</v>
      </c>
      <c r="H81" s="226">
        <v>0.01</v>
      </c>
      <c r="I81" s="226">
        <v>0.33</v>
      </c>
      <c r="J81" s="226">
        <v>5.14</v>
      </c>
      <c r="K81" s="228">
        <v>9.34</v>
      </c>
      <c r="L81" s="198"/>
      <c r="M81" s="293" t="str">
        <f t="shared" si="6"/>
        <v>CentrePrunier</v>
      </c>
      <c r="N81" s="293" t="str">
        <f t="shared" si="7"/>
        <v>CentrePrunierAutres</v>
      </c>
      <c r="P81" s="246" t="s">
        <v>16</v>
      </c>
      <c r="Q81" s="247" t="s">
        <v>165</v>
      </c>
      <c r="R81" s="247" t="s">
        <v>173</v>
      </c>
      <c r="S81" s="226"/>
      <c r="T81" s="226"/>
      <c r="U81" s="226"/>
      <c r="V81" s="228"/>
    </row>
    <row r="82" spans="2:22" ht="15.75" thickTop="1" x14ac:dyDescent="0.25">
      <c r="B82" t="str">
        <f t="shared" si="4"/>
        <v>Champagne-ArdenneAbricotier</v>
      </c>
      <c r="C82" t="str">
        <f t="shared" si="5"/>
        <v>Champagne-ArdenneAbricotierAbricotier</v>
      </c>
      <c r="E82" s="234" t="s">
        <v>17</v>
      </c>
      <c r="F82" s="137" t="s">
        <v>130</v>
      </c>
      <c r="G82" s="137" t="s">
        <v>130</v>
      </c>
      <c r="H82" s="224">
        <v>0.01</v>
      </c>
      <c r="I82" s="224">
        <v>0.62</v>
      </c>
      <c r="J82" s="224">
        <v>5.1100000000000003</v>
      </c>
      <c r="K82" s="227">
        <v>10.66</v>
      </c>
      <c r="L82" s="198"/>
      <c r="M82" s="293" t="str">
        <f t="shared" si="6"/>
        <v>Champagne-ArdenneAbricotier</v>
      </c>
      <c r="N82" s="293" t="str">
        <f t="shared" si="7"/>
        <v>Champagne-ArdenneAbricotierAbricotier</v>
      </c>
      <c r="P82" s="244" t="s">
        <v>17</v>
      </c>
      <c r="Q82" s="245" t="s">
        <v>130</v>
      </c>
      <c r="R82" s="245" t="s">
        <v>130</v>
      </c>
      <c r="S82" s="224"/>
      <c r="T82" s="224"/>
      <c r="U82" s="224"/>
      <c r="V82" s="227"/>
    </row>
    <row r="83" spans="2:22" x14ac:dyDescent="0.25">
      <c r="B83" t="str">
        <f t="shared" si="4"/>
        <v>Champagne-ArdenneAgrumes</v>
      </c>
      <c r="C83" t="str">
        <f t="shared" si="5"/>
        <v>Champagne-ArdenneAgrumesClémentinier</v>
      </c>
      <c r="E83" s="234" t="s">
        <v>17</v>
      </c>
      <c r="F83" s="137" t="s">
        <v>639</v>
      </c>
      <c r="G83" s="137" t="s">
        <v>138</v>
      </c>
      <c r="H83" s="224">
        <v>0</v>
      </c>
      <c r="I83" s="224">
        <v>0.3</v>
      </c>
      <c r="J83" s="224">
        <v>2</v>
      </c>
      <c r="K83" s="227">
        <v>5</v>
      </c>
      <c r="L83" s="198"/>
      <c r="M83" s="293" t="str">
        <f t="shared" si="6"/>
        <v>Champagne-ArdenneAgrumes</v>
      </c>
      <c r="N83" s="293" t="str">
        <f t="shared" si="7"/>
        <v>Champagne-ArdenneAgrumesClémentinier</v>
      </c>
      <c r="P83" s="244" t="s">
        <v>17</v>
      </c>
      <c r="Q83" s="245" t="s">
        <v>639</v>
      </c>
      <c r="R83" s="245" t="s">
        <v>138</v>
      </c>
      <c r="S83" s="224"/>
      <c r="T83" s="224"/>
      <c r="U83" s="224"/>
      <c r="V83" s="227"/>
    </row>
    <row r="84" spans="2:22" x14ac:dyDescent="0.25">
      <c r="B84" t="str">
        <f t="shared" si="4"/>
        <v>Champagne-ArdenneAutres</v>
      </c>
      <c r="C84" t="str">
        <f t="shared" si="5"/>
        <v>Champagne-ArdenneAutresPrunier</v>
      </c>
      <c r="E84" s="234" t="s">
        <v>17</v>
      </c>
      <c r="F84" s="137" t="s">
        <v>173</v>
      </c>
      <c r="G84" s="137" t="s">
        <v>165</v>
      </c>
      <c r="H84" s="224">
        <v>0.01</v>
      </c>
      <c r="I84" s="224">
        <v>0.33</v>
      </c>
      <c r="J84" s="224">
        <v>5.14</v>
      </c>
      <c r="K84" s="227">
        <v>9.34</v>
      </c>
      <c r="L84" s="198"/>
      <c r="M84" s="293" t="str">
        <f t="shared" si="6"/>
        <v>Champagne-ArdenneAutres</v>
      </c>
      <c r="N84" s="293" t="str">
        <f t="shared" si="7"/>
        <v>Champagne-ArdenneAutresPrunier</v>
      </c>
      <c r="P84" s="244" t="s">
        <v>17</v>
      </c>
      <c r="Q84" s="245" t="s">
        <v>173</v>
      </c>
      <c r="R84" s="245" t="s">
        <v>165</v>
      </c>
      <c r="S84" s="224"/>
      <c r="T84" s="224"/>
      <c r="U84" s="224"/>
      <c r="V84" s="227"/>
    </row>
    <row r="85" spans="2:22" x14ac:dyDescent="0.25">
      <c r="B85" t="str">
        <f t="shared" si="4"/>
        <v>Champagne-ArdenneCerisier</v>
      </c>
      <c r="C85" t="str">
        <f t="shared" si="5"/>
        <v>Champagne-ArdenneCerisierCerisier</v>
      </c>
      <c r="E85" s="234" t="s">
        <v>17</v>
      </c>
      <c r="F85" s="137" t="s">
        <v>135</v>
      </c>
      <c r="G85" s="137" t="s">
        <v>135</v>
      </c>
      <c r="H85" s="224">
        <v>0</v>
      </c>
      <c r="I85" s="224">
        <v>0.36</v>
      </c>
      <c r="J85" s="224">
        <v>4.0599999999999996</v>
      </c>
      <c r="K85" s="227">
        <v>8.0299999999999994</v>
      </c>
      <c r="L85" s="198"/>
      <c r="M85" s="293" t="str">
        <f t="shared" si="6"/>
        <v>Champagne-ArdenneCerisier</v>
      </c>
      <c r="N85" s="293" t="str">
        <f t="shared" si="7"/>
        <v>Champagne-ArdenneCerisierCerisier</v>
      </c>
      <c r="P85" s="244" t="s">
        <v>17</v>
      </c>
      <c r="Q85" s="245" t="s">
        <v>135</v>
      </c>
      <c r="R85" s="245" t="s">
        <v>135</v>
      </c>
      <c r="S85" s="224"/>
      <c r="T85" s="224"/>
      <c r="U85" s="224"/>
      <c r="V85" s="227"/>
    </row>
    <row r="86" spans="2:22" x14ac:dyDescent="0.25">
      <c r="B86" t="str">
        <f t="shared" si="4"/>
        <v>Champagne-ArdenneMirabellier</v>
      </c>
      <c r="C86" t="str">
        <f t="shared" si="5"/>
        <v>Champagne-ArdenneMirabellierAutres</v>
      </c>
      <c r="E86" s="234" t="s">
        <v>17</v>
      </c>
      <c r="F86" s="137" t="s">
        <v>148</v>
      </c>
      <c r="G86" s="137" t="s">
        <v>173</v>
      </c>
      <c r="H86" s="224">
        <v>0.01</v>
      </c>
      <c r="I86" s="224">
        <v>0.33</v>
      </c>
      <c r="J86" s="224">
        <v>5.14</v>
      </c>
      <c r="K86" s="227">
        <v>9.34</v>
      </c>
      <c r="L86" s="198"/>
      <c r="M86" s="293" t="str">
        <f t="shared" si="6"/>
        <v>Champagne-ArdenneMirabellier</v>
      </c>
      <c r="N86" s="293" t="str">
        <f t="shared" si="7"/>
        <v>Champagne-ArdenneMirabellierAutres</v>
      </c>
      <c r="P86" s="244" t="s">
        <v>17</v>
      </c>
      <c r="Q86" s="245" t="s">
        <v>148</v>
      </c>
      <c r="R86" s="245" t="s">
        <v>173</v>
      </c>
      <c r="S86" s="224"/>
      <c r="T86" s="224"/>
      <c r="U86" s="224"/>
      <c r="V86" s="227"/>
    </row>
    <row r="87" spans="2:22" x14ac:dyDescent="0.25">
      <c r="B87" t="str">
        <f t="shared" si="4"/>
        <v>Champagne-ArdenneNectarinier</v>
      </c>
      <c r="C87" t="str">
        <f t="shared" si="5"/>
        <v>Champagne-ArdenneNectarinierNectarinier-Pêcher</v>
      </c>
      <c r="E87" s="234" t="s">
        <v>17</v>
      </c>
      <c r="F87" s="137" t="s">
        <v>154</v>
      </c>
      <c r="G87" s="137" t="s">
        <v>640</v>
      </c>
      <c r="H87" s="224">
        <v>0.03</v>
      </c>
      <c r="I87" s="224">
        <v>0.84</v>
      </c>
      <c r="J87" s="224">
        <v>9.25</v>
      </c>
      <c r="K87" s="227">
        <v>19.38</v>
      </c>
      <c r="L87" s="198"/>
      <c r="M87" s="293" t="str">
        <f t="shared" si="6"/>
        <v>Champagne-ArdenneNectarinier</v>
      </c>
      <c r="N87" s="293" t="str">
        <f t="shared" si="7"/>
        <v>Champagne-ArdenneNectarinierNectarinier-Pêcher</v>
      </c>
      <c r="P87" s="244" t="s">
        <v>17</v>
      </c>
      <c r="Q87" s="245" t="s">
        <v>154</v>
      </c>
      <c r="R87" s="245" t="s">
        <v>640</v>
      </c>
      <c r="S87" s="224"/>
      <c r="T87" s="224"/>
      <c r="U87" s="224"/>
      <c r="V87" s="227"/>
    </row>
    <row r="88" spans="2:22" x14ac:dyDescent="0.25">
      <c r="B88" t="str">
        <f t="shared" si="4"/>
        <v>Champagne-ArdenneNoyer</v>
      </c>
      <c r="C88" t="str">
        <f t="shared" si="5"/>
        <v>Champagne-ArdenneNoyerAutres</v>
      </c>
      <c r="E88" s="234" t="s">
        <v>17</v>
      </c>
      <c r="F88" s="137" t="s">
        <v>157</v>
      </c>
      <c r="G88" s="137" t="s">
        <v>173</v>
      </c>
      <c r="H88" s="224">
        <v>0.01</v>
      </c>
      <c r="I88" s="224">
        <v>0.33</v>
      </c>
      <c r="J88" s="224">
        <v>5.14</v>
      </c>
      <c r="K88" s="227">
        <v>9.34</v>
      </c>
      <c r="L88" s="198"/>
      <c r="M88" s="293" t="str">
        <f t="shared" si="6"/>
        <v>Champagne-ArdenneNoyer</v>
      </c>
      <c r="N88" s="293" t="str">
        <f t="shared" si="7"/>
        <v>Champagne-ArdenneNoyerAutres</v>
      </c>
      <c r="P88" s="244" t="s">
        <v>17</v>
      </c>
      <c r="Q88" s="245" t="s">
        <v>157</v>
      </c>
      <c r="R88" s="245" t="s">
        <v>173</v>
      </c>
      <c r="S88" s="224"/>
      <c r="T88" s="224"/>
      <c r="U88" s="224"/>
      <c r="V88" s="227"/>
    </row>
    <row r="89" spans="2:22" x14ac:dyDescent="0.25">
      <c r="B89" t="str">
        <f t="shared" si="4"/>
        <v>Champagne-ArdennePêcher</v>
      </c>
      <c r="C89" t="str">
        <f t="shared" si="5"/>
        <v>Champagne-ArdennePêcherNectarinier-Pêcher</v>
      </c>
      <c r="E89" s="234" t="s">
        <v>17</v>
      </c>
      <c r="F89" s="137" t="s">
        <v>161</v>
      </c>
      <c r="G89" s="137" t="s">
        <v>640</v>
      </c>
      <c r="H89" s="224">
        <v>0.03</v>
      </c>
      <c r="I89" s="224">
        <v>0.84</v>
      </c>
      <c r="J89" s="224">
        <v>9.25</v>
      </c>
      <c r="K89" s="227">
        <v>19.38</v>
      </c>
      <c r="L89" s="198"/>
      <c r="M89" s="293" t="str">
        <f t="shared" si="6"/>
        <v>Champagne-ArdennePêcher</v>
      </c>
      <c r="N89" s="293" t="str">
        <f t="shared" si="7"/>
        <v>Champagne-ArdennePêcherNectarinier-Pêcher</v>
      </c>
      <c r="P89" s="244" t="s">
        <v>17</v>
      </c>
      <c r="Q89" s="245" t="s">
        <v>161</v>
      </c>
      <c r="R89" s="245" t="s">
        <v>640</v>
      </c>
      <c r="S89" s="224"/>
      <c r="T89" s="224"/>
      <c r="U89" s="224"/>
      <c r="V89" s="227"/>
    </row>
    <row r="90" spans="2:22" x14ac:dyDescent="0.25">
      <c r="B90" t="str">
        <f t="shared" si="4"/>
        <v>Champagne-ArdennePoirier</v>
      </c>
      <c r="C90" t="str">
        <f t="shared" si="5"/>
        <v>Champagne-ArdennePoirierAutres</v>
      </c>
      <c r="E90" s="234" t="s">
        <v>17</v>
      </c>
      <c r="F90" s="137" t="s">
        <v>162</v>
      </c>
      <c r="G90" s="137" t="s">
        <v>173</v>
      </c>
      <c r="H90" s="224">
        <v>0.01</v>
      </c>
      <c r="I90" s="224">
        <v>0.33</v>
      </c>
      <c r="J90" s="224">
        <v>5.14</v>
      </c>
      <c r="K90" s="227">
        <v>9.34</v>
      </c>
      <c r="L90" s="198"/>
      <c r="M90" s="293" t="str">
        <f t="shared" si="6"/>
        <v>Champagne-ArdennePoirier</v>
      </c>
      <c r="N90" s="293" t="str">
        <f t="shared" si="7"/>
        <v>Champagne-ArdennePoirierAutres</v>
      </c>
      <c r="P90" s="244" t="s">
        <v>17</v>
      </c>
      <c r="Q90" s="245" t="s">
        <v>162</v>
      </c>
      <c r="R90" s="245" t="s">
        <v>173</v>
      </c>
      <c r="S90" s="224"/>
      <c r="T90" s="224"/>
      <c r="U90" s="224"/>
      <c r="V90" s="227"/>
    </row>
    <row r="91" spans="2:22" x14ac:dyDescent="0.25">
      <c r="B91" t="str">
        <f t="shared" si="4"/>
        <v>Champagne-ArdennePommier</v>
      </c>
      <c r="C91" t="str">
        <f t="shared" si="5"/>
        <v>Champagne-ArdennePommierPommier</v>
      </c>
      <c r="E91" s="234" t="s">
        <v>17</v>
      </c>
      <c r="F91" s="137" t="s">
        <v>164</v>
      </c>
      <c r="G91" s="137" t="s">
        <v>164</v>
      </c>
      <c r="H91" s="224">
        <v>0.03</v>
      </c>
      <c r="I91" s="224">
        <v>0.84</v>
      </c>
      <c r="J91" s="224">
        <v>9.25</v>
      </c>
      <c r="K91" s="227">
        <v>19.38</v>
      </c>
      <c r="L91" s="198"/>
      <c r="M91" s="293" t="str">
        <f t="shared" si="6"/>
        <v>Champagne-ArdennePommier</v>
      </c>
      <c r="N91" s="293" t="str">
        <f t="shared" si="7"/>
        <v>Champagne-ArdennePommierPommier</v>
      </c>
      <c r="P91" s="244" t="s">
        <v>17</v>
      </c>
      <c r="Q91" s="245" t="s">
        <v>164</v>
      </c>
      <c r="R91" s="245" t="s">
        <v>164</v>
      </c>
      <c r="S91" s="224"/>
      <c r="T91" s="224"/>
      <c r="U91" s="224"/>
      <c r="V91" s="227"/>
    </row>
    <row r="92" spans="2:22" ht="15.75" thickBot="1" x14ac:dyDescent="0.3">
      <c r="B92" t="str">
        <f t="shared" si="4"/>
        <v>Champagne-ArdennePrunier</v>
      </c>
      <c r="C92" t="str">
        <f t="shared" si="5"/>
        <v>Champagne-ArdennePrunierAutres</v>
      </c>
      <c r="E92" s="235" t="s">
        <v>17</v>
      </c>
      <c r="F92" s="236" t="s">
        <v>165</v>
      </c>
      <c r="G92" s="236" t="s">
        <v>173</v>
      </c>
      <c r="H92" s="226">
        <v>0.01</v>
      </c>
      <c r="I92" s="226">
        <v>0.33</v>
      </c>
      <c r="J92" s="226">
        <v>5.14</v>
      </c>
      <c r="K92" s="228">
        <v>9.34</v>
      </c>
      <c r="L92" s="198"/>
      <c r="M92" s="293" t="str">
        <f t="shared" si="6"/>
        <v>Champagne-ArdennePrunier</v>
      </c>
      <c r="N92" s="293" t="str">
        <f t="shared" si="7"/>
        <v>Champagne-ArdennePrunierAutres</v>
      </c>
      <c r="P92" s="246" t="s">
        <v>17</v>
      </c>
      <c r="Q92" s="247" t="s">
        <v>165</v>
      </c>
      <c r="R92" s="247" t="s">
        <v>173</v>
      </c>
      <c r="S92" s="226"/>
      <c r="T92" s="226"/>
      <c r="U92" s="226"/>
      <c r="V92" s="228"/>
    </row>
    <row r="93" spans="2:22" ht="15.75" thickTop="1" x14ac:dyDescent="0.25">
      <c r="B93" t="str">
        <f t="shared" si="4"/>
        <v>CorseAbricotier</v>
      </c>
      <c r="C93" t="str">
        <f t="shared" si="5"/>
        <v>CorseAbricotierAbricotier</v>
      </c>
      <c r="E93" s="234" t="s">
        <v>18</v>
      </c>
      <c r="F93" s="137" t="s">
        <v>130</v>
      </c>
      <c r="G93" s="137" t="s">
        <v>130</v>
      </c>
      <c r="H93" s="224">
        <v>0.01</v>
      </c>
      <c r="I93" s="224">
        <v>0.62</v>
      </c>
      <c r="J93" s="224">
        <v>5.1100000000000003</v>
      </c>
      <c r="K93" s="227">
        <v>10.66</v>
      </c>
      <c r="L93" s="198"/>
      <c r="M93" s="293" t="str">
        <f t="shared" si="6"/>
        <v>CorseAbricotier</v>
      </c>
      <c r="N93" s="293" t="str">
        <f t="shared" si="7"/>
        <v>CorseAbricotierAbricotier</v>
      </c>
      <c r="P93" s="244" t="s">
        <v>18</v>
      </c>
      <c r="Q93" s="245" t="s">
        <v>130</v>
      </c>
      <c r="R93" s="245" t="s">
        <v>130</v>
      </c>
      <c r="S93" s="224"/>
      <c r="T93" s="224"/>
      <c r="U93" s="224"/>
      <c r="V93" s="227"/>
    </row>
    <row r="94" spans="2:22" x14ac:dyDescent="0.25">
      <c r="B94" t="str">
        <f t="shared" si="4"/>
        <v>CorseAgrumes</v>
      </c>
      <c r="C94" t="str">
        <f t="shared" si="5"/>
        <v>CorseAgrumesClémentinier</v>
      </c>
      <c r="E94" s="234" t="s">
        <v>18</v>
      </c>
      <c r="F94" s="137" t="s">
        <v>639</v>
      </c>
      <c r="G94" s="137" t="s">
        <v>138</v>
      </c>
      <c r="H94" s="224">
        <v>0</v>
      </c>
      <c r="I94" s="224">
        <v>0.3</v>
      </c>
      <c r="J94" s="224">
        <v>2</v>
      </c>
      <c r="K94" s="227">
        <v>5</v>
      </c>
      <c r="L94" s="198"/>
      <c r="M94" s="293" t="str">
        <f t="shared" si="6"/>
        <v>CorseAgrumes</v>
      </c>
      <c r="N94" s="293" t="str">
        <f t="shared" si="7"/>
        <v>CorseAgrumesClémentinier</v>
      </c>
      <c r="P94" s="244" t="s">
        <v>18</v>
      </c>
      <c r="Q94" s="245" t="s">
        <v>639</v>
      </c>
      <c r="R94" s="245" t="s">
        <v>138</v>
      </c>
      <c r="S94" s="224"/>
      <c r="T94" s="224"/>
      <c r="U94" s="224"/>
      <c r="V94" s="227"/>
    </row>
    <row r="95" spans="2:22" x14ac:dyDescent="0.25">
      <c r="B95" t="str">
        <f t="shared" si="4"/>
        <v>CorseAutres</v>
      </c>
      <c r="C95" t="str">
        <f t="shared" si="5"/>
        <v>CorseAutresPrunier</v>
      </c>
      <c r="E95" s="234" t="s">
        <v>18</v>
      </c>
      <c r="F95" s="137" t="s">
        <v>173</v>
      </c>
      <c r="G95" s="137" t="s">
        <v>165</v>
      </c>
      <c r="H95" s="224">
        <v>0.01</v>
      </c>
      <c r="I95" s="224">
        <v>0.33</v>
      </c>
      <c r="J95" s="224">
        <v>5.14</v>
      </c>
      <c r="K95" s="227">
        <v>9.34</v>
      </c>
      <c r="L95" s="198"/>
      <c r="M95" s="293" t="str">
        <f t="shared" si="6"/>
        <v>CorseAutres</v>
      </c>
      <c r="N95" s="293" t="str">
        <f t="shared" si="7"/>
        <v>CorseAutresPrunier</v>
      </c>
      <c r="P95" s="244" t="s">
        <v>18</v>
      </c>
      <c r="Q95" s="245" t="s">
        <v>173</v>
      </c>
      <c r="R95" s="245" t="s">
        <v>165</v>
      </c>
      <c r="S95" s="224"/>
      <c r="T95" s="224"/>
      <c r="U95" s="224"/>
      <c r="V95" s="227"/>
    </row>
    <row r="96" spans="2:22" x14ac:dyDescent="0.25">
      <c r="B96" t="str">
        <f t="shared" si="4"/>
        <v>CorseCerisier</v>
      </c>
      <c r="C96" t="str">
        <f t="shared" si="5"/>
        <v>CorseCerisierCerisier</v>
      </c>
      <c r="E96" s="234" t="s">
        <v>18</v>
      </c>
      <c r="F96" s="137" t="s">
        <v>135</v>
      </c>
      <c r="G96" s="137" t="s">
        <v>135</v>
      </c>
      <c r="H96" s="224">
        <v>0</v>
      </c>
      <c r="I96" s="224">
        <v>0.36</v>
      </c>
      <c r="J96" s="224">
        <v>4.0599999999999996</v>
      </c>
      <c r="K96" s="227">
        <v>8.0299999999999994</v>
      </c>
      <c r="L96" s="198"/>
      <c r="M96" s="293" t="str">
        <f t="shared" si="6"/>
        <v>CorseCerisier</v>
      </c>
      <c r="N96" s="293" t="str">
        <f t="shared" si="7"/>
        <v>CorseCerisierCerisier</v>
      </c>
      <c r="P96" s="244" t="s">
        <v>18</v>
      </c>
      <c r="Q96" s="245" t="s">
        <v>135</v>
      </c>
      <c r="R96" s="245" t="s">
        <v>135</v>
      </c>
      <c r="S96" s="224"/>
      <c r="T96" s="224"/>
      <c r="U96" s="224"/>
      <c r="V96" s="227"/>
    </row>
    <row r="97" spans="2:22" x14ac:dyDescent="0.25">
      <c r="B97" t="str">
        <f t="shared" si="4"/>
        <v>CorseMirabellier</v>
      </c>
      <c r="C97" t="str">
        <f t="shared" si="5"/>
        <v>CorseMirabellierAutres</v>
      </c>
      <c r="E97" s="234" t="s">
        <v>18</v>
      </c>
      <c r="F97" s="137" t="s">
        <v>148</v>
      </c>
      <c r="G97" s="137" t="s">
        <v>173</v>
      </c>
      <c r="H97" s="224">
        <v>0.01</v>
      </c>
      <c r="I97" s="224">
        <v>0.33</v>
      </c>
      <c r="J97" s="224">
        <v>5.14</v>
      </c>
      <c r="K97" s="227">
        <v>9.34</v>
      </c>
      <c r="L97" s="198"/>
      <c r="M97" s="293" t="str">
        <f t="shared" si="6"/>
        <v>CorseMirabellier</v>
      </c>
      <c r="N97" s="293" t="str">
        <f t="shared" si="7"/>
        <v>CorseMirabellierAutres</v>
      </c>
      <c r="P97" s="244" t="s">
        <v>18</v>
      </c>
      <c r="Q97" s="245" t="s">
        <v>148</v>
      </c>
      <c r="R97" s="245" t="s">
        <v>173</v>
      </c>
      <c r="S97" s="224"/>
      <c r="T97" s="224"/>
      <c r="U97" s="224"/>
      <c r="V97" s="227"/>
    </row>
    <row r="98" spans="2:22" x14ac:dyDescent="0.25">
      <c r="B98" t="str">
        <f t="shared" si="4"/>
        <v>CorseNectarinier</v>
      </c>
      <c r="C98" t="str">
        <f t="shared" si="5"/>
        <v>CorseNectarinierNectarinier-Pêcher</v>
      </c>
      <c r="E98" s="234" t="s">
        <v>18</v>
      </c>
      <c r="F98" s="137" t="s">
        <v>154</v>
      </c>
      <c r="G98" s="137" t="s">
        <v>640</v>
      </c>
      <c r="H98" s="224">
        <v>0.03</v>
      </c>
      <c r="I98" s="224">
        <v>0.84</v>
      </c>
      <c r="J98" s="224">
        <v>9.25</v>
      </c>
      <c r="K98" s="227">
        <v>19.38</v>
      </c>
      <c r="L98" s="198"/>
      <c r="M98" s="293" t="str">
        <f t="shared" si="6"/>
        <v>CorseNectarinier</v>
      </c>
      <c r="N98" s="293" t="str">
        <f t="shared" si="7"/>
        <v>CorseNectarinierNectarinier-Pêcher</v>
      </c>
      <c r="P98" s="244" t="s">
        <v>18</v>
      </c>
      <c r="Q98" s="245" t="s">
        <v>154</v>
      </c>
      <c r="R98" s="245" t="s">
        <v>640</v>
      </c>
      <c r="S98" s="224"/>
      <c r="T98" s="224"/>
      <c r="U98" s="224"/>
      <c r="V98" s="227"/>
    </row>
    <row r="99" spans="2:22" x14ac:dyDescent="0.25">
      <c r="B99" t="str">
        <f t="shared" si="4"/>
        <v>CorseNoyer</v>
      </c>
      <c r="C99" t="str">
        <f t="shared" si="5"/>
        <v>CorseNoyerAutres</v>
      </c>
      <c r="E99" s="234" t="s">
        <v>18</v>
      </c>
      <c r="F99" s="137" t="s">
        <v>157</v>
      </c>
      <c r="G99" s="137" t="s">
        <v>173</v>
      </c>
      <c r="H99" s="224">
        <v>0.01</v>
      </c>
      <c r="I99" s="224">
        <v>0.33</v>
      </c>
      <c r="J99" s="224">
        <v>5.14</v>
      </c>
      <c r="K99" s="227">
        <v>9.34</v>
      </c>
      <c r="L99" s="198"/>
      <c r="M99" s="293" t="str">
        <f t="shared" si="6"/>
        <v>CorseNoyer</v>
      </c>
      <c r="N99" s="293" t="str">
        <f t="shared" si="7"/>
        <v>CorseNoyerAutres</v>
      </c>
      <c r="P99" s="244" t="s">
        <v>18</v>
      </c>
      <c r="Q99" s="245" t="s">
        <v>157</v>
      </c>
      <c r="R99" s="245" t="s">
        <v>173</v>
      </c>
      <c r="S99" s="224"/>
      <c r="T99" s="224"/>
      <c r="U99" s="224"/>
      <c r="V99" s="227"/>
    </row>
    <row r="100" spans="2:22" x14ac:dyDescent="0.25">
      <c r="B100" t="str">
        <f t="shared" si="4"/>
        <v>CorsePêcher</v>
      </c>
      <c r="C100" t="str">
        <f t="shared" si="5"/>
        <v>CorsePêcherNectarinier-Pêcher</v>
      </c>
      <c r="E100" s="234" t="s">
        <v>18</v>
      </c>
      <c r="F100" s="137" t="s">
        <v>161</v>
      </c>
      <c r="G100" s="137" t="s">
        <v>640</v>
      </c>
      <c r="H100" s="224">
        <v>0.03</v>
      </c>
      <c r="I100" s="224">
        <v>0.84</v>
      </c>
      <c r="J100" s="224">
        <v>9.25</v>
      </c>
      <c r="K100" s="227">
        <v>19.38</v>
      </c>
      <c r="L100" s="198"/>
      <c r="M100" s="293" t="str">
        <f t="shared" si="6"/>
        <v>CorsePêcher</v>
      </c>
      <c r="N100" s="293" t="str">
        <f t="shared" si="7"/>
        <v>CorsePêcherNectarinier-Pêcher</v>
      </c>
      <c r="P100" s="244" t="s">
        <v>18</v>
      </c>
      <c r="Q100" s="245" t="s">
        <v>161</v>
      </c>
      <c r="R100" s="245" t="s">
        <v>640</v>
      </c>
      <c r="S100" s="224"/>
      <c r="T100" s="224"/>
      <c r="U100" s="224"/>
      <c r="V100" s="227"/>
    </row>
    <row r="101" spans="2:22" x14ac:dyDescent="0.25">
      <c r="B101" t="str">
        <f t="shared" si="4"/>
        <v>CorsePoirier</v>
      </c>
      <c r="C101" t="str">
        <f t="shared" si="5"/>
        <v>CorsePoirierAutres</v>
      </c>
      <c r="E101" s="234" t="s">
        <v>18</v>
      </c>
      <c r="F101" s="137" t="s">
        <v>162</v>
      </c>
      <c r="G101" s="137" t="s">
        <v>173</v>
      </c>
      <c r="H101" s="224">
        <v>0.01</v>
      </c>
      <c r="I101" s="224">
        <v>0.33</v>
      </c>
      <c r="J101" s="224">
        <v>5.14</v>
      </c>
      <c r="K101" s="227">
        <v>9.34</v>
      </c>
      <c r="L101" s="198"/>
      <c r="M101" s="293" t="str">
        <f t="shared" si="6"/>
        <v>CorsePoirier</v>
      </c>
      <c r="N101" s="293" t="str">
        <f t="shared" si="7"/>
        <v>CorsePoirierAutres</v>
      </c>
      <c r="P101" s="244" t="s">
        <v>18</v>
      </c>
      <c r="Q101" s="245" t="s">
        <v>162</v>
      </c>
      <c r="R101" s="245" t="s">
        <v>173</v>
      </c>
      <c r="S101" s="224"/>
      <c r="T101" s="224"/>
      <c r="U101" s="224"/>
      <c r="V101" s="227"/>
    </row>
    <row r="102" spans="2:22" x14ac:dyDescent="0.25">
      <c r="B102" t="str">
        <f t="shared" si="4"/>
        <v>CorsePommier</v>
      </c>
      <c r="C102" t="str">
        <f t="shared" si="5"/>
        <v>CorsePommierPommier</v>
      </c>
      <c r="E102" s="234" t="s">
        <v>18</v>
      </c>
      <c r="F102" s="137" t="s">
        <v>164</v>
      </c>
      <c r="G102" s="137" t="s">
        <v>164</v>
      </c>
      <c r="H102" s="224">
        <v>0.03</v>
      </c>
      <c r="I102" s="224">
        <v>0.84</v>
      </c>
      <c r="J102" s="224">
        <v>9.25</v>
      </c>
      <c r="K102" s="227">
        <v>19.38</v>
      </c>
      <c r="L102" s="198"/>
      <c r="M102" s="293" t="str">
        <f t="shared" si="6"/>
        <v>CorsePommier</v>
      </c>
      <c r="N102" s="293" t="str">
        <f t="shared" si="7"/>
        <v>CorsePommierPommier</v>
      </c>
      <c r="P102" s="244" t="s">
        <v>18</v>
      </c>
      <c r="Q102" s="245" t="s">
        <v>164</v>
      </c>
      <c r="R102" s="245" t="s">
        <v>164</v>
      </c>
      <c r="S102" s="224"/>
      <c r="T102" s="224"/>
      <c r="U102" s="224"/>
      <c r="V102" s="227"/>
    </row>
    <row r="103" spans="2:22" ht="15.75" thickBot="1" x14ac:dyDescent="0.3">
      <c r="B103" t="str">
        <f t="shared" si="4"/>
        <v>CorsePrunier</v>
      </c>
      <c r="C103" t="str">
        <f t="shared" si="5"/>
        <v>CorsePrunierAutres</v>
      </c>
      <c r="E103" s="235" t="s">
        <v>18</v>
      </c>
      <c r="F103" s="236" t="s">
        <v>165</v>
      </c>
      <c r="G103" s="236" t="s">
        <v>173</v>
      </c>
      <c r="H103" s="226">
        <v>0.01</v>
      </c>
      <c r="I103" s="226">
        <v>0.33</v>
      </c>
      <c r="J103" s="226">
        <v>5.14</v>
      </c>
      <c r="K103" s="228">
        <v>9.34</v>
      </c>
      <c r="L103" s="198"/>
      <c r="M103" s="293" t="str">
        <f t="shared" si="6"/>
        <v>CorsePrunier</v>
      </c>
      <c r="N103" s="293" t="str">
        <f t="shared" si="7"/>
        <v>CorsePrunierAutres</v>
      </c>
      <c r="P103" s="246" t="s">
        <v>18</v>
      </c>
      <c r="Q103" s="247" t="s">
        <v>165</v>
      </c>
      <c r="R103" s="247" t="s">
        <v>173</v>
      </c>
      <c r="S103" s="226"/>
      <c r="T103" s="226"/>
      <c r="U103" s="226"/>
      <c r="V103" s="228"/>
    </row>
    <row r="104" spans="2:22" ht="15.75" thickTop="1" x14ac:dyDescent="0.25">
      <c r="B104" t="str">
        <f t="shared" si="4"/>
        <v>Franche-ComtéAbricotier</v>
      </c>
      <c r="C104" t="str">
        <f t="shared" si="5"/>
        <v>Franche-ComtéAbricotierAbricotier</v>
      </c>
      <c r="E104" s="234" t="s">
        <v>19</v>
      </c>
      <c r="F104" s="137" t="s">
        <v>130</v>
      </c>
      <c r="G104" s="137" t="s">
        <v>130</v>
      </c>
      <c r="H104" s="224">
        <v>0.01</v>
      </c>
      <c r="I104" s="224">
        <v>0.62</v>
      </c>
      <c r="J104" s="224">
        <v>5.1100000000000003</v>
      </c>
      <c r="K104" s="227">
        <v>10.66</v>
      </c>
      <c r="L104" s="198"/>
      <c r="M104" s="293" t="str">
        <f t="shared" si="6"/>
        <v>Franche-ComtéAbricotier</v>
      </c>
      <c r="N104" s="293" t="str">
        <f t="shared" si="7"/>
        <v>Franche-ComtéAbricotierAbricotier</v>
      </c>
      <c r="P104" s="244" t="s">
        <v>19</v>
      </c>
      <c r="Q104" s="245" t="s">
        <v>130</v>
      </c>
      <c r="R104" s="245" t="s">
        <v>130</v>
      </c>
      <c r="S104" s="224"/>
      <c r="T104" s="224"/>
      <c r="U104" s="224"/>
      <c r="V104" s="227"/>
    </row>
    <row r="105" spans="2:22" x14ac:dyDescent="0.25">
      <c r="B105" t="str">
        <f t="shared" si="4"/>
        <v>Franche-ComtéAgrumes</v>
      </c>
      <c r="C105" t="str">
        <f t="shared" si="5"/>
        <v>Franche-ComtéAgrumesClémentinier</v>
      </c>
      <c r="E105" s="234" t="s">
        <v>19</v>
      </c>
      <c r="F105" s="137" t="s">
        <v>639</v>
      </c>
      <c r="G105" s="137" t="s">
        <v>138</v>
      </c>
      <c r="H105" s="224">
        <v>0</v>
      </c>
      <c r="I105" s="224">
        <v>0.3</v>
      </c>
      <c r="J105" s="224">
        <v>2</v>
      </c>
      <c r="K105" s="227">
        <v>5</v>
      </c>
      <c r="L105" s="198"/>
      <c r="M105" s="293" t="str">
        <f t="shared" si="6"/>
        <v>Franche-ComtéAgrumes</v>
      </c>
      <c r="N105" s="293" t="str">
        <f t="shared" si="7"/>
        <v>Franche-ComtéAgrumesClémentinier</v>
      </c>
      <c r="P105" s="244" t="s">
        <v>19</v>
      </c>
      <c r="Q105" s="245" t="s">
        <v>639</v>
      </c>
      <c r="R105" s="245" t="s">
        <v>138</v>
      </c>
      <c r="S105" s="224"/>
      <c r="T105" s="224"/>
      <c r="U105" s="224"/>
      <c r="V105" s="227"/>
    </row>
    <row r="106" spans="2:22" x14ac:dyDescent="0.25">
      <c r="B106" t="str">
        <f t="shared" si="4"/>
        <v>Franche-ComtéAutres</v>
      </c>
      <c r="C106" t="str">
        <f t="shared" si="5"/>
        <v>Franche-ComtéAutresPrunier</v>
      </c>
      <c r="E106" s="234" t="s">
        <v>19</v>
      </c>
      <c r="F106" s="137" t="s">
        <v>173</v>
      </c>
      <c r="G106" s="137" t="s">
        <v>165</v>
      </c>
      <c r="H106" s="224">
        <v>0.01</v>
      </c>
      <c r="I106" s="224">
        <v>0.33</v>
      </c>
      <c r="J106" s="224">
        <v>5.14</v>
      </c>
      <c r="K106" s="227">
        <v>9.34</v>
      </c>
      <c r="L106" s="198"/>
      <c r="M106" s="293" t="str">
        <f t="shared" si="6"/>
        <v>Franche-ComtéAutres</v>
      </c>
      <c r="N106" s="293" t="str">
        <f t="shared" si="7"/>
        <v>Franche-ComtéAutresPrunier</v>
      </c>
      <c r="P106" s="244" t="s">
        <v>19</v>
      </c>
      <c r="Q106" s="245" t="s">
        <v>173</v>
      </c>
      <c r="R106" s="245" t="s">
        <v>165</v>
      </c>
      <c r="S106" s="224"/>
      <c r="T106" s="224"/>
      <c r="U106" s="224"/>
      <c r="V106" s="227"/>
    </row>
    <row r="107" spans="2:22" x14ac:dyDescent="0.25">
      <c r="B107" t="str">
        <f t="shared" si="4"/>
        <v>Franche-ComtéCerisier</v>
      </c>
      <c r="C107" t="str">
        <f t="shared" si="5"/>
        <v>Franche-ComtéCerisierCerisier</v>
      </c>
      <c r="E107" s="234" t="s">
        <v>19</v>
      </c>
      <c r="F107" s="137" t="s">
        <v>135</v>
      </c>
      <c r="G107" s="137" t="s">
        <v>135</v>
      </c>
      <c r="H107" s="224">
        <v>0</v>
      </c>
      <c r="I107" s="224">
        <v>0.36</v>
      </c>
      <c r="J107" s="224">
        <v>4.0599999999999996</v>
      </c>
      <c r="K107" s="227">
        <v>8.0299999999999994</v>
      </c>
      <c r="L107" s="198"/>
      <c r="M107" s="293" t="str">
        <f t="shared" si="6"/>
        <v>Franche-ComtéCerisier</v>
      </c>
      <c r="N107" s="293" t="str">
        <f t="shared" si="7"/>
        <v>Franche-ComtéCerisierCerisier</v>
      </c>
      <c r="P107" s="244" t="s">
        <v>19</v>
      </c>
      <c r="Q107" s="245" t="s">
        <v>135</v>
      </c>
      <c r="R107" s="245" t="s">
        <v>135</v>
      </c>
      <c r="S107" s="224"/>
      <c r="T107" s="224"/>
      <c r="U107" s="224"/>
      <c r="V107" s="227"/>
    </row>
    <row r="108" spans="2:22" x14ac:dyDescent="0.25">
      <c r="B108" t="str">
        <f t="shared" si="4"/>
        <v>Franche-ComtéMirabellier</v>
      </c>
      <c r="C108" t="str">
        <f t="shared" si="5"/>
        <v>Franche-ComtéMirabellierAutres</v>
      </c>
      <c r="E108" s="234" t="s">
        <v>19</v>
      </c>
      <c r="F108" s="137" t="s">
        <v>148</v>
      </c>
      <c r="G108" s="137" t="s">
        <v>173</v>
      </c>
      <c r="H108" s="224">
        <v>0.01</v>
      </c>
      <c r="I108" s="224">
        <v>0.33</v>
      </c>
      <c r="J108" s="224">
        <v>5.14</v>
      </c>
      <c r="K108" s="227">
        <v>9.34</v>
      </c>
      <c r="L108" s="198"/>
      <c r="M108" s="293" t="str">
        <f t="shared" si="6"/>
        <v>Franche-ComtéMirabellier</v>
      </c>
      <c r="N108" s="293" t="str">
        <f t="shared" si="7"/>
        <v>Franche-ComtéMirabellierAutres</v>
      </c>
      <c r="P108" s="244" t="s">
        <v>19</v>
      </c>
      <c r="Q108" s="245" t="s">
        <v>148</v>
      </c>
      <c r="R108" s="245" t="s">
        <v>173</v>
      </c>
      <c r="S108" s="224"/>
      <c r="T108" s="224"/>
      <c r="U108" s="224"/>
      <c r="V108" s="227"/>
    </row>
    <row r="109" spans="2:22" x14ac:dyDescent="0.25">
      <c r="B109" t="str">
        <f t="shared" si="4"/>
        <v>Franche-ComtéNectarinier</v>
      </c>
      <c r="C109" t="str">
        <f t="shared" si="5"/>
        <v>Franche-ComtéNectarinierNectarinier-Pêcher</v>
      </c>
      <c r="E109" s="234" t="s">
        <v>19</v>
      </c>
      <c r="F109" s="137" t="s">
        <v>154</v>
      </c>
      <c r="G109" s="137" t="s">
        <v>640</v>
      </c>
      <c r="H109" s="224">
        <v>0.03</v>
      </c>
      <c r="I109" s="224">
        <v>0.84</v>
      </c>
      <c r="J109" s="224">
        <v>9.25</v>
      </c>
      <c r="K109" s="227">
        <v>19.38</v>
      </c>
      <c r="L109" s="198"/>
      <c r="M109" s="293" t="str">
        <f t="shared" si="6"/>
        <v>Franche-ComtéNectarinier</v>
      </c>
      <c r="N109" s="293" t="str">
        <f t="shared" si="7"/>
        <v>Franche-ComtéNectarinierNectarinier-Pêcher</v>
      </c>
      <c r="P109" s="244" t="s">
        <v>19</v>
      </c>
      <c r="Q109" s="245" t="s">
        <v>154</v>
      </c>
      <c r="R109" s="245" t="s">
        <v>640</v>
      </c>
      <c r="S109" s="224"/>
      <c r="T109" s="224"/>
      <c r="U109" s="224"/>
      <c r="V109" s="227"/>
    </row>
    <row r="110" spans="2:22" x14ac:dyDescent="0.25">
      <c r="B110" t="str">
        <f t="shared" si="4"/>
        <v>Franche-ComtéNoyer</v>
      </c>
      <c r="C110" t="str">
        <f t="shared" si="5"/>
        <v>Franche-ComtéNoyerAutres</v>
      </c>
      <c r="E110" s="234" t="s">
        <v>19</v>
      </c>
      <c r="F110" s="137" t="s">
        <v>157</v>
      </c>
      <c r="G110" s="137" t="s">
        <v>173</v>
      </c>
      <c r="H110" s="224">
        <v>0.01</v>
      </c>
      <c r="I110" s="224">
        <v>0.33</v>
      </c>
      <c r="J110" s="224">
        <v>5.14</v>
      </c>
      <c r="K110" s="227">
        <v>9.34</v>
      </c>
      <c r="L110" s="198"/>
      <c r="M110" s="293" t="str">
        <f t="shared" si="6"/>
        <v>Franche-ComtéNoyer</v>
      </c>
      <c r="N110" s="293" t="str">
        <f t="shared" si="7"/>
        <v>Franche-ComtéNoyerAutres</v>
      </c>
      <c r="P110" s="244" t="s">
        <v>19</v>
      </c>
      <c r="Q110" s="245" t="s">
        <v>157</v>
      </c>
      <c r="R110" s="245" t="s">
        <v>173</v>
      </c>
      <c r="S110" s="224"/>
      <c r="T110" s="224"/>
      <c r="U110" s="224"/>
      <c r="V110" s="227"/>
    </row>
    <row r="111" spans="2:22" x14ac:dyDescent="0.25">
      <c r="B111" t="str">
        <f t="shared" si="4"/>
        <v>Franche-ComtéPêcher</v>
      </c>
      <c r="C111" t="str">
        <f t="shared" si="5"/>
        <v>Franche-ComtéPêcherNectarinier-Pêcher</v>
      </c>
      <c r="E111" s="234" t="s">
        <v>19</v>
      </c>
      <c r="F111" s="137" t="s">
        <v>161</v>
      </c>
      <c r="G111" s="137" t="s">
        <v>640</v>
      </c>
      <c r="H111" s="224">
        <v>0.03</v>
      </c>
      <c r="I111" s="224">
        <v>0.84</v>
      </c>
      <c r="J111" s="224">
        <v>9.25</v>
      </c>
      <c r="K111" s="227">
        <v>19.38</v>
      </c>
      <c r="L111" s="198"/>
      <c r="M111" s="293" t="str">
        <f t="shared" si="6"/>
        <v>Franche-ComtéPêcher</v>
      </c>
      <c r="N111" s="293" t="str">
        <f t="shared" si="7"/>
        <v>Franche-ComtéPêcherNectarinier-Pêcher</v>
      </c>
      <c r="P111" s="244" t="s">
        <v>19</v>
      </c>
      <c r="Q111" s="245" t="s">
        <v>161</v>
      </c>
      <c r="R111" s="245" t="s">
        <v>640</v>
      </c>
      <c r="S111" s="224"/>
      <c r="T111" s="224"/>
      <c r="U111" s="224"/>
      <c r="V111" s="227"/>
    </row>
    <row r="112" spans="2:22" x14ac:dyDescent="0.25">
      <c r="B112" t="str">
        <f t="shared" si="4"/>
        <v>Franche-ComtéPoirier</v>
      </c>
      <c r="C112" t="str">
        <f t="shared" si="5"/>
        <v>Franche-ComtéPoirierAutres</v>
      </c>
      <c r="E112" s="234" t="s">
        <v>19</v>
      </c>
      <c r="F112" s="137" t="s">
        <v>162</v>
      </c>
      <c r="G112" s="137" t="s">
        <v>173</v>
      </c>
      <c r="H112" s="224">
        <v>0.01</v>
      </c>
      <c r="I112" s="224">
        <v>0.33</v>
      </c>
      <c r="J112" s="224">
        <v>5.14</v>
      </c>
      <c r="K112" s="227">
        <v>9.34</v>
      </c>
      <c r="L112" s="198"/>
      <c r="M112" s="293" t="str">
        <f t="shared" si="6"/>
        <v>Franche-ComtéPoirier</v>
      </c>
      <c r="N112" s="293" t="str">
        <f t="shared" si="7"/>
        <v>Franche-ComtéPoirierAutres</v>
      </c>
      <c r="P112" s="244" t="s">
        <v>19</v>
      </c>
      <c r="Q112" s="245" t="s">
        <v>162</v>
      </c>
      <c r="R112" s="245" t="s">
        <v>173</v>
      </c>
      <c r="S112" s="224"/>
      <c r="T112" s="224"/>
      <c r="U112" s="224"/>
      <c r="V112" s="227"/>
    </row>
    <row r="113" spans="2:22" x14ac:dyDescent="0.25">
      <c r="B113" t="str">
        <f t="shared" si="4"/>
        <v>Franche-ComtéPommier</v>
      </c>
      <c r="C113" t="str">
        <f t="shared" si="5"/>
        <v>Franche-ComtéPommierPommier</v>
      </c>
      <c r="E113" s="234" t="s">
        <v>19</v>
      </c>
      <c r="F113" s="137" t="s">
        <v>164</v>
      </c>
      <c r="G113" s="137" t="s">
        <v>164</v>
      </c>
      <c r="H113" s="224">
        <v>0.03</v>
      </c>
      <c r="I113" s="224">
        <v>0.84</v>
      </c>
      <c r="J113" s="224">
        <v>9.25</v>
      </c>
      <c r="K113" s="227">
        <v>19.38</v>
      </c>
      <c r="L113" s="198"/>
      <c r="M113" s="293" t="str">
        <f t="shared" si="6"/>
        <v>Franche-ComtéPommier</v>
      </c>
      <c r="N113" s="293" t="str">
        <f t="shared" si="7"/>
        <v>Franche-ComtéPommierPommier</v>
      </c>
      <c r="P113" s="244" t="s">
        <v>19</v>
      </c>
      <c r="Q113" s="245" t="s">
        <v>164</v>
      </c>
      <c r="R113" s="245" t="s">
        <v>164</v>
      </c>
      <c r="S113" s="224"/>
      <c r="T113" s="224"/>
      <c r="U113" s="224"/>
      <c r="V113" s="227"/>
    </row>
    <row r="114" spans="2:22" ht="15.75" thickBot="1" x14ac:dyDescent="0.3">
      <c r="B114" t="str">
        <f t="shared" si="4"/>
        <v>Franche-ComtéPrunier</v>
      </c>
      <c r="C114" t="str">
        <f t="shared" si="5"/>
        <v>Franche-ComtéPrunierAutres</v>
      </c>
      <c r="E114" s="235" t="s">
        <v>19</v>
      </c>
      <c r="F114" s="236" t="s">
        <v>165</v>
      </c>
      <c r="G114" s="236" t="s">
        <v>173</v>
      </c>
      <c r="H114" s="226">
        <v>0.01</v>
      </c>
      <c r="I114" s="226">
        <v>0.33</v>
      </c>
      <c r="J114" s="226">
        <v>5.14</v>
      </c>
      <c r="K114" s="228">
        <v>9.34</v>
      </c>
      <c r="L114" s="198"/>
      <c r="M114" s="293" t="str">
        <f t="shared" si="6"/>
        <v>Franche-ComtéPrunier</v>
      </c>
      <c r="N114" s="293" t="str">
        <f t="shared" si="7"/>
        <v>Franche-ComtéPrunierAutres</v>
      </c>
      <c r="P114" s="246" t="s">
        <v>19</v>
      </c>
      <c r="Q114" s="247" t="s">
        <v>165</v>
      </c>
      <c r="R114" s="247" t="s">
        <v>173</v>
      </c>
      <c r="S114" s="226"/>
      <c r="T114" s="226"/>
      <c r="U114" s="226"/>
      <c r="V114" s="228"/>
    </row>
    <row r="115" spans="2:22" ht="15.75" thickTop="1" x14ac:dyDescent="0.25">
      <c r="B115" t="str">
        <f t="shared" si="4"/>
        <v>GuadeloupeAbricotier</v>
      </c>
      <c r="C115" t="str">
        <f t="shared" si="5"/>
        <v>GuadeloupeAbricotierBananier</v>
      </c>
      <c r="E115" s="234" t="s">
        <v>288</v>
      </c>
      <c r="F115" s="137" t="s">
        <v>130</v>
      </c>
      <c r="G115" s="137" t="s">
        <v>174</v>
      </c>
      <c r="H115" s="224">
        <v>0.57999999999999996</v>
      </c>
      <c r="I115" s="224">
        <v>1.99</v>
      </c>
      <c r="J115" s="224">
        <v>1.48</v>
      </c>
      <c r="K115" s="227">
        <v>4.67</v>
      </c>
      <c r="L115" s="198"/>
      <c r="M115" s="293" t="str">
        <f t="shared" si="6"/>
        <v>GuadeloupeAbricotier</v>
      </c>
      <c r="N115" s="293" t="str">
        <f t="shared" si="7"/>
        <v>GuadeloupeAbricotierBananier</v>
      </c>
      <c r="P115" s="244" t="s">
        <v>288</v>
      </c>
      <c r="Q115" s="245" t="s">
        <v>130</v>
      </c>
      <c r="R115" s="245" t="s">
        <v>174</v>
      </c>
      <c r="S115" s="224"/>
      <c r="T115" s="224"/>
      <c r="U115" s="224"/>
      <c r="V115" s="227"/>
    </row>
    <row r="116" spans="2:22" x14ac:dyDescent="0.25">
      <c r="B116" t="str">
        <f t="shared" si="4"/>
        <v>GuadeloupeAgrumes</v>
      </c>
      <c r="C116" t="str">
        <f t="shared" si="5"/>
        <v>GuadeloupeAgrumesBananier</v>
      </c>
      <c r="E116" s="234" t="s">
        <v>288</v>
      </c>
      <c r="F116" s="137" t="s">
        <v>639</v>
      </c>
      <c r="G116" s="137" t="s">
        <v>174</v>
      </c>
      <c r="H116" s="224">
        <v>0.57999999999999996</v>
      </c>
      <c r="I116" s="224">
        <v>1.99</v>
      </c>
      <c r="J116" s="224">
        <v>1.48</v>
      </c>
      <c r="K116" s="227">
        <v>4.67</v>
      </c>
      <c r="L116" s="198"/>
      <c r="M116" s="293" t="str">
        <f t="shared" si="6"/>
        <v>GuadeloupeAgrumes</v>
      </c>
      <c r="N116" s="293" t="str">
        <f t="shared" si="7"/>
        <v>GuadeloupeAgrumesBananier</v>
      </c>
      <c r="P116" s="244" t="s">
        <v>288</v>
      </c>
      <c r="Q116" s="245" t="s">
        <v>639</v>
      </c>
      <c r="R116" s="245" t="s">
        <v>174</v>
      </c>
      <c r="S116" s="224"/>
      <c r="T116" s="224"/>
      <c r="U116" s="224"/>
      <c r="V116" s="227"/>
    </row>
    <row r="117" spans="2:22" x14ac:dyDescent="0.25">
      <c r="B117" t="str">
        <f t="shared" si="4"/>
        <v>GuadeloupeAutres</v>
      </c>
      <c r="C117" t="str">
        <f t="shared" si="5"/>
        <v>GuadeloupeAutresBananier</v>
      </c>
      <c r="E117" s="234" t="s">
        <v>288</v>
      </c>
      <c r="F117" s="137" t="s">
        <v>173</v>
      </c>
      <c r="G117" s="137" t="s">
        <v>174</v>
      </c>
      <c r="H117" s="224">
        <v>0.57999999999999996</v>
      </c>
      <c r="I117" s="224">
        <v>1.99</v>
      </c>
      <c r="J117" s="224">
        <v>1.48</v>
      </c>
      <c r="K117" s="227">
        <v>4.67</v>
      </c>
      <c r="L117" s="198"/>
      <c r="M117" s="293" t="str">
        <f t="shared" si="6"/>
        <v>GuadeloupeAutres</v>
      </c>
      <c r="N117" s="293" t="str">
        <f t="shared" si="7"/>
        <v>GuadeloupeAutresBananier</v>
      </c>
      <c r="P117" s="244" t="s">
        <v>288</v>
      </c>
      <c r="Q117" s="245" t="s">
        <v>173</v>
      </c>
      <c r="R117" s="245" t="s">
        <v>174</v>
      </c>
      <c r="S117" s="224"/>
      <c r="T117" s="224"/>
      <c r="U117" s="224"/>
      <c r="V117" s="227"/>
    </row>
    <row r="118" spans="2:22" x14ac:dyDescent="0.25">
      <c r="B118" t="str">
        <f t="shared" si="4"/>
        <v>GuadeloupeBananier</v>
      </c>
      <c r="C118" t="str">
        <f t="shared" si="5"/>
        <v>GuadeloupeBananierBananier</v>
      </c>
      <c r="E118" s="234" t="s">
        <v>288</v>
      </c>
      <c r="F118" s="137" t="s">
        <v>174</v>
      </c>
      <c r="G118" s="137" t="s">
        <v>174</v>
      </c>
      <c r="H118" s="224">
        <v>0.57999999999999996</v>
      </c>
      <c r="I118" s="224">
        <v>1.99</v>
      </c>
      <c r="J118" s="224">
        <v>1.48</v>
      </c>
      <c r="K118" s="227">
        <v>4.67</v>
      </c>
      <c r="L118" s="198"/>
      <c r="M118" s="293" t="str">
        <f t="shared" si="6"/>
        <v>GuadeloupeBananier</v>
      </c>
      <c r="N118" s="293" t="str">
        <f t="shared" si="7"/>
        <v>GuadeloupeBananierBananier</v>
      </c>
      <c r="P118" s="244" t="s">
        <v>288</v>
      </c>
      <c r="Q118" s="245" t="s">
        <v>174</v>
      </c>
      <c r="R118" s="245" t="s">
        <v>174</v>
      </c>
      <c r="S118" s="224"/>
      <c r="T118" s="224"/>
      <c r="U118" s="224"/>
      <c r="V118" s="227"/>
    </row>
    <row r="119" spans="2:22" x14ac:dyDescent="0.25">
      <c r="B119" t="str">
        <f t="shared" si="4"/>
        <v>GuadeloupeCerisier</v>
      </c>
      <c r="C119" t="str">
        <f t="shared" si="5"/>
        <v>GuadeloupeCerisierBananier</v>
      </c>
      <c r="E119" s="234" t="s">
        <v>288</v>
      </c>
      <c r="F119" s="137" t="s">
        <v>135</v>
      </c>
      <c r="G119" s="137" t="s">
        <v>174</v>
      </c>
      <c r="H119" s="224">
        <v>0.57999999999999996</v>
      </c>
      <c r="I119" s="224">
        <v>1.99</v>
      </c>
      <c r="J119" s="224">
        <v>1.48</v>
      </c>
      <c r="K119" s="227">
        <v>4.67</v>
      </c>
      <c r="L119" s="198"/>
      <c r="M119" s="293" t="str">
        <f t="shared" si="6"/>
        <v>GuadeloupeCerisier</v>
      </c>
      <c r="N119" s="293" t="str">
        <f t="shared" si="7"/>
        <v>GuadeloupeCerisierBananier</v>
      </c>
      <c r="P119" s="244" t="s">
        <v>288</v>
      </c>
      <c r="Q119" s="245" t="s">
        <v>135</v>
      </c>
      <c r="R119" s="245" t="s">
        <v>174</v>
      </c>
      <c r="S119" s="224"/>
      <c r="T119" s="224"/>
      <c r="U119" s="224"/>
      <c r="V119" s="227"/>
    </row>
    <row r="120" spans="2:22" x14ac:dyDescent="0.25">
      <c r="B120" t="str">
        <f t="shared" si="4"/>
        <v>GuadeloupeMirabellier</v>
      </c>
      <c r="C120" t="str">
        <f t="shared" si="5"/>
        <v>GuadeloupeMirabellierBananier</v>
      </c>
      <c r="E120" s="234" t="s">
        <v>288</v>
      </c>
      <c r="F120" s="137" t="s">
        <v>148</v>
      </c>
      <c r="G120" s="137" t="s">
        <v>174</v>
      </c>
      <c r="H120" s="224">
        <v>0.57999999999999996</v>
      </c>
      <c r="I120" s="224">
        <v>1.99</v>
      </c>
      <c r="J120" s="224">
        <v>1.48</v>
      </c>
      <c r="K120" s="227">
        <v>4.67</v>
      </c>
      <c r="L120" s="198"/>
      <c r="M120" s="293" t="str">
        <f t="shared" si="6"/>
        <v>GuadeloupeMirabellier</v>
      </c>
      <c r="N120" s="293" t="str">
        <f t="shared" si="7"/>
        <v>GuadeloupeMirabellierBananier</v>
      </c>
      <c r="P120" s="244" t="s">
        <v>288</v>
      </c>
      <c r="Q120" s="245" t="s">
        <v>148</v>
      </c>
      <c r="R120" s="245" t="s">
        <v>174</v>
      </c>
      <c r="S120" s="224"/>
      <c r="T120" s="224"/>
      <c r="U120" s="224"/>
      <c r="V120" s="227"/>
    </row>
    <row r="121" spans="2:22" x14ac:dyDescent="0.25">
      <c r="B121" t="str">
        <f t="shared" si="4"/>
        <v>GuadeloupeNectarinier</v>
      </c>
      <c r="C121" t="str">
        <f t="shared" si="5"/>
        <v>GuadeloupeNectarinierBananier</v>
      </c>
      <c r="E121" s="234" t="s">
        <v>288</v>
      </c>
      <c r="F121" s="137" t="s">
        <v>154</v>
      </c>
      <c r="G121" s="137" t="s">
        <v>174</v>
      </c>
      <c r="H121" s="224">
        <v>0.57999999999999996</v>
      </c>
      <c r="I121" s="224">
        <v>1.99</v>
      </c>
      <c r="J121" s="224">
        <v>1.48</v>
      </c>
      <c r="K121" s="227">
        <v>4.67</v>
      </c>
      <c r="L121" s="198"/>
      <c r="M121" s="293" t="str">
        <f t="shared" si="6"/>
        <v>GuadeloupeNectarinier</v>
      </c>
      <c r="N121" s="293" t="str">
        <f t="shared" si="7"/>
        <v>GuadeloupeNectarinierBananier</v>
      </c>
      <c r="P121" s="244" t="s">
        <v>288</v>
      </c>
      <c r="Q121" s="245" t="s">
        <v>154</v>
      </c>
      <c r="R121" s="245" t="s">
        <v>174</v>
      </c>
      <c r="S121" s="224"/>
      <c r="T121" s="224"/>
      <c r="U121" s="224"/>
      <c r="V121" s="227"/>
    </row>
    <row r="122" spans="2:22" x14ac:dyDescent="0.25">
      <c r="B122" t="str">
        <f t="shared" si="4"/>
        <v>GuadeloupeNoyer</v>
      </c>
      <c r="C122" t="str">
        <f t="shared" si="5"/>
        <v>GuadeloupeNoyerBananier</v>
      </c>
      <c r="E122" s="234" t="s">
        <v>288</v>
      </c>
      <c r="F122" s="137" t="s">
        <v>157</v>
      </c>
      <c r="G122" s="137" t="s">
        <v>174</v>
      </c>
      <c r="H122" s="224">
        <v>0.57999999999999996</v>
      </c>
      <c r="I122" s="224">
        <v>1.99</v>
      </c>
      <c r="J122" s="224">
        <v>1.48</v>
      </c>
      <c r="K122" s="227">
        <v>4.67</v>
      </c>
      <c r="L122" s="198"/>
      <c r="M122" s="293" t="str">
        <f t="shared" si="6"/>
        <v>GuadeloupeNoyer</v>
      </c>
      <c r="N122" s="293" t="str">
        <f t="shared" si="7"/>
        <v>GuadeloupeNoyerBananier</v>
      </c>
      <c r="P122" s="244" t="s">
        <v>288</v>
      </c>
      <c r="Q122" s="245" t="s">
        <v>157</v>
      </c>
      <c r="R122" s="245" t="s">
        <v>174</v>
      </c>
      <c r="S122" s="224"/>
      <c r="T122" s="224"/>
      <c r="U122" s="224"/>
      <c r="V122" s="227"/>
    </row>
    <row r="123" spans="2:22" x14ac:dyDescent="0.25">
      <c r="B123" t="str">
        <f t="shared" si="4"/>
        <v>GuadeloupePêcher</v>
      </c>
      <c r="C123" t="str">
        <f t="shared" si="5"/>
        <v>GuadeloupePêcherBananier</v>
      </c>
      <c r="E123" s="234" t="s">
        <v>288</v>
      </c>
      <c r="F123" s="137" t="s">
        <v>161</v>
      </c>
      <c r="G123" s="137" t="s">
        <v>174</v>
      </c>
      <c r="H123" s="224">
        <v>0.57999999999999996</v>
      </c>
      <c r="I123" s="224">
        <v>1.99</v>
      </c>
      <c r="J123" s="224">
        <v>1.48</v>
      </c>
      <c r="K123" s="227">
        <v>4.67</v>
      </c>
      <c r="L123" s="198"/>
      <c r="M123" s="293" t="str">
        <f t="shared" si="6"/>
        <v>GuadeloupePêcher</v>
      </c>
      <c r="N123" s="293" t="str">
        <f t="shared" si="7"/>
        <v>GuadeloupePêcherBananier</v>
      </c>
      <c r="P123" s="244" t="s">
        <v>288</v>
      </c>
      <c r="Q123" s="245" t="s">
        <v>161</v>
      </c>
      <c r="R123" s="245" t="s">
        <v>174</v>
      </c>
      <c r="S123" s="224"/>
      <c r="T123" s="224"/>
      <c r="U123" s="224"/>
      <c r="V123" s="227"/>
    </row>
    <row r="124" spans="2:22" x14ac:dyDescent="0.25">
      <c r="B124" t="str">
        <f t="shared" si="4"/>
        <v>GuadeloupePoirier</v>
      </c>
      <c r="C124" t="str">
        <f t="shared" si="5"/>
        <v>GuadeloupePoirierBananier</v>
      </c>
      <c r="E124" s="234" t="s">
        <v>288</v>
      </c>
      <c r="F124" s="137" t="s">
        <v>162</v>
      </c>
      <c r="G124" s="137" t="s">
        <v>174</v>
      </c>
      <c r="H124" s="224">
        <v>0.57999999999999996</v>
      </c>
      <c r="I124" s="224">
        <v>1.99</v>
      </c>
      <c r="J124" s="224">
        <v>1.48</v>
      </c>
      <c r="K124" s="227">
        <v>4.67</v>
      </c>
      <c r="L124" s="198"/>
      <c r="M124" s="293" t="str">
        <f t="shared" si="6"/>
        <v>GuadeloupePoirier</v>
      </c>
      <c r="N124" s="293" t="str">
        <f t="shared" si="7"/>
        <v>GuadeloupePoirierBananier</v>
      </c>
      <c r="P124" s="244" t="s">
        <v>288</v>
      </c>
      <c r="Q124" s="245" t="s">
        <v>162</v>
      </c>
      <c r="R124" s="245" t="s">
        <v>174</v>
      </c>
      <c r="S124" s="224"/>
      <c r="T124" s="224"/>
      <c r="U124" s="224"/>
      <c r="V124" s="227"/>
    </row>
    <row r="125" spans="2:22" x14ac:dyDescent="0.25">
      <c r="B125" t="str">
        <f t="shared" si="4"/>
        <v>GuadeloupePommier</v>
      </c>
      <c r="C125" t="str">
        <f t="shared" si="5"/>
        <v>GuadeloupePommierBananier</v>
      </c>
      <c r="E125" s="234" t="s">
        <v>288</v>
      </c>
      <c r="F125" s="137" t="s">
        <v>164</v>
      </c>
      <c r="G125" s="137" t="s">
        <v>174</v>
      </c>
      <c r="H125" s="224">
        <v>0.57999999999999996</v>
      </c>
      <c r="I125" s="224">
        <v>1.99</v>
      </c>
      <c r="J125" s="224">
        <v>1.48</v>
      </c>
      <c r="K125" s="227">
        <v>4.67</v>
      </c>
      <c r="L125" s="198"/>
      <c r="M125" s="293" t="str">
        <f t="shared" si="6"/>
        <v>GuadeloupePommier</v>
      </c>
      <c r="N125" s="293" t="str">
        <f t="shared" si="7"/>
        <v>GuadeloupePommierBananier</v>
      </c>
      <c r="P125" s="244" t="s">
        <v>288</v>
      </c>
      <c r="Q125" s="245" t="s">
        <v>164</v>
      </c>
      <c r="R125" s="245" t="s">
        <v>174</v>
      </c>
      <c r="S125" s="224"/>
      <c r="T125" s="224"/>
      <c r="U125" s="224"/>
      <c r="V125" s="227"/>
    </row>
    <row r="126" spans="2:22" ht="15.75" thickBot="1" x14ac:dyDescent="0.3">
      <c r="B126" t="str">
        <f t="shared" si="4"/>
        <v>GuadeloupePrunier</v>
      </c>
      <c r="C126" t="str">
        <f t="shared" si="5"/>
        <v>GuadeloupePrunierBananier</v>
      </c>
      <c r="E126" s="235" t="s">
        <v>288</v>
      </c>
      <c r="F126" s="236" t="s">
        <v>165</v>
      </c>
      <c r="G126" s="236" t="s">
        <v>174</v>
      </c>
      <c r="H126" s="226">
        <v>0.57999999999999996</v>
      </c>
      <c r="I126" s="226">
        <v>1.99</v>
      </c>
      <c r="J126" s="226">
        <v>1.48</v>
      </c>
      <c r="K126" s="228">
        <v>4.67</v>
      </c>
      <c r="L126" s="198"/>
      <c r="M126" s="293" t="str">
        <f t="shared" si="6"/>
        <v>GuadeloupePrunier</v>
      </c>
      <c r="N126" s="293" t="str">
        <f t="shared" si="7"/>
        <v>GuadeloupePrunierBananier</v>
      </c>
      <c r="P126" s="246" t="s">
        <v>288</v>
      </c>
      <c r="Q126" s="247" t="s">
        <v>165</v>
      </c>
      <c r="R126" s="247" t="s">
        <v>174</v>
      </c>
      <c r="S126" s="226"/>
      <c r="T126" s="226"/>
      <c r="U126" s="226"/>
      <c r="V126" s="228"/>
    </row>
    <row r="127" spans="2:22" ht="15.75" thickTop="1" x14ac:dyDescent="0.25">
      <c r="B127" t="str">
        <f t="shared" si="4"/>
        <v>GuyaneAbricotier</v>
      </c>
      <c r="C127" t="str">
        <f t="shared" si="5"/>
        <v>GuyaneAbricotierAgrumes</v>
      </c>
      <c r="E127" s="234" t="s">
        <v>289</v>
      </c>
      <c r="F127" s="137" t="s">
        <v>130</v>
      </c>
      <c r="G127" s="137" t="s">
        <v>639</v>
      </c>
      <c r="H127" s="224">
        <v>0</v>
      </c>
      <c r="I127" s="224">
        <v>2.14</v>
      </c>
      <c r="J127" s="224">
        <v>0</v>
      </c>
      <c r="K127" s="227">
        <v>0</v>
      </c>
      <c r="L127" s="198"/>
      <c r="M127" s="293" t="str">
        <f t="shared" si="6"/>
        <v>GuyaneAbricotier</v>
      </c>
      <c r="N127" s="293" t="str">
        <f t="shared" si="7"/>
        <v>GuyaneAbricotierAgrumes</v>
      </c>
      <c r="P127" s="244" t="s">
        <v>289</v>
      </c>
      <c r="Q127" s="245" t="s">
        <v>130</v>
      </c>
      <c r="R127" s="245" t="s">
        <v>639</v>
      </c>
      <c r="S127" s="224"/>
      <c r="T127" s="224"/>
      <c r="U127" s="224"/>
      <c r="V127" s="227"/>
    </row>
    <row r="128" spans="2:22" x14ac:dyDescent="0.25">
      <c r="B128" t="str">
        <f t="shared" si="4"/>
        <v>GuyaneAgrumes</v>
      </c>
      <c r="C128" t="str">
        <f t="shared" si="5"/>
        <v>GuyaneAgrumesAgrumes</v>
      </c>
      <c r="E128" s="234" t="s">
        <v>289</v>
      </c>
      <c r="F128" s="137" t="s">
        <v>639</v>
      </c>
      <c r="G128" s="137" t="s">
        <v>639</v>
      </c>
      <c r="H128" s="224">
        <v>0</v>
      </c>
      <c r="I128" s="224">
        <v>2.14</v>
      </c>
      <c r="J128" s="224">
        <v>0</v>
      </c>
      <c r="K128" s="227">
        <v>0</v>
      </c>
      <c r="L128" s="198"/>
      <c r="M128" s="293" t="str">
        <f t="shared" si="6"/>
        <v>GuyaneAgrumes</v>
      </c>
      <c r="N128" s="293" t="str">
        <f t="shared" si="7"/>
        <v>GuyaneAgrumesAgrumes</v>
      </c>
      <c r="P128" s="244" t="s">
        <v>289</v>
      </c>
      <c r="Q128" s="245" t="s">
        <v>639</v>
      </c>
      <c r="R128" s="245" t="s">
        <v>639</v>
      </c>
      <c r="S128" s="224"/>
      <c r="T128" s="224"/>
      <c r="U128" s="224"/>
      <c r="V128" s="227"/>
    </row>
    <row r="129" spans="2:22" x14ac:dyDescent="0.25">
      <c r="B129" t="str">
        <f t="shared" si="4"/>
        <v>GuyaneAutres</v>
      </c>
      <c r="C129" t="str">
        <f t="shared" si="5"/>
        <v>GuyaneAutresAgrumes</v>
      </c>
      <c r="E129" s="234" t="s">
        <v>289</v>
      </c>
      <c r="F129" s="137" t="s">
        <v>173</v>
      </c>
      <c r="G129" s="137" t="s">
        <v>639</v>
      </c>
      <c r="H129" s="224">
        <v>0</v>
      </c>
      <c r="I129" s="224">
        <v>2.14</v>
      </c>
      <c r="J129" s="224">
        <v>0</v>
      </c>
      <c r="K129" s="227">
        <v>0</v>
      </c>
      <c r="L129" s="198"/>
      <c r="M129" s="293" t="str">
        <f t="shared" si="6"/>
        <v>GuyaneAutres</v>
      </c>
      <c r="N129" s="293" t="str">
        <f t="shared" si="7"/>
        <v>GuyaneAutresAgrumes</v>
      </c>
      <c r="P129" s="244" t="s">
        <v>289</v>
      </c>
      <c r="Q129" s="245" t="s">
        <v>173</v>
      </c>
      <c r="R129" s="245" t="s">
        <v>639</v>
      </c>
      <c r="S129" s="224"/>
      <c r="T129" s="224"/>
      <c r="U129" s="224"/>
      <c r="V129" s="227"/>
    </row>
    <row r="130" spans="2:22" x14ac:dyDescent="0.25">
      <c r="B130" t="str">
        <f t="shared" si="4"/>
        <v>GuyaneBananier</v>
      </c>
      <c r="C130" t="str">
        <f t="shared" si="5"/>
        <v>GuyaneBananierAgrumes</v>
      </c>
      <c r="E130" s="234" t="s">
        <v>289</v>
      </c>
      <c r="F130" s="137" t="s">
        <v>174</v>
      </c>
      <c r="G130" s="137" t="s">
        <v>639</v>
      </c>
      <c r="H130" s="224">
        <v>0</v>
      </c>
      <c r="I130" s="224">
        <v>2.14</v>
      </c>
      <c r="J130" s="224">
        <v>0</v>
      </c>
      <c r="K130" s="227">
        <v>0</v>
      </c>
      <c r="L130" s="198"/>
      <c r="M130" s="293" t="str">
        <f t="shared" si="6"/>
        <v>GuyaneBananier</v>
      </c>
      <c r="N130" s="293" t="str">
        <f t="shared" si="7"/>
        <v>GuyaneBananierAgrumes</v>
      </c>
      <c r="P130" s="244" t="s">
        <v>289</v>
      </c>
      <c r="Q130" s="245" t="s">
        <v>174</v>
      </c>
      <c r="R130" s="245" t="s">
        <v>639</v>
      </c>
      <c r="S130" s="224"/>
      <c r="T130" s="224"/>
      <c r="U130" s="224"/>
      <c r="V130" s="227"/>
    </row>
    <row r="131" spans="2:22" x14ac:dyDescent="0.25">
      <c r="B131" t="str">
        <f t="shared" si="4"/>
        <v>GuyaneCerisier</v>
      </c>
      <c r="C131" t="str">
        <f t="shared" si="5"/>
        <v>GuyaneCerisierAgrumes</v>
      </c>
      <c r="E131" s="234" t="s">
        <v>289</v>
      </c>
      <c r="F131" s="137" t="s">
        <v>135</v>
      </c>
      <c r="G131" s="137" t="s">
        <v>639</v>
      </c>
      <c r="H131" s="224">
        <v>0</v>
      </c>
      <c r="I131" s="224">
        <v>2.14</v>
      </c>
      <c r="J131" s="224">
        <v>0</v>
      </c>
      <c r="K131" s="227">
        <v>0</v>
      </c>
      <c r="L131" s="198"/>
      <c r="M131" s="293" t="str">
        <f t="shared" si="6"/>
        <v>GuyaneCerisier</v>
      </c>
      <c r="N131" s="293" t="str">
        <f t="shared" si="7"/>
        <v>GuyaneCerisierAgrumes</v>
      </c>
      <c r="P131" s="244" t="s">
        <v>289</v>
      </c>
      <c r="Q131" s="245" t="s">
        <v>135</v>
      </c>
      <c r="R131" s="245" t="s">
        <v>639</v>
      </c>
      <c r="S131" s="224"/>
      <c r="T131" s="224"/>
      <c r="U131" s="224"/>
      <c r="V131" s="227"/>
    </row>
    <row r="132" spans="2:22" x14ac:dyDescent="0.25">
      <c r="B132" t="str">
        <f t="shared" si="4"/>
        <v>GuyaneMirabellier</v>
      </c>
      <c r="C132" t="str">
        <f t="shared" si="5"/>
        <v>GuyaneMirabellierAgrumes</v>
      </c>
      <c r="E132" s="234" t="s">
        <v>289</v>
      </c>
      <c r="F132" s="137" t="s">
        <v>148</v>
      </c>
      <c r="G132" s="137" t="s">
        <v>639</v>
      </c>
      <c r="H132" s="224">
        <v>0</v>
      </c>
      <c r="I132" s="224">
        <v>2.14</v>
      </c>
      <c r="J132" s="224">
        <v>0</v>
      </c>
      <c r="K132" s="227">
        <v>0</v>
      </c>
      <c r="L132" s="198"/>
      <c r="M132" s="293" t="str">
        <f t="shared" si="6"/>
        <v>GuyaneMirabellier</v>
      </c>
      <c r="N132" s="293" t="str">
        <f t="shared" si="7"/>
        <v>GuyaneMirabellierAgrumes</v>
      </c>
      <c r="P132" s="244" t="s">
        <v>289</v>
      </c>
      <c r="Q132" s="245" t="s">
        <v>148</v>
      </c>
      <c r="R132" s="245" t="s">
        <v>639</v>
      </c>
      <c r="S132" s="224"/>
      <c r="T132" s="224"/>
      <c r="U132" s="224"/>
      <c r="V132" s="227"/>
    </row>
    <row r="133" spans="2:22" x14ac:dyDescent="0.25">
      <c r="B133" t="str">
        <f t="shared" si="4"/>
        <v>GuyaneNectarinier</v>
      </c>
      <c r="C133" t="str">
        <f t="shared" si="5"/>
        <v>GuyaneNectarinierAgrumes</v>
      </c>
      <c r="E133" s="234" t="s">
        <v>289</v>
      </c>
      <c r="F133" s="137" t="s">
        <v>154</v>
      </c>
      <c r="G133" s="137" t="s">
        <v>639</v>
      </c>
      <c r="H133" s="224">
        <v>0</v>
      </c>
      <c r="I133" s="224">
        <v>2.14</v>
      </c>
      <c r="J133" s="224">
        <v>0</v>
      </c>
      <c r="K133" s="227">
        <v>0</v>
      </c>
      <c r="L133" s="198"/>
      <c r="M133" s="293" t="str">
        <f t="shared" si="6"/>
        <v>GuyaneNectarinier</v>
      </c>
      <c r="N133" s="293" t="str">
        <f t="shared" si="7"/>
        <v>GuyaneNectarinierAgrumes</v>
      </c>
      <c r="P133" s="244" t="s">
        <v>289</v>
      </c>
      <c r="Q133" s="245" t="s">
        <v>154</v>
      </c>
      <c r="R133" s="245" t="s">
        <v>639</v>
      </c>
      <c r="S133" s="224"/>
      <c r="T133" s="224"/>
      <c r="U133" s="224"/>
      <c r="V133" s="227"/>
    </row>
    <row r="134" spans="2:22" x14ac:dyDescent="0.25">
      <c r="B134" t="str">
        <f t="shared" ref="B134:B197" si="8">E134&amp;F134</f>
        <v>GuyaneNoyer</v>
      </c>
      <c r="C134" t="str">
        <f t="shared" ref="C134:C197" si="9">E134&amp;F134&amp;G134</f>
        <v>GuyaneNoyerAgrumes</v>
      </c>
      <c r="E134" s="234" t="s">
        <v>289</v>
      </c>
      <c r="F134" s="137" t="s">
        <v>157</v>
      </c>
      <c r="G134" s="137" t="s">
        <v>639</v>
      </c>
      <c r="H134" s="224">
        <v>0</v>
      </c>
      <c r="I134" s="224">
        <v>2.14</v>
      </c>
      <c r="J134" s="224">
        <v>0</v>
      </c>
      <c r="K134" s="227">
        <v>0</v>
      </c>
      <c r="L134" s="198"/>
      <c r="M134" s="293" t="str">
        <f t="shared" ref="M134:M197" si="10">P134&amp;Q134</f>
        <v>GuyaneNoyer</v>
      </c>
      <c r="N134" s="293" t="str">
        <f t="shared" ref="N134:N197" si="11">P134&amp;Q134&amp;R134</f>
        <v>GuyaneNoyerAgrumes</v>
      </c>
      <c r="P134" s="244" t="s">
        <v>289</v>
      </c>
      <c r="Q134" s="245" t="s">
        <v>157</v>
      </c>
      <c r="R134" s="245" t="s">
        <v>639</v>
      </c>
      <c r="S134" s="224"/>
      <c r="T134" s="224"/>
      <c r="U134" s="224"/>
      <c r="V134" s="227"/>
    </row>
    <row r="135" spans="2:22" x14ac:dyDescent="0.25">
      <c r="B135" t="str">
        <f t="shared" si="8"/>
        <v>GuyanePêcher</v>
      </c>
      <c r="C135" t="str">
        <f t="shared" si="9"/>
        <v>GuyanePêcherAgrumes</v>
      </c>
      <c r="E135" s="234" t="s">
        <v>289</v>
      </c>
      <c r="F135" s="137" t="s">
        <v>161</v>
      </c>
      <c r="G135" s="137" t="s">
        <v>639</v>
      </c>
      <c r="H135" s="224">
        <v>0</v>
      </c>
      <c r="I135" s="224">
        <v>2.14</v>
      </c>
      <c r="J135" s="224">
        <v>0</v>
      </c>
      <c r="K135" s="227">
        <v>0</v>
      </c>
      <c r="L135" s="198"/>
      <c r="M135" s="293" t="str">
        <f t="shared" si="10"/>
        <v>GuyanePêcher</v>
      </c>
      <c r="N135" s="293" t="str">
        <f t="shared" si="11"/>
        <v>GuyanePêcherAgrumes</v>
      </c>
      <c r="P135" s="244" t="s">
        <v>289</v>
      </c>
      <c r="Q135" s="245" t="s">
        <v>161</v>
      </c>
      <c r="R135" s="245" t="s">
        <v>639</v>
      </c>
      <c r="S135" s="224"/>
      <c r="T135" s="224"/>
      <c r="U135" s="224"/>
      <c r="V135" s="227"/>
    </row>
    <row r="136" spans="2:22" x14ac:dyDescent="0.25">
      <c r="B136" t="str">
        <f t="shared" si="8"/>
        <v>GuyanePoirier</v>
      </c>
      <c r="C136" t="str">
        <f t="shared" si="9"/>
        <v>GuyanePoirierAgrumes</v>
      </c>
      <c r="E136" s="234" t="s">
        <v>289</v>
      </c>
      <c r="F136" s="137" t="s">
        <v>162</v>
      </c>
      <c r="G136" s="137" t="s">
        <v>639</v>
      </c>
      <c r="H136" s="224">
        <v>0</v>
      </c>
      <c r="I136" s="224">
        <v>2.14</v>
      </c>
      <c r="J136" s="224">
        <v>0</v>
      </c>
      <c r="K136" s="227">
        <v>0</v>
      </c>
      <c r="L136" s="198"/>
      <c r="M136" s="293" t="str">
        <f t="shared" si="10"/>
        <v>GuyanePoirier</v>
      </c>
      <c r="N136" s="293" t="str">
        <f t="shared" si="11"/>
        <v>GuyanePoirierAgrumes</v>
      </c>
      <c r="P136" s="244" t="s">
        <v>289</v>
      </c>
      <c r="Q136" s="245" t="s">
        <v>162</v>
      </c>
      <c r="R136" s="245" t="s">
        <v>639</v>
      </c>
      <c r="S136" s="224"/>
      <c r="T136" s="224"/>
      <c r="U136" s="224"/>
      <c r="V136" s="227"/>
    </row>
    <row r="137" spans="2:22" x14ac:dyDescent="0.25">
      <c r="B137" t="str">
        <f t="shared" si="8"/>
        <v>GuyanePommier</v>
      </c>
      <c r="C137" t="str">
        <f t="shared" si="9"/>
        <v>GuyanePommierAgrumes</v>
      </c>
      <c r="E137" s="234" t="s">
        <v>289</v>
      </c>
      <c r="F137" s="137" t="s">
        <v>164</v>
      </c>
      <c r="G137" s="137" t="s">
        <v>639</v>
      </c>
      <c r="H137" s="224">
        <v>0</v>
      </c>
      <c r="I137" s="224">
        <v>2.14</v>
      </c>
      <c r="J137" s="224">
        <v>0</v>
      </c>
      <c r="K137" s="227">
        <v>0</v>
      </c>
      <c r="L137" s="198"/>
      <c r="M137" s="293" t="str">
        <f t="shared" si="10"/>
        <v>GuyanePommier</v>
      </c>
      <c r="N137" s="293" t="str">
        <f t="shared" si="11"/>
        <v>GuyanePommierAgrumes</v>
      </c>
      <c r="P137" s="244" t="s">
        <v>289</v>
      </c>
      <c r="Q137" s="245" t="s">
        <v>164</v>
      </c>
      <c r="R137" s="245" t="s">
        <v>639</v>
      </c>
      <c r="S137" s="224"/>
      <c r="T137" s="224"/>
      <c r="U137" s="224"/>
      <c r="V137" s="227"/>
    </row>
    <row r="138" spans="2:22" ht="15.75" thickBot="1" x14ac:dyDescent="0.3">
      <c r="B138" t="str">
        <f t="shared" si="8"/>
        <v>GuyanePrunier</v>
      </c>
      <c r="C138" t="str">
        <f t="shared" si="9"/>
        <v>GuyanePrunierAgrumes</v>
      </c>
      <c r="E138" s="235" t="s">
        <v>289</v>
      </c>
      <c r="F138" s="236" t="s">
        <v>165</v>
      </c>
      <c r="G138" s="236" t="s">
        <v>639</v>
      </c>
      <c r="H138" s="226">
        <v>0</v>
      </c>
      <c r="I138" s="226">
        <v>2.14</v>
      </c>
      <c r="J138" s="226">
        <v>0</v>
      </c>
      <c r="K138" s="228">
        <v>0</v>
      </c>
      <c r="L138" s="198"/>
      <c r="M138" s="293" t="str">
        <f t="shared" si="10"/>
        <v>GuyanePrunier</v>
      </c>
      <c r="N138" s="293" t="str">
        <f t="shared" si="11"/>
        <v>GuyanePrunierAgrumes</v>
      </c>
      <c r="P138" s="246" t="s">
        <v>289</v>
      </c>
      <c r="Q138" s="247" t="s">
        <v>165</v>
      </c>
      <c r="R138" s="247" t="s">
        <v>639</v>
      </c>
      <c r="S138" s="226"/>
      <c r="T138" s="226"/>
      <c r="U138" s="226"/>
      <c r="V138" s="228"/>
    </row>
    <row r="139" spans="2:22" ht="15.75" thickTop="1" x14ac:dyDescent="0.25">
      <c r="B139" t="str">
        <f t="shared" si="8"/>
        <v>Haute-NormandieAbricotier</v>
      </c>
      <c r="C139" t="str">
        <f t="shared" si="9"/>
        <v>Haute-NormandieAbricotierAbricotier</v>
      </c>
      <c r="E139" s="234" t="s">
        <v>20</v>
      </c>
      <c r="F139" s="137" t="s">
        <v>130</v>
      </c>
      <c r="G139" s="137" t="s">
        <v>130</v>
      </c>
      <c r="H139" s="224">
        <v>0.01</v>
      </c>
      <c r="I139" s="224">
        <v>0.62</v>
      </c>
      <c r="J139" s="224">
        <v>5.1100000000000003</v>
      </c>
      <c r="K139" s="227">
        <v>10.66</v>
      </c>
      <c r="L139" s="198"/>
      <c r="M139" s="293" t="str">
        <f t="shared" si="10"/>
        <v>Haute-NormandieAbricotier</v>
      </c>
      <c r="N139" s="293" t="str">
        <f t="shared" si="11"/>
        <v>Haute-NormandieAbricotierAbricotier</v>
      </c>
      <c r="P139" s="244" t="s">
        <v>20</v>
      </c>
      <c r="Q139" s="245" t="s">
        <v>130</v>
      </c>
      <c r="R139" s="245" t="s">
        <v>130</v>
      </c>
      <c r="S139" s="224"/>
      <c r="T139" s="224"/>
      <c r="U139" s="224"/>
      <c r="V139" s="227"/>
    </row>
    <row r="140" spans="2:22" x14ac:dyDescent="0.25">
      <c r="B140" t="str">
        <f t="shared" si="8"/>
        <v>Haute-NormandieAgrumes</v>
      </c>
      <c r="C140" t="str">
        <f t="shared" si="9"/>
        <v>Haute-NormandieAgrumesClémentinier</v>
      </c>
      <c r="E140" s="234" t="s">
        <v>20</v>
      </c>
      <c r="F140" s="137" t="s">
        <v>639</v>
      </c>
      <c r="G140" s="137" t="s">
        <v>138</v>
      </c>
      <c r="H140" s="224">
        <v>0</v>
      </c>
      <c r="I140" s="224">
        <v>0.3</v>
      </c>
      <c r="J140" s="224">
        <v>2</v>
      </c>
      <c r="K140" s="227">
        <v>5</v>
      </c>
      <c r="L140" s="198"/>
      <c r="M140" s="293" t="str">
        <f t="shared" si="10"/>
        <v>Haute-NormandieAgrumes</v>
      </c>
      <c r="N140" s="293" t="str">
        <f t="shared" si="11"/>
        <v>Haute-NormandieAgrumesClémentinier</v>
      </c>
      <c r="P140" s="244" t="s">
        <v>20</v>
      </c>
      <c r="Q140" s="245" t="s">
        <v>639</v>
      </c>
      <c r="R140" s="245" t="s">
        <v>138</v>
      </c>
      <c r="S140" s="224"/>
      <c r="T140" s="224"/>
      <c r="U140" s="224"/>
      <c r="V140" s="227"/>
    </row>
    <row r="141" spans="2:22" x14ac:dyDescent="0.25">
      <c r="B141" t="str">
        <f t="shared" si="8"/>
        <v>Haute-NormandieAutres</v>
      </c>
      <c r="C141" t="str">
        <f t="shared" si="9"/>
        <v>Haute-NormandieAutresPrunier</v>
      </c>
      <c r="E141" s="234" t="s">
        <v>20</v>
      </c>
      <c r="F141" s="137" t="s">
        <v>173</v>
      </c>
      <c r="G141" s="137" t="s">
        <v>165</v>
      </c>
      <c r="H141" s="224">
        <v>0.01</v>
      </c>
      <c r="I141" s="224">
        <v>0.33</v>
      </c>
      <c r="J141" s="224">
        <v>5.14</v>
      </c>
      <c r="K141" s="227">
        <v>9.34</v>
      </c>
      <c r="L141" s="198"/>
      <c r="M141" s="293" t="str">
        <f t="shared" si="10"/>
        <v>Haute-NormandieAutres</v>
      </c>
      <c r="N141" s="293" t="str">
        <f t="shared" si="11"/>
        <v>Haute-NormandieAutresPrunier</v>
      </c>
      <c r="P141" s="244" t="s">
        <v>20</v>
      </c>
      <c r="Q141" s="245" t="s">
        <v>173</v>
      </c>
      <c r="R141" s="245" t="s">
        <v>165</v>
      </c>
      <c r="S141" s="224"/>
      <c r="T141" s="224"/>
      <c r="U141" s="224"/>
      <c r="V141" s="227"/>
    </row>
    <row r="142" spans="2:22" x14ac:dyDescent="0.25">
      <c r="B142" t="str">
        <f t="shared" si="8"/>
        <v>Haute-NormandieCerisier</v>
      </c>
      <c r="C142" t="str">
        <f t="shared" si="9"/>
        <v>Haute-NormandieCerisierCerisier</v>
      </c>
      <c r="E142" s="234" t="s">
        <v>20</v>
      </c>
      <c r="F142" s="137" t="s">
        <v>135</v>
      </c>
      <c r="G142" s="137" t="s">
        <v>135</v>
      </c>
      <c r="H142" s="224">
        <v>0</v>
      </c>
      <c r="I142" s="224">
        <v>0.36</v>
      </c>
      <c r="J142" s="224">
        <v>4.0599999999999996</v>
      </c>
      <c r="K142" s="227">
        <v>8.0299999999999994</v>
      </c>
      <c r="L142" s="198"/>
      <c r="M142" s="293" t="str">
        <f t="shared" si="10"/>
        <v>Haute-NormandieCerisier</v>
      </c>
      <c r="N142" s="293" t="str">
        <f t="shared" si="11"/>
        <v>Haute-NormandieCerisierCerisier</v>
      </c>
      <c r="P142" s="244" t="s">
        <v>20</v>
      </c>
      <c r="Q142" s="245" t="s">
        <v>135</v>
      </c>
      <c r="R142" s="245" t="s">
        <v>135</v>
      </c>
      <c r="S142" s="224"/>
      <c r="T142" s="224"/>
      <c r="U142" s="224"/>
      <c r="V142" s="227"/>
    </row>
    <row r="143" spans="2:22" x14ac:dyDescent="0.25">
      <c r="B143" t="str">
        <f t="shared" si="8"/>
        <v>Haute-NormandieMirabellier</v>
      </c>
      <c r="C143" t="str">
        <f t="shared" si="9"/>
        <v>Haute-NormandieMirabellierAutres</v>
      </c>
      <c r="E143" s="234" t="s">
        <v>20</v>
      </c>
      <c r="F143" s="137" t="s">
        <v>148</v>
      </c>
      <c r="G143" s="137" t="s">
        <v>173</v>
      </c>
      <c r="H143" s="224">
        <v>0.01</v>
      </c>
      <c r="I143" s="224">
        <v>0.33</v>
      </c>
      <c r="J143" s="224">
        <v>5.14</v>
      </c>
      <c r="K143" s="227">
        <v>9.34</v>
      </c>
      <c r="L143" s="198"/>
      <c r="M143" s="293" t="str">
        <f t="shared" si="10"/>
        <v>Haute-NormandieMirabellier</v>
      </c>
      <c r="N143" s="293" t="str">
        <f t="shared" si="11"/>
        <v>Haute-NormandieMirabellierAutres</v>
      </c>
      <c r="P143" s="244" t="s">
        <v>20</v>
      </c>
      <c r="Q143" s="245" t="s">
        <v>148</v>
      </c>
      <c r="R143" s="245" t="s">
        <v>173</v>
      </c>
      <c r="S143" s="224"/>
      <c r="T143" s="224"/>
      <c r="U143" s="224"/>
      <c r="V143" s="227"/>
    </row>
    <row r="144" spans="2:22" x14ac:dyDescent="0.25">
      <c r="B144" t="str">
        <f t="shared" si="8"/>
        <v>Haute-NormandieNectarinier</v>
      </c>
      <c r="C144" t="str">
        <f t="shared" si="9"/>
        <v>Haute-NormandieNectarinierNectarinier-Pêcher</v>
      </c>
      <c r="E144" s="234" t="s">
        <v>20</v>
      </c>
      <c r="F144" s="137" t="s">
        <v>154</v>
      </c>
      <c r="G144" s="137" t="s">
        <v>640</v>
      </c>
      <c r="H144" s="224">
        <v>0.03</v>
      </c>
      <c r="I144" s="224">
        <v>0.84</v>
      </c>
      <c r="J144" s="224">
        <v>9.25</v>
      </c>
      <c r="K144" s="227">
        <v>19.38</v>
      </c>
      <c r="L144" s="198"/>
      <c r="M144" s="293" t="str">
        <f t="shared" si="10"/>
        <v>Haute-NormandieNectarinier</v>
      </c>
      <c r="N144" s="293" t="str">
        <f t="shared" si="11"/>
        <v>Haute-NormandieNectarinierNectarinier-Pêcher</v>
      </c>
      <c r="P144" s="244" t="s">
        <v>20</v>
      </c>
      <c r="Q144" s="245" t="s">
        <v>154</v>
      </c>
      <c r="R144" s="245" t="s">
        <v>640</v>
      </c>
      <c r="S144" s="224"/>
      <c r="T144" s="224"/>
      <c r="U144" s="224"/>
      <c r="V144" s="227"/>
    </row>
    <row r="145" spans="2:22" x14ac:dyDescent="0.25">
      <c r="B145" t="str">
        <f t="shared" si="8"/>
        <v>Haute-NormandieNoyer</v>
      </c>
      <c r="C145" t="str">
        <f t="shared" si="9"/>
        <v>Haute-NormandieNoyerAutres</v>
      </c>
      <c r="E145" s="234" t="s">
        <v>20</v>
      </c>
      <c r="F145" s="137" t="s">
        <v>157</v>
      </c>
      <c r="G145" s="137" t="s">
        <v>173</v>
      </c>
      <c r="H145" s="224">
        <v>0.01</v>
      </c>
      <c r="I145" s="224">
        <v>0.33</v>
      </c>
      <c r="J145" s="224">
        <v>5.14</v>
      </c>
      <c r="K145" s="227">
        <v>9.34</v>
      </c>
      <c r="L145" s="198"/>
      <c r="M145" s="293" t="str">
        <f t="shared" si="10"/>
        <v>Haute-NormandieNoyer</v>
      </c>
      <c r="N145" s="293" t="str">
        <f t="shared" si="11"/>
        <v>Haute-NormandieNoyerAutres</v>
      </c>
      <c r="P145" s="244" t="s">
        <v>20</v>
      </c>
      <c r="Q145" s="245" t="s">
        <v>157</v>
      </c>
      <c r="R145" s="245" t="s">
        <v>173</v>
      </c>
      <c r="S145" s="224"/>
      <c r="T145" s="224"/>
      <c r="U145" s="224"/>
      <c r="V145" s="227"/>
    </row>
    <row r="146" spans="2:22" x14ac:dyDescent="0.25">
      <c r="B146" t="str">
        <f t="shared" si="8"/>
        <v>Haute-NormandiePêcher</v>
      </c>
      <c r="C146" t="str">
        <f t="shared" si="9"/>
        <v>Haute-NormandiePêcherNectarinier-Pêcher</v>
      </c>
      <c r="E146" s="234" t="s">
        <v>20</v>
      </c>
      <c r="F146" s="137" t="s">
        <v>161</v>
      </c>
      <c r="G146" s="137" t="s">
        <v>640</v>
      </c>
      <c r="H146" s="224">
        <v>0.03</v>
      </c>
      <c r="I146" s="224">
        <v>0.84</v>
      </c>
      <c r="J146" s="224">
        <v>9.25</v>
      </c>
      <c r="K146" s="227">
        <v>19.38</v>
      </c>
      <c r="L146" s="198"/>
      <c r="M146" s="293" t="str">
        <f t="shared" si="10"/>
        <v>Haute-NormandiePêcher</v>
      </c>
      <c r="N146" s="293" t="str">
        <f t="shared" si="11"/>
        <v>Haute-NormandiePêcherNectarinier-Pêcher</v>
      </c>
      <c r="P146" s="244" t="s">
        <v>20</v>
      </c>
      <c r="Q146" s="245" t="s">
        <v>161</v>
      </c>
      <c r="R146" s="245" t="s">
        <v>640</v>
      </c>
      <c r="S146" s="224"/>
      <c r="T146" s="224"/>
      <c r="U146" s="224"/>
      <c r="V146" s="227"/>
    </row>
    <row r="147" spans="2:22" x14ac:dyDescent="0.25">
      <c r="B147" t="str">
        <f t="shared" si="8"/>
        <v>Haute-NormandiePoirier</v>
      </c>
      <c r="C147" t="str">
        <f t="shared" si="9"/>
        <v>Haute-NormandiePoirierAutres</v>
      </c>
      <c r="E147" s="234" t="s">
        <v>20</v>
      </c>
      <c r="F147" s="137" t="s">
        <v>162</v>
      </c>
      <c r="G147" s="137" t="s">
        <v>173</v>
      </c>
      <c r="H147" s="224">
        <v>0.01</v>
      </c>
      <c r="I147" s="224">
        <v>0.33</v>
      </c>
      <c r="J147" s="224">
        <v>5.14</v>
      </c>
      <c r="K147" s="227">
        <v>9.34</v>
      </c>
      <c r="L147" s="198"/>
      <c r="M147" s="293" t="str">
        <f t="shared" si="10"/>
        <v>Haute-NormandiePoirier</v>
      </c>
      <c r="N147" s="293" t="str">
        <f t="shared" si="11"/>
        <v>Haute-NormandiePoirierAutres</v>
      </c>
      <c r="P147" s="244" t="s">
        <v>20</v>
      </c>
      <c r="Q147" s="245" t="s">
        <v>162</v>
      </c>
      <c r="R147" s="245" t="s">
        <v>173</v>
      </c>
      <c r="S147" s="224"/>
      <c r="T147" s="224"/>
      <c r="U147" s="224"/>
      <c r="V147" s="227"/>
    </row>
    <row r="148" spans="2:22" x14ac:dyDescent="0.25">
      <c r="B148" t="str">
        <f t="shared" si="8"/>
        <v>Haute-NormandiePommier</v>
      </c>
      <c r="C148" t="str">
        <f t="shared" si="9"/>
        <v>Haute-NormandiePommierPommier</v>
      </c>
      <c r="E148" s="234" t="s">
        <v>20</v>
      </c>
      <c r="F148" s="137" t="s">
        <v>164</v>
      </c>
      <c r="G148" s="137" t="s">
        <v>164</v>
      </c>
      <c r="H148" s="224">
        <v>0</v>
      </c>
      <c r="I148" s="224">
        <v>0.69</v>
      </c>
      <c r="J148" s="224">
        <v>5.54</v>
      </c>
      <c r="K148" s="227">
        <v>15.66</v>
      </c>
      <c r="L148" s="198"/>
      <c r="M148" s="293" t="str">
        <f t="shared" si="10"/>
        <v>Haute-NormandiePommier</v>
      </c>
      <c r="N148" s="293" t="str">
        <f t="shared" si="11"/>
        <v>Haute-NormandiePommierPommier</v>
      </c>
      <c r="P148" s="244" t="s">
        <v>20</v>
      </c>
      <c r="Q148" s="245" t="s">
        <v>164</v>
      </c>
      <c r="R148" s="245" t="s">
        <v>164</v>
      </c>
      <c r="S148" s="224"/>
      <c r="T148" s="224"/>
      <c r="U148" s="224"/>
      <c r="V148" s="227"/>
    </row>
    <row r="149" spans="2:22" ht="15.75" thickBot="1" x14ac:dyDescent="0.3">
      <c r="B149" t="str">
        <f t="shared" si="8"/>
        <v>Haute-NormandiePrunier</v>
      </c>
      <c r="C149" t="str">
        <f t="shared" si="9"/>
        <v>Haute-NormandiePrunierAutres</v>
      </c>
      <c r="E149" s="235" t="s">
        <v>20</v>
      </c>
      <c r="F149" s="236" t="s">
        <v>165</v>
      </c>
      <c r="G149" s="236" t="s">
        <v>173</v>
      </c>
      <c r="H149" s="226">
        <v>0.01</v>
      </c>
      <c r="I149" s="226">
        <v>0.33</v>
      </c>
      <c r="J149" s="226">
        <v>5.14</v>
      </c>
      <c r="K149" s="228">
        <v>9.34</v>
      </c>
      <c r="L149" s="198"/>
      <c r="M149" s="293" t="str">
        <f t="shared" si="10"/>
        <v>Haute-NormandiePrunier</v>
      </c>
      <c r="N149" s="293" t="str">
        <f t="shared" si="11"/>
        <v>Haute-NormandiePrunierAutres</v>
      </c>
      <c r="P149" s="246" t="s">
        <v>20</v>
      </c>
      <c r="Q149" s="247" t="s">
        <v>165</v>
      </c>
      <c r="R149" s="247" t="s">
        <v>173</v>
      </c>
      <c r="S149" s="226"/>
      <c r="T149" s="226"/>
      <c r="U149" s="226"/>
      <c r="V149" s="228"/>
    </row>
    <row r="150" spans="2:22" ht="15.75" thickTop="1" x14ac:dyDescent="0.25">
      <c r="B150" t="str">
        <f t="shared" si="8"/>
        <v>Ile-de-FranceAbricotier</v>
      </c>
      <c r="C150" t="str">
        <f t="shared" si="9"/>
        <v>Ile-de-FranceAbricotierAbricotier</v>
      </c>
      <c r="E150" s="232" t="s">
        <v>21</v>
      </c>
      <c r="F150" s="233" t="s">
        <v>130</v>
      </c>
      <c r="G150" s="233" t="s">
        <v>130</v>
      </c>
      <c r="H150" s="225">
        <v>0.01</v>
      </c>
      <c r="I150" s="225">
        <v>0.62</v>
      </c>
      <c r="J150" s="225">
        <v>5.1100000000000003</v>
      </c>
      <c r="K150" s="229">
        <v>10.66</v>
      </c>
      <c r="L150" s="198"/>
      <c r="M150" s="293" t="str">
        <f t="shared" si="10"/>
        <v>Ile-de-FranceAbricotier</v>
      </c>
      <c r="N150" s="293" t="str">
        <f t="shared" si="11"/>
        <v>Ile-de-FranceAbricotierAbricotier</v>
      </c>
      <c r="P150" s="242" t="s">
        <v>21</v>
      </c>
      <c r="Q150" s="243" t="s">
        <v>130</v>
      </c>
      <c r="R150" s="243" t="s">
        <v>130</v>
      </c>
      <c r="S150" s="225"/>
      <c r="T150" s="225"/>
      <c r="U150" s="225"/>
      <c r="V150" s="229"/>
    </row>
    <row r="151" spans="2:22" x14ac:dyDescent="0.25">
      <c r="B151" t="str">
        <f t="shared" si="8"/>
        <v>Ile-de-FranceAgrumes</v>
      </c>
      <c r="C151" t="str">
        <f t="shared" si="9"/>
        <v>Ile-de-FranceAgrumesClémentinier</v>
      </c>
      <c r="E151" s="232" t="s">
        <v>21</v>
      </c>
      <c r="F151" s="137" t="s">
        <v>639</v>
      </c>
      <c r="G151" s="137" t="s">
        <v>138</v>
      </c>
      <c r="H151" s="224">
        <v>0</v>
      </c>
      <c r="I151" s="224">
        <v>0.3</v>
      </c>
      <c r="J151" s="224">
        <v>2</v>
      </c>
      <c r="K151" s="227">
        <v>5</v>
      </c>
      <c r="L151" s="198"/>
      <c r="M151" s="293" t="str">
        <f t="shared" si="10"/>
        <v>Ile-de-FranceAgrumes</v>
      </c>
      <c r="N151" s="293" t="str">
        <f t="shared" si="11"/>
        <v>Ile-de-FranceAgrumesClémentinier</v>
      </c>
      <c r="P151" s="244" t="s">
        <v>21</v>
      </c>
      <c r="Q151" s="245" t="s">
        <v>639</v>
      </c>
      <c r="R151" s="245" t="s">
        <v>138</v>
      </c>
      <c r="S151" s="224"/>
      <c r="T151" s="224"/>
      <c r="U151" s="224"/>
      <c r="V151" s="227"/>
    </row>
    <row r="152" spans="2:22" x14ac:dyDescent="0.25">
      <c r="B152" t="str">
        <f t="shared" si="8"/>
        <v>Ile-de-FranceAutres</v>
      </c>
      <c r="C152" t="str">
        <f t="shared" si="9"/>
        <v>Ile-de-FranceAutresPrunier</v>
      </c>
      <c r="E152" s="232" t="s">
        <v>21</v>
      </c>
      <c r="F152" s="137" t="s">
        <v>173</v>
      </c>
      <c r="G152" s="137" t="s">
        <v>165</v>
      </c>
      <c r="H152" s="224">
        <v>0.01</v>
      </c>
      <c r="I152" s="224">
        <v>0.33</v>
      </c>
      <c r="J152" s="224">
        <v>5.14</v>
      </c>
      <c r="K152" s="227">
        <v>9.34</v>
      </c>
      <c r="L152" s="198"/>
      <c r="M152" s="293" t="str">
        <f t="shared" si="10"/>
        <v>Ile-de-FranceAutres</v>
      </c>
      <c r="N152" s="293" t="str">
        <f t="shared" si="11"/>
        <v>Ile-de-FranceAutresPrunier</v>
      </c>
      <c r="P152" s="244" t="s">
        <v>21</v>
      </c>
      <c r="Q152" s="245" t="s">
        <v>173</v>
      </c>
      <c r="R152" s="245" t="s">
        <v>165</v>
      </c>
      <c r="S152" s="224"/>
      <c r="T152" s="224"/>
      <c r="U152" s="224"/>
      <c r="V152" s="227"/>
    </row>
    <row r="153" spans="2:22" x14ac:dyDescent="0.25">
      <c r="B153" t="str">
        <f t="shared" si="8"/>
        <v>Ile-de-FranceCerisier</v>
      </c>
      <c r="C153" t="str">
        <f t="shared" si="9"/>
        <v>Ile-de-FranceCerisierCerisier</v>
      </c>
      <c r="E153" s="232" t="s">
        <v>21</v>
      </c>
      <c r="F153" s="137" t="s">
        <v>135</v>
      </c>
      <c r="G153" s="137" t="s">
        <v>135</v>
      </c>
      <c r="H153" s="224">
        <v>0</v>
      </c>
      <c r="I153" s="224">
        <v>0.36</v>
      </c>
      <c r="J153" s="224">
        <v>4.0599999999999996</v>
      </c>
      <c r="K153" s="227">
        <v>8.0299999999999994</v>
      </c>
      <c r="L153" s="198"/>
      <c r="M153" s="293" t="str">
        <f t="shared" si="10"/>
        <v>Ile-de-FranceCerisier</v>
      </c>
      <c r="N153" s="293" t="str">
        <f t="shared" si="11"/>
        <v>Ile-de-FranceCerisierCerisier</v>
      </c>
      <c r="P153" s="244" t="s">
        <v>21</v>
      </c>
      <c r="Q153" s="245" t="s">
        <v>135</v>
      </c>
      <c r="R153" s="245" t="s">
        <v>135</v>
      </c>
      <c r="S153" s="224"/>
      <c r="T153" s="224"/>
      <c r="U153" s="224"/>
      <c r="V153" s="227"/>
    </row>
    <row r="154" spans="2:22" x14ac:dyDescent="0.25">
      <c r="B154" t="str">
        <f t="shared" si="8"/>
        <v>Ile-de-FranceMirabellier</v>
      </c>
      <c r="C154" t="str">
        <f t="shared" si="9"/>
        <v>Ile-de-FranceMirabellierAutres</v>
      </c>
      <c r="E154" s="232" t="s">
        <v>21</v>
      </c>
      <c r="F154" s="137" t="s">
        <v>148</v>
      </c>
      <c r="G154" s="137" t="s">
        <v>173</v>
      </c>
      <c r="H154" s="224">
        <v>0.01</v>
      </c>
      <c r="I154" s="224">
        <v>0.33</v>
      </c>
      <c r="J154" s="224">
        <v>5.14</v>
      </c>
      <c r="K154" s="227">
        <v>9.34</v>
      </c>
      <c r="L154" s="198"/>
      <c r="M154" s="293" t="str">
        <f t="shared" si="10"/>
        <v>Ile-de-FranceMirabellier</v>
      </c>
      <c r="N154" s="293" t="str">
        <f t="shared" si="11"/>
        <v>Ile-de-FranceMirabellierAutres</v>
      </c>
      <c r="P154" s="244" t="s">
        <v>21</v>
      </c>
      <c r="Q154" s="245" t="s">
        <v>148</v>
      </c>
      <c r="R154" s="245" t="s">
        <v>173</v>
      </c>
      <c r="S154" s="224"/>
      <c r="T154" s="224"/>
      <c r="U154" s="224"/>
      <c r="V154" s="227"/>
    </row>
    <row r="155" spans="2:22" x14ac:dyDescent="0.25">
      <c r="B155" t="str">
        <f t="shared" si="8"/>
        <v>Ile-de-FranceNectarinier</v>
      </c>
      <c r="C155" t="str">
        <f t="shared" si="9"/>
        <v>Ile-de-FranceNectarinierNectarinier-Pêcher</v>
      </c>
      <c r="E155" s="232" t="s">
        <v>21</v>
      </c>
      <c r="F155" s="137" t="s">
        <v>154</v>
      </c>
      <c r="G155" s="137" t="s">
        <v>640</v>
      </c>
      <c r="H155" s="224">
        <v>0.03</v>
      </c>
      <c r="I155" s="224">
        <v>0.84</v>
      </c>
      <c r="J155" s="224">
        <v>9.25</v>
      </c>
      <c r="K155" s="227">
        <v>19.38</v>
      </c>
      <c r="L155" s="198"/>
      <c r="M155" s="293" t="str">
        <f t="shared" si="10"/>
        <v>Ile-de-FranceNectarinier</v>
      </c>
      <c r="N155" s="293" t="str">
        <f t="shared" si="11"/>
        <v>Ile-de-FranceNectarinierNectarinier-Pêcher</v>
      </c>
      <c r="P155" s="244" t="s">
        <v>21</v>
      </c>
      <c r="Q155" s="245" t="s">
        <v>154</v>
      </c>
      <c r="R155" s="245" t="s">
        <v>640</v>
      </c>
      <c r="S155" s="224"/>
      <c r="T155" s="224"/>
      <c r="U155" s="224"/>
      <c r="V155" s="227"/>
    </row>
    <row r="156" spans="2:22" x14ac:dyDescent="0.25">
      <c r="B156" t="str">
        <f t="shared" si="8"/>
        <v>Ile-de-FranceNoyer</v>
      </c>
      <c r="C156" t="str">
        <f t="shared" si="9"/>
        <v>Ile-de-FranceNoyerAutres</v>
      </c>
      <c r="E156" s="232" t="s">
        <v>21</v>
      </c>
      <c r="F156" s="137" t="s">
        <v>157</v>
      </c>
      <c r="G156" s="137" t="s">
        <v>173</v>
      </c>
      <c r="H156" s="224">
        <v>0.01</v>
      </c>
      <c r="I156" s="224">
        <v>0.33</v>
      </c>
      <c r="J156" s="224">
        <v>5.14</v>
      </c>
      <c r="K156" s="227">
        <v>9.34</v>
      </c>
      <c r="L156" s="198"/>
      <c r="M156" s="293" t="str">
        <f t="shared" si="10"/>
        <v>Ile-de-FranceNoyer</v>
      </c>
      <c r="N156" s="293" t="str">
        <f t="shared" si="11"/>
        <v>Ile-de-FranceNoyerAutres</v>
      </c>
      <c r="P156" s="244" t="s">
        <v>21</v>
      </c>
      <c r="Q156" s="245" t="s">
        <v>157</v>
      </c>
      <c r="R156" s="245" t="s">
        <v>173</v>
      </c>
      <c r="S156" s="224"/>
      <c r="T156" s="224"/>
      <c r="U156" s="224"/>
      <c r="V156" s="227"/>
    </row>
    <row r="157" spans="2:22" x14ac:dyDescent="0.25">
      <c r="B157" t="str">
        <f t="shared" si="8"/>
        <v>Ile-de-FrancePêcher</v>
      </c>
      <c r="C157" t="str">
        <f t="shared" si="9"/>
        <v>Ile-de-FrancePêcherNectarinier-Pêcher</v>
      </c>
      <c r="E157" s="232" t="s">
        <v>21</v>
      </c>
      <c r="F157" s="137" t="s">
        <v>161</v>
      </c>
      <c r="G157" s="137" t="s">
        <v>640</v>
      </c>
      <c r="H157" s="224">
        <v>0.03</v>
      </c>
      <c r="I157" s="224">
        <v>0.84</v>
      </c>
      <c r="J157" s="224">
        <v>9.25</v>
      </c>
      <c r="K157" s="227">
        <v>19.38</v>
      </c>
      <c r="L157" s="198"/>
      <c r="M157" s="293" t="str">
        <f t="shared" si="10"/>
        <v>Ile-de-FrancePêcher</v>
      </c>
      <c r="N157" s="293" t="str">
        <f t="shared" si="11"/>
        <v>Ile-de-FrancePêcherNectarinier-Pêcher</v>
      </c>
      <c r="P157" s="244" t="s">
        <v>21</v>
      </c>
      <c r="Q157" s="245" t="s">
        <v>161</v>
      </c>
      <c r="R157" s="245" t="s">
        <v>640</v>
      </c>
      <c r="S157" s="224"/>
      <c r="T157" s="224"/>
      <c r="U157" s="224"/>
      <c r="V157" s="227"/>
    </row>
    <row r="158" spans="2:22" x14ac:dyDescent="0.25">
      <c r="B158" t="str">
        <f t="shared" si="8"/>
        <v>Ile-de-FrancePoirier</v>
      </c>
      <c r="C158" t="str">
        <f t="shared" si="9"/>
        <v>Ile-de-FrancePoirierAutres</v>
      </c>
      <c r="E158" s="232" t="s">
        <v>21</v>
      </c>
      <c r="F158" s="137" t="s">
        <v>162</v>
      </c>
      <c r="G158" s="137" t="s">
        <v>173</v>
      </c>
      <c r="H158" s="224">
        <v>0.01</v>
      </c>
      <c r="I158" s="224">
        <v>0.33</v>
      </c>
      <c r="J158" s="224">
        <v>5.14</v>
      </c>
      <c r="K158" s="227">
        <v>9.34</v>
      </c>
      <c r="L158" s="198"/>
      <c r="M158" s="293" t="str">
        <f t="shared" si="10"/>
        <v>Ile-de-FrancePoirier</v>
      </c>
      <c r="N158" s="293" t="str">
        <f t="shared" si="11"/>
        <v>Ile-de-FrancePoirierAutres</v>
      </c>
      <c r="P158" s="244" t="s">
        <v>21</v>
      </c>
      <c r="Q158" s="245" t="s">
        <v>162</v>
      </c>
      <c r="R158" s="245" t="s">
        <v>173</v>
      </c>
      <c r="S158" s="224"/>
      <c r="T158" s="224"/>
      <c r="U158" s="224"/>
      <c r="V158" s="227"/>
    </row>
    <row r="159" spans="2:22" x14ac:dyDescent="0.25">
      <c r="B159" t="str">
        <f t="shared" si="8"/>
        <v>Ile-de-FrancePommier</v>
      </c>
      <c r="C159" t="str">
        <f t="shared" si="9"/>
        <v>Ile-de-FrancePommierPommier</v>
      </c>
      <c r="E159" s="232" t="s">
        <v>21</v>
      </c>
      <c r="F159" s="137" t="s">
        <v>164</v>
      </c>
      <c r="G159" s="137" t="s">
        <v>164</v>
      </c>
      <c r="H159" s="224">
        <v>0</v>
      </c>
      <c r="I159" s="224">
        <v>0.36</v>
      </c>
      <c r="J159" s="224">
        <v>3.85</v>
      </c>
      <c r="K159" s="227">
        <v>20.05</v>
      </c>
      <c r="L159" s="198"/>
      <c r="M159" s="293" t="str">
        <f t="shared" si="10"/>
        <v>Ile-de-FrancePommier</v>
      </c>
      <c r="N159" s="293" t="str">
        <f t="shared" si="11"/>
        <v>Ile-de-FrancePommierPommier</v>
      </c>
      <c r="P159" s="244" t="s">
        <v>21</v>
      </c>
      <c r="Q159" s="245" t="s">
        <v>164</v>
      </c>
      <c r="R159" s="245" t="s">
        <v>164</v>
      </c>
      <c r="S159" s="224"/>
      <c r="T159" s="224"/>
      <c r="U159" s="224"/>
      <c r="V159" s="227"/>
    </row>
    <row r="160" spans="2:22" ht="15.75" thickBot="1" x14ac:dyDescent="0.3">
      <c r="B160" t="str">
        <f t="shared" si="8"/>
        <v>Ile-de-FrancePrunier</v>
      </c>
      <c r="C160" t="str">
        <f t="shared" si="9"/>
        <v>Ile-de-FrancePrunierAutres</v>
      </c>
      <c r="E160" s="232" t="s">
        <v>21</v>
      </c>
      <c r="F160" s="236" t="s">
        <v>165</v>
      </c>
      <c r="G160" s="236" t="s">
        <v>173</v>
      </c>
      <c r="H160" s="226">
        <v>0.01</v>
      </c>
      <c r="I160" s="226">
        <v>0.33</v>
      </c>
      <c r="J160" s="226">
        <v>5.14</v>
      </c>
      <c r="K160" s="228">
        <v>9.34</v>
      </c>
      <c r="L160" s="198"/>
      <c r="M160" s="293" t="str">
        <f t="shared" si="10"/>
        <v>Ile-de-FrancePrunier</v>
      </c>
      <c r="N160" s="293" t="str">
        <f t="shared" si="11"/>
        <v>Ile-de-FrancePrunierAutres</v>
      </c>
      <c r="P160" s="246" t="s">
        <v>21</v>
      </c>
      <c r="Q160" s="247" t="s">
        <v>165</v>
      </c>
      <c r="R160" s="247" t="s">
        <v>173</v>
      </c>
      <c r="S160" s="226"/>
      <c r="T160" s="226"/>
      <c r="U160" s="226"/>
      <c r="V160" s="228"/>
    </row>
    <row r="161" spans="2:22" ht="15.75" thickTop="1" x14ac:dyDescent="0.25">
      <c r="B161" t="str">
        <f t="shared" si="8"/>
        <v>Languedoc-RoussillonAbricotier</v>
      </c>
      <c r="C161" t="str">
        <f t="shared" si="9"/>
        <v>Languedoc-RoussillonAbricotierAbricotier</v>
      </c>
      <c r="E161" s="234" t="s">
        <v>22</v>
      </c>
      <c r="F161" s="137" t="s">
        <v>130</v>
      </c>
      <c r="G161" s="137" t="s">
        <v>130</v>
      </c>
      <c r="H161" s="224">
        <v>0</v>
      </c>
      <c r="I161" s="224">
        <v>0.37</v>
      </c>
      <c r="J161" s="224">
        <v>4.37</v>
      </c>
      <c r="K161" s="227">
        <v>9.24</v>
      </c>
      <c r="L161" s="198"/>
      <c r="M161" s="293" t="str">
        <f t="shared" si="10"/>
        <v>Languedoc-RoussillonAbricotier</v>
      </c>
      <c r="N161" s="293" t="str">
        <f t="shared" si="11"/>
        <v>Languedoc-RoussillonAbricotierAbricotier</v>
      </c>
      <c r="P161" s="244" t="s">
        <v>22</v>
      </c>
      <c r="Q161" s="245" t="s">
        <v>130</v>
      </c>
      <c r="R161" s="245" t="s">
        <v>130</v>
      </c>
      <c r="S161" s="224"/>
      <c r="T161" s="224"/>
      <c r="U161" s="224"/>
      <c r="V161" s="227"/>
    </row>
    <row r="162" spans="2:22" x14ac:dyDescent="0.25">
      <c r="B162" t="str">
        <f t="shared" si="8"/>
        <v>Languedoc-RoussillonAgrumes</v>
      </c>
      <c r="C162" t="str">
        <f t="shared" si="9"/>
        <v>Languedoc-RoussillonAgrumesClémentinier</v>
      </c>
      <c r="E162" s="234" t="s">
        <v>22</v>
      </c>
      <c r="F162" s="137" t="s">
        <v>639</v>
      </c>
      <c r="G162" s="137" t="s">
        <v>138</v>
      </c>
      <c r="H162" s="224">
        <v>0</v>
      </c>
      <c r="I162" s="224">
        <v>0.3</v>
      </c>
      <c r="J162" s="224">
        <v>2</v>
      </c>
      <c r="K162" s="227">
        <v>5</v>
      </c>
      <c r="L162" s="198"/>
      <c r="M162" s="293" t="str">
        <f t="shared" si="10"/>
        <v>Languedoc-RoussillonAgrumes</v>
      </c>
      <c r="N162" s="293" t="str">
        <f t="shared" si="11"/>
        <v>Languedoc-RoussillonAgrumesClémentinier</v>
      </c>
      <c r="P162" s="244" t="s">
        <v>22</v>
      </c>
      <c r="Q162" s="245" t="s">
        <v>639</v>
      </c>
      <c r="R162" s="245" t="s">
        <v>138</v>
      </c>
      <c r="S162" s="224"/>
      <c r="T162" s="224"/>
      <c r="U162" s="224"/>
      <c r="V162" s="227"/>
    </row>
    <row r="163" spans="2:22" x14ac:dyDescent="0.25">
      <c r="B163" t="str">
        <f t="shared" si="8"/>
        <v>Languedoc-RoussillonAutres</v>
      </c>
      <c r="C163" t="str">
        <f t="shared" si="9"/>
        <v>Languedoc-RoussillonAutresPrunier</v>
      </c>
      <c r="E163" s="234" t="s">
        <v>22</v>
      </c>
      <c r="F163" s="137" t="s">
        <v>173</v>
      </c>
      <c r="G163" s="137" t="s">
        <v>165</v>
      </c>
      <c r="H163" s="224">
        <v>0.04</v>
      </c>
      <c r="I163" s="224">
        <v>0.74</v>
      </c>
      <c r="J163" s="224">
        <v>5.16</v>
      </c>
      <c r="K163" s="227">
        <v>8.34</v>
      </c>
      <c r="L163" s="198"/>
      <c r="M163" s="293" t="str">
        <f t="shared" si="10"/>
        <v>Languedoc-RoussillonAutres</v>
      </c>
      <c r="N163" s="293" t="str">
        <f t="shared" si="11"/>
        <v>Languedoc-RoussillonAutresPrunier</v>
      </c>
      <c r="P163" s="244" t="s">
        <v>22</v>
      </c>
      <c r="Q163" s="245" t="s">
        <v>173</v>
      </c>
      <c r="R163" s="245" t="s">
        <v>165</v>
      </c>
      <c r="S163" s="224"/>
      <c r="T163" s="224"/>
      <c r="U163" s="224"/>
      <c r="V163" s="227"/>
    </row>
    <row r="164" spans="2:22" x14ac:dyDescent="0.25">
      <c r="B164" t="str">
        <f t="shared" si="8"/>
        <v>Languedoc-RoussillonCerisier</v>
      </c>
      <c r="C164" t="str">
        <f t="shared" si="9"/>
        <v>Languedoc-RoussillonCerisierCerisier</v>
      </c>
      <c r="E164" s="234" t="s">
        <v>22</v>
      </c>
      <c r="F164" s="137" t="s">
        <v>135</v>
      </c>
      <c r="G164" s="137" t="s">
        <v>135</v>
      </c>
      <c r="H164" s="224">
        <v>0</v>
      </c>
      <c r="I164" s="224">
        <v>0.26</v>
      </c>
      <c r="J164" s="224">
        <v>2.57</v>
      </c>
      <c r="K164" s="227">
        <v>7.59</v>
      </c>
      <c r="L164" s="198"/>
      <c r="M164" s="293" t="str">
        <f t="shared" si="10"/>
        <v>Languedoc-RoussillonCerisier</v>
      </c>
      <c r="N164" s="293" t="str">
        <f t="shared" si="11"/>
        <v>Languedoc-RoussillonCerisierCerisier</v>
      </c>
      <c r="P164" s="244" t="s">
        <v>22</v>
      </c>
      <c r="Q164" s="245" t="s">
        <v>135</v>
      </c>
      <c r="R164" s="245" t="s">
        <v>135</v>
      </c>
      <c r="S164" s="224"/>
      <c r="T164" s="224"/>
      <c r="U164" s="224"/>
      <c r="V164" s="227"/>
    </row>
    <row r="165" spans="2:22" x14ac:dyDescent="0.25">
      <c r="B165" t="str">
        <f t="shared" si="8"/>
        <v>Languedoc-RoussillonMirabellier</v>
      </c>
      <c r="C165" t="str">
        <f t="shared" si="9"/>
        <v>Languedoc-RoussillonMirabellierAutres</v>
      </c>
      <c r="E165" s="234" t="s">
        <v>22</v>
      </c>
      <c r="F165" s="137" t="s">
        <v>148</v>
      </c>
      <c r="G165" s="137" t="s">
        <v>173</v>
      </c>
      <c r="H165" s="224">
        <v>0.04</v>
      </c>
      <c r="I165" s="224">
        <v>0.74</v>
      </c>
      <c r="J165" s="224">
        <v>5.16</v>
      </c>
      <c r="K165" s="227">
        <v>8.34</v>
      </c>
      <c r="L165" s="198"/>
      <c r="M165" s="293" t="str">
        <f t="shared" si="10"/>
        <v>Languedoc-RoussillonMirabellier</v>
      </c>
      <c r="N165" s="293" t="str">
        <f t="shared" si="11"/>
        <v>Languedoc-RoussillonMirabellierAutres</v>
      </c>
      <c r="P165" s="244" t="s">
        <v>22</v>
      </c>
      <c r="Q165" s="245" t="s">
        <v>148</v>
      </c>
      <c r="R165" s="245" t="s">
        <v>173</v>
      </c>
      <c r="S165" s="224"/>
      <c r="T165" s="224"/>
      <c r="U165" s="224"/>
      <c r="V165" s="227"/>
    </row>
    <row r="166" spans="2:22" x14ac:dyDescent="0.25">
      <c r="B166" t="str">
        <f t="shared" si="8"/>
        <v>Languedoc-RoussillonNectarinier</v>
      </c>
      <c r="C166" t="str">
        <f t="shared" si="9"/>
        <v>Languedoc-RoussillonNectarinierNectarinier-Pêcher</v>
      </c>
      <c r="E166" s="234" t="s">
        <v>22</v>
      </c>
      <c r="F166" s="137" t="s">
        <v>154</v>
      </c>
      <c r="G166" s="137" t="s">
        <v>640</v>
      </c>
      <c r="H166" s="224">
        <v>0.02</v>
      </c>
      <c r="I166" s="224">
        <v>0.85</v>
      </c>
      <c r="J166" s="224">
        <v>8.84</v>
      </c>
      <c r="K166" s="227">
        <v>18.149999999999999</v>
      </c>
      <c r="L166" s="198"/>
      <c r="M166" s="293" t="str">
        <f t="shared" si="10"/>
        <v>Languedoc-RoussillonNectarinier</v>
      </c>
      <c r="N166" s="293" t="str">
        <f t="shared" si="11"/>
        <v>Languedoc-RoussillonNectarinierNectarinier-Pêcher</v>
      </c>
      <c r="P166" s="244" t="s">
        <v>22</v>
      </c>
      <c r="Q166" s="245" t="s">
        <v>154</v>
      </c>
      <c r="R166" s="245" t="s">
        <v>640</v>
      </c>
      <c r="S166" s="224"/>
      <c r="T166" s="224"/>
      <c r="U166" s="224"/>
      <c r="V166" s="227"/>
    </row>
    <row r="167" spans="2:22" x14ac:dyDescent="0.25">
      <c r="B167" t="str">
        <f t="shared" si="8"/>
        <v>Languedoc-RoussillonNoyer</v>
      </c>
      <c r="C167" t="str">
        <f t="shared" si="9"/>
        <v>Languedoc-RoussillonNoyerAutres</v>
      </c>
      <c r="E167" s="234" t="s">
        <v>22</v>
      </c>
      <c r="F167" s="137" t="s">
        <v>157</v>
      </c>
      <c r="G167" s="137" t="s">
        <v>173</v>
      </c>
      <c r="H167" s="224">
        <v>0.04</v>
      </c>
      <c r="I167" s="224">
        <v>0.74</v>
      </c>
      <c r="J167" s="224">
        <v>5.16</v>
      </c>
      <c r="K167" s="227">
        <v>8.34</v>
      </c>
      <c r="L167" s="198"/>
      <c r="M167" s="293" t="str">
        <f t="shared" si="10"/>
        <v>Languedoc-RoussillonNoyer</v>
      </c>
      <c r="N167" s="293" t="str">
        <f t="shared" si="11"/>
        <v>Languedoc-RoussillonNoyerAutres</v>
      </c>
      <c r="P167" s="244" t="s">
        <v>22</v>
      </c>
      <c r="Q167" s="245" t="s">
        <v>157</v>
      </c>
      <c r="R167" s="245" t="s">
        <v>173</v>
      </c>
      <c r="S167" s="224"/>
      <c r="T167" s="224"/>
      <c r="U167" s="224"/>
      <c r="V167" s="227"/>
    </row>
    <row r="168" spans="2:22" x14ac:dyDescent="0.25">
      <c r="B168" t="str">
        <f t="shared" si="8"/>
        <v>Languedoc-RoussillonPêcher</v>
      </c>
      <c r="C168" t="str">
        <f t="shared" si="9"/>
        <v>Languedoc-RoussillonPêcherNectarinier-Pêcher</v>
      </c>
      <c r="E168" s="234" t="s">
        <v>22</v>
      </c>
      <c r="F168" s="137" t="s">
        <v>161</v>
      </c>
      <c r="G168" s="137" t="s">
        <v>640</v>
      </c>
      <c r="H168" s="224">
        <v>0.02</v>
      </c>
      <c r="I168" s="224">
        <v>0.85</v>
      </c>
      <c r="J168" s="224">
        <v>8.84</v>
      </c>
      <c r="K168" s="227">
        <v>18.149999999999999</v>
      </c>
      <c r="L168" s="198"/>
      <c r="M168" s="293" t="str">
        <f t="shared" si="10"/>
        <v>Languedoc-RoussillonPêcher</v>
      </c>
      <c r="N168" s="293" t="str">
        <f t="shared" si="11"/>
        <v>Languedoc-RoussillonPêcherNectarinier-Pêcher</v>
      </c>
      <c r="P168" s="244" t="s">
        <v>22</v>
      </c>
      <c r="Q168" s="245" t="s">
        <v>161</v>
      </c>
      <c r="R168" s="245" t="s">
        <v>640</v>
      </c>
      <c r="S168" s="224"/>
      <c r="T168" s="224"/>
      <c r="U168" s="224"/>
      <c r="V168" s="227"/>
    </row>
    <row r="169" spans="2:22" x14ac:dyDescent="0.25">
      <c r="B169" t="str">
        <f t="shared" si="8"/>
        <v>Languedoc-RoussillonPoirier</v>
      </c>
      <c r="C169" t="str">
        <f t="shared" si="9"/>
        <v>Languedoc-RoussillonPoirierAutres</v>
      </c>
      <c r="E169" s="234" t="s">
        <v>22</v>
      </c>
      <c r="F169" s="137" t="s">
        <v>162</v>
      </c>
      <c r="G169" s="137" t="s">
        <v>173</v>
      </c>
      <c r="H169" s="224">
        <v>0.04</v>
      </c>
      <c r="I169" s="224">
        <v>0.74</v>
      </c>
      <c r="J169" s="224">
        <v>5.16</v>
      </c>
      <c r="K169" s="227">
        <v>8.34</v>
      </c>
      <c r="L169" s="198"/>
      <c r="M169" s="293" t="str">
        <f t="shared" si="10"/>
        <v>Languedoc-RoussillonPoirier</v>
      </c>
      <c r="N169" s="293" t="str">
        <f t="shared" si="11"/>
        <v>Languedoc-RoussillonPoirierAutres</v>
      </c>
      <c r="P169" s="244" t="s">
        <v>22</v>
      </c>
      <c r="Q169" s="245" t="s">
        <v>162</v>
      </c>
      <c r="R169" s="245" t="s">
        <v>173</v>
      </c>
      <c r="S169" s="224"/>
      <c r="T169" s="224"/>
      <c r="U169" s="224"/>
      <c r="V169" s="227"/>
    </row>
    <row r="170" spans="2:22" x14ac:dyDescent="0.25">
      <c r="B170" t="str">
        <f t="shared" si="8"/>
        <v>Languedoc-RoussillonPommier</v>
      </c>
      <c r="C170" t="str">
        <f t="shared" si="9"/>
        <v>Languedoc-RoussillonPommierPommier</v>
      </c>
      <c r="E170" s="234" t="s">
        <v>22</v>
      </c>
      <c r="F170" s="137" t="s">
        <v>164</v>
      </c>
      <c r="G170" s="137" t="s">
        <v>164</v>
      </c>
      <c r="H170" s="224">
        <v>0.03</v>
      </c>
      <c r="I170" s="224">
        <v>0.5</v>
      </c>
      <c r="J170" s="224">
        <v>12.93</v>
      </c>
      <c r="K170" s="227">
        <v>23.25</v>
      </c>
      <c r="L170" s="198"/>
      <c r="M170" s="293" t="str">
        <f t="shared" si="10"/>
        <v>Languedoc-RoussillonPommier</v>
      </c>
      <c r="N170" s="293" t="str">
        <f t="shared" si="11"/>
        <v>Languedoc-RoussillonPommierPommier</v>
      </c>
      <c r="P170" s="244" t="s">
        <v>22</v>
      </c>
      <c r="Q170" s="245" t="s">
        <v>164</v>
      </c>
      <c r="R170" s="245" t="s">
        <v>164</v>
      </c>
      <c r="S170" s="224"/>
      <c r="T170" s="224"/>
      <c r="U170" s="224"/>
      <c r="V170" s="227"/>
    </row>
    <row r="171" spans="2:22" ht="15.75" thickBot="1" x14ac:dyDescent="0.3">
      <c r="B171" t="str">
        <f t="shared" si="8"/>
        <v>Languedoc-RoussillonPrunier</v>
      </c>
      <c r="C171" t="str">
        <f t="shared" si="9"/>
        <v>Languedoc-RoussillonPrunierPrunier</v>
      </c>
      <c r="E171" s="235" t="s">
        <v>22</v>
      </c>
      <c r="F171" s="236" t="s">
        <v>165</v>
      </c>
      <c r="G171" s="236" t="s">
        <v>165</v>
      </c>
      <c r="H171" s="226">
        <v>0.04</v>
      </c>
      <c r="I171" s="226">
        <v>0.74</v>
      </c>
      <c r="J171" s="226">
        <v>5.16</v>
      </c>
      <c r="K171" s="228">
        <v>8.34</v>
      </c>
      <c r="L171" s="198"/>
      <c r="M171" s="293" t="str">
        <f t="shared" si="10"/>
        <v>Languedoc-RoussillonPrunier</v>
      </c>
      <c r="N171" s="293" t="str">
        <f t="shared" si="11"/>
        <v>Languedoc-RoussillonPrunierPrunier</v>
      </c>
      <c r="P171" s="246" t="s">
        <v>22</v>
      </c>
      <c r="Q171" s="247" t="s">
        <v>165</v>
      </c>
      <c r="R171" s="247" t="s">
        <v>165</v>
      </c>
      <c r="S171" s="226"/>
      <c r="T171" s="226"/>
      <c r="U171" s="226"/>
      <c r="V171" s="228"/>
    </row>
    <row r="172" spans="2:22" ht="15.75" thickTop="1" x14ac:dyDescent="0.25">
      <c r="B172" t="str">
        <f t="shared" si="8"/>
        <v>LimousinAbricotier</v>
      </c>
      <c r="C172" t="str">
        <f t="shared" si="9"/>
        <v>LimousinAbricotierAbricotier</v>
      </c>
      <c r="E172" s="234" t="s">
        <v>23</v>
      </c>
      <c r="F172" s="137" t="s">
        <v>130</v>
      </c>
      <c r="G172" s="137" t="s">
        <v>130</v>
      </c>
      <c r="H172" s="224">
        <v>0.01</v>
      </c>
      <c r="I172" s="224">
        <v>0.62</v>
      </c>
      <c r="J172" s="224">
        <v>5.1100000000000003</v>
      </c>
      <c r="K172" s="227">
        <v>10.66</v>
      </c>
      <c r="L172" s="198"/>
      <c r="M172" s="293" t="str">
        <f t="shared" si="10"/>
        <v>LimousinAbricotier</v>
      </c>
      <c r="N172" s="293" t="str">
        <f t="shared" si="11"/>
        <v>LimousinAbricotierAbricotier</v>
      </c>
      <c r="P172" s="244" t="s">
        <v>23</v>
      </c>
      <c r="Q172" s="245" t="s">
        <v>130</v>
      </c>
      <c r="R172" s="245" t="s">
        <v>130</v>
      </c>
      <c r="S172" s="224"/>
      <c r="T172" s="224"/>
      <c r="U172" s="224"/>
      <c r="V172" s="227"/>
    </row>
    <row r="173" spans="2:22" x14ac:dyDescent="0.25">
      <c r="B173" t="str">
        <f t="shared" si="8"/>
        <v>LimousinAgrumes</v>
      </c>
      <c r="C173" t="str">
        <f t="shared" si="9"/>
        <v>LimousinAgrumesClémentinier</v>
      </c>
      <c r="E173" s="234" t="s">
        <v>23</v>
      </c>
      <c r="F173" s="137" t="s">
        <v>639</v>
      </c>
      <c r="G173" s="137" t="s">
        <v>138</v>
      </c>
      <c r="H173" s="224">
        <v>0</v>
      </c>
      <c r="I173" s="224">
        <v>0.3</v>
      </c>
      <c r="J173" s="224">
        <v>2</v>
      </c>
      <c r="K173" s="227">
        <v>5</v>
      </c>
      <c r="L173" s="198"/>
      <c r="M173" s="293" t="str">
        <f t="shared" si="10"/>
        <v>LimousinAgrumes</v>
      </c>
      <c r="N173" s="293" t="str">
        <f t="shared" si="11"/>
        <v>LimousinAgrumesClémentinier</v>
      </c>
      <c r="P173" s="244" t="s">
        <v>23</v>
      </c>
      <c r="Q173" s="245" t="s">
        <v>639</v>
      </c>
      <c r="R173" s="245" t="s">
        <v>138</v>
      </c>
      <c r="S173" s="224"/>
      <c r="T173" s="224"/>
      <c r="U173" s="224"/>
      <c r="V173" s="227"/>
    </row>
    <row r="174" spans="2:22" x14ac:dyDescent="0.25">
      <c r="B174" t="str">
        <f t="shared" si="8"/>
        <v>LimousinAutres</v>
      </c>
      <c r="C174" t="str">
        <f t="shared" si="9"/>
        <v>LimousinAutresPrunier</v>
      </c>
      <c r="E174" s="234" t="s">
        <v>23</v>
      </c>
      <c r="F174" s="137" t="s">
        <v>173</v>
      </c>
      <c r="G174" s="137" t="s">
        <v>165</v>
      </c>
      <c r="H174" s="224">
        <v>0.01</v>
      </c>
      <c r="I174" s="224">
        <v>0.33</v>
      </c>
      <c r="J174" s="224">
        <v>5.14</v>
      </c>
      <c r="K174" s="227">
        <v>9.34</v>
      </c>
      <c r="L174" s="198"/>
      <c r="M174" s="293" t="str">
        <f t="shared" si="10"/>
        <v>LimousinAutres</v>
      </c>
      <c r="N174" s="293" t="str">
        <f t="shared" si="11"/>
        <v>LimousinAutresPrunier</v>
      </c>
      <c r="P174" s="244" t="s">
        <v>23</v>
      </c>
      <c r="Q174" s="245" t="s">
        <v>173</v>
      </c>
      <c r="R174" s="245" t="s">
        <v>165</v>
      </c>
      <c r="S174" s="224"/>
      <c r="T174" s="224"/>
      <c r="U174" s="224"/>
      <c r="V174" s="227"/>
    </row>
    <row r="175" spans="2:22" x14ac:dyDescent="0.25">
      <c r="B175" t="str">
        <f t="shared" si="8"/>
        <v>LimousinCerisier</v>
      </c>
      <c r="C175" t="str">
        <f t="shared" si="9"/>
        <v>LimousinCerisierCerisier</v>
      </c>
      <c r="E175" s="234" t="s">
        <v>23</v>
      </c>
      <c r="F175" s="137" t="s">
        <v>135</v>
      </c>
      <c r="G175" s="137" t="s">
        <v>135</v>
      </c>
      <c r="H175" s="224">
        <v>0</v>
      </c>
      <c r="I175" s="224">
        <v>0.36</v>
      </c>
      <c r="J175" s="224">
        <v>4.0599999999999996</v>
      </c>
      <c r="K175" s="227">
        <v>8.0299999999999994</v>
      </c>
      <c r="L175" s="198"/>
      <c r="M175" s="293" t="str">
        <f t="shared" si="10"/>
        <v>LimousinCerisier</v>
      </c>
      <c r="N175" s="293" t="str">
        <f t="shared" si="11"/>
        <v>LimousinCerisierCerisier</v>
      </c>
      <c r="P175" s="244" t="s">
        <v>23</v>
      </c>
      <c r="Q175" s="245" t="s">
        <v>135</v>
      </c>
      <c r="R175" s="245" t="s">
        <v>135</v>
      </c>
      <c r="S175" s="224"/>
      <c r="T175" s="224"/>
      <c r="U175" s="224"/>
      <c r="V175" s="227"/>
    </row>
    <row r="176" spans="2:22" x14ac:dyDescent="0.25">
      <c r="B176" t="str">
        <f t="shared" si="8"/>
        <v>LimousinMirabellier</v>
      </c>
      <c r="C176" t="str">
        <f t="shared" si="9"/>
        <v>LimousinMirabellierAutres</v>
      </c>
      <c r="E176" s="234" t="s">
        <v>23</v>
      </c>
      <c r="F176" s="137" t="s">
        <v>148</v>
      </c>
      <c r="G176" s="137" t="s">
        <v>173</v>
      </c>
      <c r="H176" s="224">
        <v>0.01</v>
      </c>
      <c r="I176" s="224">
        <v>0.33</v>
      </c>
      <c r="J176" s="224">
        <v>5.14</v>
      </c>
      <c r="K176" s="227">
        <v>9.34</v>
      </c>
      <c r="L176" s="198"/>
      <c r="M176" s="293" t="str">
        <f t="shared" si="10"/>
        <v>LimousinMirabellier</v>
      </c>
      <c r="N176" s="293" t="str">
        <f t="shared" si="11"/>
        <v>LimousinMirabellierAutres</v>
      </c>
      <c r="P176" s="244" t="s">
        <v>23</v>
      </c>
      <c r="Q176" s="245" t="s">
        <v>148</v>
      </c>
      <c r="R176" s="245" t="s">
        <v>173</v>
      </c>
      <c r="S176" s="224"/>
      <c r="T176" s="224"/>
      <c r="U176" s="224"/>
      <c r="V176" s="227"/>
    </row>
    <row r="177" spans="2:22" x14ac:dyDescent="0.25">
      <c r="B177" t="str">
        <f t="shared" si="8"/>
        <v>LimousinNectarinier</v>
      </c>
      <c r="C177" t="str">
        <f t="shared" si="9"/>
        <v>LimousinNectarinierNectarinier-Pêcher</v>
      </c>
      <c r="E177" s="234" t="s">
        <v>23</v>
      </c>
      <c r="F177" s="137" t="s">
        <v>154</v>
      </c>
      <c r="G177" s="137" t="s">
        <v>640</v>
      </c>
      <c r="H177" s="224">
        <v>0.03</v>
      </c>
      <c r="I177" s="224">
        <v>0.84</v>
      </c>
      <c r="J177" s="224">
        <v>9.25</v>
      </c>
      <c r="K177" s="227">
        <v>19.38</v>
      </c>
      <c r="L177" s="198"/>
      <c r="M177" s="293" t="str">
        <f t="shared" si="10"/>
        <v>LimousinNectarinier</v>
      </c>
      <c r="N177" s="293" t="str">
        <f t="shared" si="11"/>
        <v>LimousinNectarinierNectarinier-Pêcher</v>
      </c>
      <c r="P177" s="244" t="s">
        <v>23</v>
      </c>
      <c r="Q177" s="245" t="s">
        <v>154</v>
      </c>
      <c r="R177" s="245" t="s">
        <v>640</v>
      </c>
      <c r="S177" s="224"/>
      <c r="T177" s="224"/>
      <c r="U177" s="224"/>
      <c r="V177" s="227"/>
    </row>
    <row r="178" spans="2:22" x14ac:dyDescent="0.25">
      <c r="B178" t="str">
        <f t="shared" si="8"/>
        <v>LimousinNoyer</v>
      </c>
      <c r="C178" t="str">
        <f t="shared" si="9"/>
        <v>LimousinNoyerAutres</v>
      </c>
      <c r="E178" s="234" t="s">
        <v>23</v>
      </c>
      <c r="F178" s="137" t="s">
        <v>157</v>
      </c>
      <c r="G178" s="137" t="s">
        <v>173</v>
      </c>
      <c r="H178" s="224">
        <v>0.01</v>
      </c>
      <c r="I178" s="224">
        <v>0.33</v>
      </c>
      <c r="J178" s="224">
        <v>5.14</v>
      </c>
      <c r="K178" s="227">
        <v>9.34</v>
      </c>
      <c r="L178" s="198"/>
      <c r="M178" s="293" t="str">
        <f t="shared" si="10"/>
        <v>LimousinNoyer</v>
      </c>
      <c r="N178" s="293" t="str">
        <f t="shared" si="11"/>
        <v>LimousinNoyerAutres</v>
      </c>
      <c r="P178" s="244" t="s">
        <v>23</v>
      </c>
      <c r="Q178" s="245" t="s">
        <v>157</v>
      </c>
      <c r="R178" s="245" t="s">
        <v>173</v>
      </c>
      <c r="S178" s="224"/>
      <c r="T178" s="224"/>
      <c r="U178" s="224"/>
      <c r="V178" s="227"/>
    </row>
    <row r="179" spans="2:22" x14ac:dyDescent="0.25">
      <c r="B179" t="str">
        <f t="shared" si="8"/>
        <v>LimousinPêcher</v>
      </c>
      <c r="C179" t="str">
        <f t="shared" si="9"/>
        <v>LimousinPêcherNectarinier-Pêcher</v>
      </c>
      <c r="E179" s="234" t="s">
        <v>23</v>
      </c>
      <c r="F179" s="137" t="s">
        <v>161</v>
      </c>
      <c r="G179" s="137" t="s">
        <v>640</v>
      </c>
      <c r="H179" s="224">
        <v>0.03</v>
      </c>
      <c r="I179" s="224">
        <v>0.84</v>
      </c>
      <c r="J179" s="224">
        <v>9.25</v>
      </c>
      <c r="K179" s="227">
        <v>19.38</v>
      </c>
      <c r="L179" s="198"/>
      <c r="M179" s="293" t="str">
        <f t="shared" si="10"/>
        <v>LimousinPêcher</v>
      </c>
      <c r="N179" s="293" t="str">
        <f t="shared" si="11"/>
        <v>LimousinPêcherNectarinier-Pêcher</v>
      </c>
      <c r="P179" s="244" t="s">
        <v>23</v>
      </c>
      <c r="Q179" s="245" t="s">
        <v>161</v>
      </c>
      <c r="R179" s="245" t="s">
        <v>640</v>
      </c>
      <c r="S179" s="224"/>
      <c r="T179" s="224"/>
      <c r="U179" s="224"/>
      <c r="V179" s="227"/>
    </row>
    <row r="180" spans="2:22" x14ac:dyDescent="0.25">
      <c r="B180" t="str">
        <f t="shared" si="8"/>
        <v>LimousinPoirier</v>
      </c>
      <c r="C180" t="str">
        <f t="shared" si="9"/>
        <v>LimousinPoirierAutres</v>
      </c>
      <c r="E180" s="234" t="s">
        <v>23</v>
      </c>
      <c r="F180" s="137" t="s">
        <v>162</v>
      </c>
      <c r="G180" s="137" t="s">
        <v>173</v>
      </c>
      <c r="H180" s="224">
        <v>0.01</v>
      </c>
      <c r="I180" s="224">
        <v>0.33</v>
      </c>
      <c r="J180" s="224">
        <v>5.14</v>
      </c>
      <c r="K180" s="227">
        <v>9.34</v>
      </c>
      <c r="L180" s="198"/>
      <c r="M180" s="293" t="str">
        <f t="shared" si="10"/>
        <v>LimousinPoirier</v>
      </c>
      <c r="N180" s="293" t="str">
        <f t="shared" si="11"/>
        <v>LimousinPoirierAutres</v>
      </c>
      <c r="P180" s="244" t="s">
        <v>23</v>
      </c>
      <c r="Q180" s="245" t="s">
        <v>162</v>
      </c>
      <c r="R180" s="245" t="s">
        <v>173</v>
      </c>
      <c r="S180" s="224"/>
      <c r="T180" s="224"/>
      <c r="U180" s="224"/>
      <c r="V180" s="227"/>
    </row>
    <row r="181" spans="2:22" x14ac:dyDescent="0.25">
      <c r="B181" t="str">
        <f t="shared" si="8"/>
        <v>LimousinPommier</v>
      </c>
      <c r="C181" t="str">
        <f t="shared" si="9"/>
        <v>LimousinPommierPommier</v>
      </c>
      <c r="E181" s="234" t="s">
        <v>23</v>
      </c>
      <c r="F181" s="137" t="s">
        <v>164</v>
      </c>
      <c r="G181" s="137" t="s">
        <v>164</v>
      </c>
      <c r="H181" s="224">
        <v>0.12</v>
      </c>
      <c r="I181" s="224">
        <v>0.74</v>
      </c>
      <c r="J181" s="224">
        <v>23.1</v>
      </c>
      <c r="K181" s="227">
        <v>36.14</v>
      </c>
      <c r="L181" s="198"/>
      <c r="M181" s="293" t="str">
        <f t="shared" si="10"/>
        <v>LimousinPommier</v>
      </c>
      <c r="N181" s="293" t="str">
        <f t="shared" si="11"/>
        <v>LimousinPommierPommier</v>
      </c>
      <c r="P181" s="244" t="s">
        <v>23</v>
      </c>
      <c r="Q181" s="245" t="s">
        <v>164</v>
      </c>
      <c r="R181" s="245" t="s">
        <v>164</v>
      </c>
      <c r="S181" s="224"/>
      <c r="T181" s="224"/>
      <c r="U181" s="224"/>
      <c r="V181" s="227"/>
    </row>
    <row r="182" spans="2:22" ht="15.75" thickBot="1" x14ac:dyDescent="0.3">
      <c r="B182" t="str">
        <f t="shared" si="8"/>
        <v>LimousinPrunier</v>
      </c>
      <c r="C182" t="str">
        <f t="shared" si="9"/>
        <v>LimousinPrunierAutres</v>
      </c>
      <c r="E182" s="235" t="s">
        <v>23</v>
      </c>
      <c r="F182" s="236" t="s">
        <v>165</v>
      </c>
      <c r="G182" s="236" t="s">
        <v>173</v>
      </c>
      <c r="H182" s="226">
        <v>0.01</v>
      </c>
      <c r="I182" s="226">
        <v>0.33</v>
      </c>
      <c r="J182" s="226">
        <v>5.14</v>
      </c>
      <c r="K182" s="228">
        <v>9.34</v>
      </c>
      <c r="L182" s="198"/>
      <c r="M182" s="293" t="str">
        <f t="shared" si="10"/>
        <v>LimousinPrunier</v>
      </c>
      <c r="N182" s="293" t="str">
        <f t="shared" si="11"/>
        <v>LimousinPrunierAutres</v>
      </c>
      <c r="P182" s="246" t="s">
        <v>23</v>
      </c>
      <c r="Q182" s="247" t="s">
        <v>165</v>
      </c>
      <c r="R182" s="247" t="s">
        <v>173</v>
      </c>
      <c r="S182" s="226"/>
      <c r="T182" s="226"/>
      <c r="U182" s="226"/>
      <c r="V182" s="228"/>
    </row>
    <row r="183" spans="2:22" ht="15.75" thickTop="1" x14ac:dyDescent="0.25">
      <c r="B183" t="str">
        <f t="shared" si="8"/>
        <v>LorraineAbricotier</v>
      </c>
      <c r="C183" t="str">
        <f t="shared" si="9"/>
        <v>LorraineAbricotierAbricotier</v>
      </c>
      <c r="E183" s="234" t="s">
        <v>24</v>
      </c>
      <c r="F183" s="137" t="s">
        <v>130</v>
      </c>
      <c r="G183" s="137" t="s">
        <v>130</v>
      </c>
      <c r="H183" s="224">
        <v>0.01</v>
      </c>
      <c r="I183" s="224">
        <v>0.62</v>
      </c>
      <c r="J183" s="224">
        <v>5.1100000000000003</v>
      </c>
      <c r="K183" s="227">
        <v>10.66</v>
      </c>
      <c r="L183" s="198"/>
      <c r="M183" s="293" t="str">
        <f t="shared" si="10"/>
        <v>LorraineAbricotier</v>
      </c>
      <c r="N183" s="293" t="str">
        <f t="shared" si="11"/>
        <v>LorraineAbricotierAbricotier</v>
      </c>
      <c r="P183" s="244" t="s">
        <v>24</v>
      </c>
      <c r="Q183" s="245" t="s">
        <v>130</v>
      </c>
      <c r="R183" s="245" t="s">
        <v>130</v>
      </c>
      <c r="S183" s="224"/>
      <c r="T183" s="224"/>
      <c r="U183" s="224"/>
      <c r="V183" s="227"/>
    </row>
    <row r="184" spans="2:22" x14ac:dyDescent="0.25">
      <c r="B184" t="str">
        <f t="shared" si="8"/>
        <v>LorraineAgrumes</v>
      </c>
      <c r="C184" t="str">
        <f t="shared" si="9"/>
        <v>LorraineAgrumesClémentinier</v>
      </c>
      <c r="E184" s="234" t="s">
        <v>24</v>
      </c>
      <c r="F184" s="137" t="s">
        <v>639</v>
      </c>
      <c r="G184" s="137" t="s">
        <v>138</v>
      </c>
      <c r="H184" s="224">
        <v>0</v>
      </c>
      <c r="I184" s="224">
        <v>0.3</v>
      </c>
      <c r="J184" s="224">
        <v>2</v>
      </c>
      <c r="K184" s="227">
        <v>5</v>
      </c>
      <c r="L184" s="198"/>
      <c r="M184" s="293" t="str">
        <f t="shared" si="10"/>
        <v>LorraineAgrumes</v>
      </c>
      <c r="N184" s="293" t="str">
        <f t="shared" si="11"/>
        <v>LorraineAgrumesClémentinier</v>
      </c>
      <c r="P184" s="244" t="s">
        <v>24</v>
      </c>
      <c r="Q184" s="245" t="s">
        <v>639</v>
      </c>
      <c r="R184" s="245" t="s">
        <v>138</v>
      </c>
      <c r="S184" s="224"/>
      <c r="T184" s="224"/>
      <c r="U184" s="224"/>
      <c r="V184" s="227"/>
    </row>
    <row r="185" spans="2:22" x14ac:dyDescent="0.25">
      <c r="B185" t="str">
        <f t="shared" si="8"/>
        <v>LorraineAutres</v>
      </c>
      <c r="C185" t="str">
        <f t="shared" si="9"/>
        <v>LorraineAutresPrunier</v>
      </c>
      <c r="E185" s="234" t="s">
        <v>24</v>
      </c>
      <c r="F185" s="137" t="s">
        <v>173</v>
      </c>
      <c r="G185" s="137" t="s">
        <v>165</v>
      </c>
      <c r="H185" s="224">
        <v>0</v>
      </c>
      <c r="I185" s="224">
        <v>0.59</v>
      </c>
      <c r="J185" s="224">
        <v>1.5</v>
      </c>
      <c r="K185" s="227">
        <v>9.0500000000000007</v>
      </c>
      <c r="L185" s="198"/>
      <c r="M185" s="293" t="str">
        <f t="shared" si="10"/>
        <v>LorraineAutres</v>
      </c>
      <c r="N185" s="293" t="str">
        <f t="shared" si="11"/>
        <v>LorraineAutresPrunier</v>
      </c>
      <c r="P185" s="244" t="s">
        <v>24</v>
      </c>
      <c r="Q185" s="245" t="s">
        <v>173</v>
      </c>
      <c r="R185" s="245" t="s">
        <v>165</v>
      </c>
      <c r="S185" s="224"/>
      <c r="T185" s="224"/>
      <c r="U185" s="224"/>
      <c r="V185" s="227"/>
    </row>
    <row r="186" spans="2:22" x14ac:dyDescent="0.25">
      <c r="B186" t="str">
        <f t="shared" si="8"/>
        <v>LorraineCerisier</v>
      </c>
      <c r="C186" t="str">
        <f t="shared" si="9"/>
        <v>LorraineCerisierCerisier</v>
      </c>
      <c r="E186" s="234" t="s">
        <v>24</v>
      </c>
      <c r="F186" s="137" t="s">
        <v>135</v>
      </c>
      <c r="G186" s="137" t="s">
        <v>135</v>
      </c>
      <c r="H186" s="224">
        <v>0.12</v>
      </c>
      <c r="I186" s="224">
        <v>0.81</v>
      </c>
      <c r="J186" s="224">
        <v>3.02</v>
      </c>
      <c r="K186" s="227">
        <v>6.1</v>
      </c>
      <c r="L186" s="198"/>
      <c r="M186" s="293" t="str">
        <f t="shared" si="10"/>
        <v>LorraineCerisier</v>
      </c>
      <c r="N186" s="293" t="str">
        <f t="shared" si="11"/>
        <v>LorraineCerisierCerisier</v>
      </c>
      <c r="P186" s="244" t="s">
        <v>24</v>
      </c>
      <c r="Q186" s="245" t="s">
        <v>135</v>
      </c>
      <c r="R186" s="245" t="s">
        <v>135</v>
      </c>
      <c r="S186" s="224"/>
      <c r="T186" s="224"/>
      <c r="U186" s="224"/>
      <c r="V186" s="227"/>
    </row>
    <row r="187" spans="2:22" x14ac:dyDescent="0.25">
      <c r="B187" t="str">
        <f t="shared" si="8"/>
        <v>LorraineMirabellier</v>
      </c>
      <c r="C187" t="str">
        <f t="shared" si="9"/>
        <v>LorraineMirabellierAutres</v>
      </c>
      <c r="E187" s="234" t="s">
        <v>24</v>
      </c>
      <c r="F187" s="137" t="s">
        <v>148</v>
      </c>
      <c r="G187" s="137" t="s">
        <v>173</v>
      </c>
      <c r="H187" s="224">
        <v>0</v>
      </c>
      <c r="I187" s="224">
        <v>0.59</v>
      </c>
      <c r="J187" s="224">
        <v>1.5</v>
      </c>
      <c r="K187" s="227">
        <v>9.0500000000000007</v>
      </c>
      <c r="L187" s="198"/>
      <c r="M187" s="293" t="str">
        <f t="shared" si="10"/>
        <v>LorraineMirabellier</v>
      </c>
      <c r="N187" s="293" t="str">
        <f t="shared" si="11"/>
        <v>LorraineMirabellierAutres</v>
      </c>
      <c r="P187" s="244" t="s">
        <v>24</v>
      </c>
      <c r="Q187" s="245" t="s">
        <v>148</v>
      </c>
      <c r="R187" s="245" t="s">
        <v>173</v>
      </c>
      <c r="S187" s="224"/>
      <c r="T187" s="224"/>
      <c r="U187" s="224"/>
      <c r="V187" s="227"/>
    </row>
    <row r="188" spans="2:22" x14ac:dyDescent="0.25">
      <c r="B188" t="str">
        <f t="shared" si="8"/>
        <v>LorraineNectarinier</v>
      </c>
      <c r="C188" t="str">
        <f t="shared" si="9"/>
        <v>LorraineNectarinierNectarinier-Pêcher</v>
      </c>
      <c r="E188" s="234" t="s">
        <v>24</v>
      </c>
      <c r="F188" s="137" t="s">
        <v>154</v>
      </c>
      <c r="G188" s="137" t="s">
        <v>640</v>
      </c>
      <c r="H188" s="224">
        <v>0.03</v>
      </c>
      <c r="I188" s="224">
        <v>0.84</v>
      </c>
      <c r="J188" s="224">
        <v>9.25</v>
      </c>
      <c r="K188" s="227">
        <v>19.38</v>
      </c>
      <c r="L188" s="198"/>
      <c r="M188" s="293" t="str">
        <f t="shared" si="10"/>
        <v>LorraineNectarinier</v>
      </c>
      <c r="N188" s="293" t="str">
        <f t="shared" si="11"/>
        <v>LorraineNectarinierNectarinier-Pêcher</v>
      </c>
      <c r="P188" s="244" t="s">
        <v>24</v>
      </c>
      <c r="Q188" s="245" t="s">
        <v>154</v>
      </c>
      <c r="R188" s="245" t="s">
        <v>640</v>
      </c>
      <c r="S188" s="224"/>
      <c r="T188" s="224"/>
      <c r="U188" s="224"/>
      <c r="V188" s="227"/>
    </row>
    <row r="189" spans="2:22" x14ac:dyDescent="0.25">
      <c r="B189" t="str">
        <f t="shared" si="8"/>
        <v>LorraineNoyer</v>
      </c>
      <c r="C189" t="str">
        <f t="shared" si="9"/>
        <v>LorraineNoyerAutres</v>
      </c>
      <c r="E189" s="234" t="s">
        <v>24</v>
      </c>
      <c r="F189" s="137" t="s">
        <v>157</v>
      </c>
      <c r="G189" s="137" t="s">
        <v>173</v>
      </c>
      <c r="H189" s="224">
        <v>0</v>
      </c>
      <c r="I189" s="224">
        <v>0.59</v>
      </c>
      <c r="J189" s="224">
        <v>1.5</v>
      </c>
      <c r="K189" s="227">
        <v>9.0500000000000007</v>
      </c>
      <c r="L189" s="198"/>
      <c r="M189" s="293" t="str">
        <f t="shared" si="10"/>
        <v>LorraineNoyer</v>
      </c>
      <c r="N189" s="293" t="str">
        <f t="shared" si="11"/>
        <v>LorraineNoyerAutres</v>
      </c>
      <c r="P189" s="244" t="s">
        <v>24</v>
      </c>
      <c r="Q189" s="245" t="s">
        <v>157</v>
      </c>
      <c r="R189" s="245" t="s">
        <v>173</v>
      </c>
      <c r="S189" s="224"/>
      <c r="T189" s="224"/>
      <c r="U189" s="224"/>
      <c r="V189" s="227"/>
    </row>
    <row r="190" spans="2:22" x14ac:dyDescent="0.25">
      <c r="B190" t="str">
        <f t="shared" si="8"/>
        <v>LorrainePêcher</v>
      </c>
      <c r="C190" t="str">
        <f t="shared" si="9"/>
        <v>LorrainePêcherNectarinier-Pêcher</v>
      </c>
      <c r="E190" s="234" t="s">
        <v>24</v>
      </c>
      <c r="F190" s="137" t="s">
        <v>161</v>
      </c>
      <c r="G190" s="137" t="s">
        <v>640</v>
      </c>
      <c r="H190" s="224">
        <v>0.03</v>
      </c>
      <c r="I190" s="224">
        <v>0.84</v>
      </c>
      <c r="J190" s="224">
        <v>9.25</v>
      </c>
      <c r="K190" s="227">
        <v>19.38</v>
      </c>
      <c r="L190" s="198"/>
      <c r="M190" s="293" t="str">
        <f t="shared" si="10"/>
        <v>LorrainePêcher</v>
      </c>
      <c r="N190" s="293" t="str">
        <f t="shared" si="11"/>
        <v>LorrainePêcherNectarinier-Pêcher</v>
      </c>
      <c r="P190" s="244" t="s">
        <v>24</v>
      </c>
      <c r="Q190" s="245" t="s">
        <v>161</v>
      </c>
      <c r="R190" s="245" t="s">
        <v>640</v>
      </c>
      <c r="S190" s="224"/>
      <c r="T190" s="224"/>
      <c r="U190" s="224"/>
      <c r="V190" s="227"/>
    </row>
    <row r="191" spans="2:22" x14ac:dyDescent="0.25">
      <c r="B191" t="str">
        <f t="shared" si="8"/>
        <v>LorrainePoirier</v>
      </c>
      <c r="C191" t="str">
        <f t="shared" si="9"/>
        <v>LorrainePoirierAutres</v>
      </c>
      <c r="E191" s="234" t="s">
        <v>24</v>
      </c>
      <c r="F191" s="137" t="s">
        <v>162</v>
      </c>
      <c r="G191" s="137" t="s">
        <v>173</v>
      </c>
      <c r="H191" s="224">
        <v>0</v>
      </c>
      <c r="I191" s="224">
        <v>0.59</v>
      </c>
      <c r="J191" s="224">
        <v>1.5</v>
      </c>
      <c r="K191" s="227">
        <v>9.0500000000000007</v>
      </c>
      <c r="L191" s="198"/>
      <c r="M191" s="293" t="str">
        <f t="shared" si="10"/>
        <v>LorrainePoirier</v>
      </c>
      <c r="N191" s="293" t="str">
        <f t="shared" si="11"/>
        <v>LorrainePoirierAutres</v>
      </c>
      <c r="P191" s="244" t="s">
        <v>24</v>
      </c>
      <c r="Q191" s="245" t="s">
        <v>162</v>
      </c>
      <c r="R191" s="245" t="s">
        <v>173</v>
      </c>
      <c r="S191" s="224"/>
      <c r="T191" s="224"/>
      <c r="U191" s="224"/>
      <c r="V191" s="227"/>
    </row>
    <row r="192" spans="2:22" x14ac:dyDescent="0.25">
      <c r="B192" t="str">
        <f t="shared" si="8"/>
        <v>LorrainePommier</v>
      </c>
      <c r="C192" t="str">
        <f t="shared" si="9"/>
        <v>LorrainePommierPommier</v>
      </c>
      <c r="E192" s="234" t="s">
        <v>24</v>
      </c>
      <c r="F192" s="137" t="s">
        <v>164</v>
      </c>
      <c r="G192" s="137" t="s">
        <v>164</v>
      </c>
      <c r="H192" s="224">
        <v>0.06</v>
      </c>
      <c r="I192" s="224">
        <v>0.87</v>
      </c>
      <c r="J192" s="224">
        <v>2.38</v>
      </c>
      <c r="K192" s="227">
        <v>20.88</v>
      </c>
      <c r="L192" s="198"/>
      <c r="M192" s="293" t="str">
        <f t="shared" si="10"/>
        <v>LorrainePommier</v>
      </c>
      <c r="N192" s="293" t="str">
        <f t="shared" si="11"/>
        <v>LorrainePommierPommier</v>
      </c>
      <c r="P192" s="244" t="s">
        <v>24</v>
      </c>
      <c r="Q192" s="245" t="s">
        <v>164</v>
      </c>
      <c r="R192" s="245" t="s">
        <v>164</v>
      </c>
      <c r="S192" s="224"/>
      <c r="T192" s="224"/>
      <c r="U192" s="224"/>
      <c r="V192" s="227"/>
    </row>
    <row r="193" spans="2:22" ht="15.75" thickBot="1" x14ac:dyDescent="0.3">
      <c r="B193" t="str">
        <f t="shared" si="8"/>
        <v>LorrainePrunier</v>
      </c>
      <c r="C193" t="str">
        <f t="shared" si="9"/>
        <v>LorrainePrunierPrunier</v>
      </c>
      <c r="E193" s="235" t="s">
        <v>24</v>
      </c>
      <c r="F193" s="236" t="s">
        <v>165</v>
      </c>
      <c r="G193" s="236" t="s">
        <v>165</v>
      </c>
      <c r="H193" s="226">
        <v>0</v>
      </c>
      <c r="I193" s="226">
        <v>0.59</v>
      </c>
      <c r="J193" s="226">
        <v>1.5</v>
      </c>
      <c r="K193" s="228">
        <v>9.0500000000000007</v>
      </c>
      <c r="L193" s="198"/>
      <c r="M193" s="293" t="str">
        <f t="shared" si="10"/>
        <v>LorrainePrunier</v>
      </c>
      <c r="N193" s="293" t="str">
        <f t="shared" si="11"/>
        <v>LorrainePrunierPrunier</v>
      </c>
      <c r="P193" s="246" t="s">
        <v>24</v>
      </c>
      <c r="Q193" s="247" t="s">
        <v>165</v>
      </c>
      <c r="R193" s="247" t="s">
        <v>165</v>
      </c>
      <c r="S193" s="226"/>
      <c r="T193" s="226"/>
      <c r="U193" s="226"/>
      <c r="V193" s="228"/>
    </row>
    <row r="194" spans="2:22" ht="15.75" thickTop="1" x14ac:dyDescent="0.25">
      <c r="B194" t="str">
        <f t="shared" si="8"/>
        <v>MartiniqueAbricotier</v>
      </c>
      <c r="C194" t="str">
        <f t="shared" si="9"/>
        <v>MartiniqueAbricotierBananier</v>
      </c>
      <c r="E194" s="234" t="s">
        <v>290</v>
      </c>
      <c r="F194" s="137" t="s">
        <v>130</v>
      </c>
      <c r="G194" s="137" t="s">
        <v>174</v>
      </c>
      <c r="H194" s="224">
        <v>0.68</v>
      </c>
      <c r="I194" s="224">
        <v>2.21</v>
      </c>
      <c r="J194" s="224">
        <v>2.67</v>
      </c>
      <c r="K194" s="227">
        <v>6.78</v>
      </c>
      <c r="L194" s="198"/>
      <c r="M194" s="293" t="str">
        <f t="shared" si="10"/>
        <v>MartiniqueAbricotier</v>
      </c>
      <c r="N194" s="293" t="str">
        <f t="shared" si="11"/>
        <v>MartiniqueAbricotierBananier</v>
      </c>
      <c r="P194" s="244" t="s">
        <v>290</v>
      </c>
      <c r="Q194" s="245" t="s">
        <v>130</v>
      </c>
      <c r="R194" s="245" t="s">
        <v>174</v>
      </c>
      <c r="S194" s="224"/>
      <c r="T194" s="224"/>
      <c r="U194" s="224"/>
      <c r="V194" s="227"/>
    </row>
    <row r="195" spans="2:22" x14ac:dyDescent="0.25">
      <c r="B195" t="str">
        <f t="shared" si="8"/>
        <v>MartiniqueAgrumes</v>
      </c>
      <c r="C195" t="str">
        <f t="shared" si="9"/>
        <v>MartiniqueAgrumesBananier</v>
      </c>
      <c r="E195" s="234" t="s">
        <v>290</v>
      </c>
      <c r="F195" s="137" t="s">
        <v>639</v>
      </c>
      <c r="G195" s="137" t="s">
        <v>174</v>
      </c>
      <c r="H195" s="224">
        <v>0.68</v>
      </c>
      <c r="I195" s="224">
        <v>2.21</v>
      </c>
      <c r="J195" s="224">
        <v>2.67</v>
      </c>
      <c r="K195" s="227">
        <v>6.78</v>
      </c>
      <c r="L195" s="198"/>
      <c r="M195" s="293" t="str">
        <f t="shared" si="10"/>
        <v>MartiniqueAgrumes</v>
      </c>
      <c r="N195" s="293" t="str">
        <f t="shared" si="11"/>
        <v>MartiniqueAgrumesBananier</v>
      </c>
      <c r="P195" s="244" t="s">
        <v>290</v>
      </c>
      <c r="Q195" s="245" t="s">
        <v>639</v>
      </c>
      <c r="R195" s="245" t="s">
        <v>174</v>
      </c>
      <c r="S195" s="224"/>
      <c r="T195" s="224"/>
      <c r="U195" s="224"/>
      <c r="V195" s="227"/>
    </row>
    <row r="196" spans="2:22" x14ac:dyDescent="0.25">
      <c r="B196" t="str">
        <f t="shared" si="8"/>
        <v>MartiniqueAutres</v>
      </c>
      <c r="C196" t="str">
        <f t="shared" si="9"/>
        <v>MartiniqueAutresBananier</v>
      </c>
      <c r="E196" s="234" t="s">
        <v>290</v>
      </c>
      <c r="F196" s="137" t="s">
        <v>173</v>
      </c>
      <c r="G196" s="137" t="s">
        <v>174</v>
      </c>
      <c r="H196" s="224">
        <v>0.68</v>
      </c>
      <c r="I196" s="224">
        <v>2.21</v>
      </c>
      <c r="J196" s="224">
        <v>2.67</v>
      </c>
      <c r="K196" s="227">
        <v>6.78</v>
      </c>
      <c r="L196" s="198"/>
      <c r="M196" s="293" t="str">
        <f t="shared" si="10"/>
        <v>MartiniqueAutres</v>
      </c>
      <c r="N196" s="293" t="str">
        <f t="shared" si="11"/>
        <v>MartiniqueAutresBananier</v>
      </c>
      <c r="P196" s="244" t="s">
        <v>290</v>
      </c>
      <c r="Q196" s="245" t="s">
        <v>173</v>
      </c>
      <c r="R196" s="245" t="s">
        <v>174</v>
      </c>
      <c r="S196" s="224"/>
      <c r="T196" s="224"/>
      <c r="U196" s="224"/>
      <c r="V196" s="227"/>
    </row>
    <row r="197" spans="2:22" x14ac:dyDescent="0.25">
      <c r="B197" t="str">
        <f t="shared" si="8"/>
        <v>MartiniqueBananier</v>
      </c>
      <c r="C197" t="str">
        <f t="shared" si="9"/>
        <v>MartiniqueBananierBananier</v>
      </c>
      <c r="E197" s="234" t="s">
        <v>290</v>
      </c>
      <c r="F197" s="137" t="s">
        <v>174</v>
      </c>
      <c r="G197" s="137" t="s">
        <v>174</v>
      </c>
      <c r="H197" s="224">
        <v>0.68</v>
      </c>
      <c r="I197" s="224">
        <v>2.21</v>
      </c>
      <c r="J197" s="224">
        <v>2.67</v>
      </c>
      <c r="K197" s="227">
        <v>6.78</v>
      </c>
      <c r="L197" s="198"/>
      <c r="M197" s="293" t="str">
        <f t="shared" si="10"/>
        <v>MartiniqueBananier</v>
      </c>
      <c r="N197" s="293" t="str">
        <f t="shared" si="11"/>
        <v>MartiniqueBananierBananier</v>
      </c>
      <c r="P197" s="244" t="s">
        <v>290</v>
      </c>
      <c r="Q197" s="245" t="s">
        <v>174</v>
      </c>
      <c r="R197" s="245" t="s">
        <v>174</v>
      </c>
      <c r="S197" s="224"/>
      <c r="T197" s="224"/>
      <c r="U197" s="224"/>
      <c r="V197" s="227"/>
    </row>
    <row r="198" spans="2:22" x14ac:dyDescent="0.25">
      <c r="B198" t="str">
        <f t="shared" ref="B198:B261" si="12">E198&amp;F198</f>
        <v>MartiniqueCerisier</v>
      </c>
      <c r="C198" t="str">
        <f t="shared" ref="C198:C261" si="13">E198&amp;F198&amp;G198</f>
        <v>MartiniqueCerisierBananier</v>
      </c>
      <c r="E198" s="234" t="s">
        <v>290</v>
      </c>
      <c r="F198" s="137" t="s">
        <v>135</v>
      </c>
      <c r="G198" s="137" t="s">
        <v>174</v>
      </c>
      <c r="H198" s="224">
        <v>0.68</v>
      </c>
      <c r="I198" s="224">
        <v>2.21</v>
      </c>
      <c r="J198" s="224">
        <v>2.67</v>
      </c>
      <c r="K198" s="227">
        <v>6.78</v>
      </c>
      <c r="L198" s="198"/>
      <c r="M198" s="293" t="str">
        <f t="shared" ref="M198:M261" si="14">P198&amp;Q198</f>
        <v>MartiniqueCerisier</v>
      </c>
      <c r="N198" s="293" t="str">
        <f t="shared" ref="N198:N261" si="15">P198&amp;Q198&amp;R198</f>
        <v>MartiniqueCerisierBananier</v>
      </c>
      <c r="P198" s="244" t="s">
        <v>290</v>
      </c>
      <c r="Q198" s="245" t="s">
        <v>135</v>
      </c>
      <c r="R198" s="245" t="s">
        <v>174</v>
      </c>
      <c r="S198" s="224"/>
      <c r="T198" s="224"/>
      <c r="U198" s="224"/>
      <c r="V198" s="227"/>
    </row>
    <row r="199" spans="2:22" x14ac:dyDescent="0.25">
      <c r="B199" t="str">
        <f t="shared" si="12"/>
        <v>MartiniqueMirabellier</v>
      </c>
      <c r="C199" t="str">
        <f t="shared" si="13"/>
        <v>MartiniqueMirabellierBananier</v>
      </c>
      <c r="E199" s="234" t="s">
        <v>290</v>
      </c>
      <c r="F199" s="137" t="s">
        <v>148</v>
      </c>
      <c r="G199" s="137" t="s">
        <v>174</v>
      </c>
      <c r="H199" s="224">
        <v>0.68</v>
      </c>
      <c r="I199" s="224">
        <v>2.21</v>
      </c>
      <c r="J199" s="224">
        <v>2.67</v>
      </c>
      <c r="K199" s="227">
        <v>6.78</v>
      </c>
      <c r="L199" s="198"/>
      <c r="M199" s="293" t="str">
        <f t="shared" si="14"/>
        <v>MartiniqueMirabellier</v>
      </c>
      <c r="N199" s="293" t="str">
        <f t="shared" si="15"/>
        <v>MartiniqueMirabellierBananier</v>
      </c>
      <c r="P199" s="244" t="s">
        <v>290</v>
      </c>
      <c r="Q199" s="245" t="s">
        <v>148</v>
      </c>
      <c r="R199" s="245" t="s">
        <v>174</v>
      </c>
      <c r="S199" s="224"/>
      <c r="T199" s="224"/>
      <c r="U199" s="224"/>
      <c r="V199" s="227"/>
    </row>
    <row r="200" spans="2:22" x14ac:dyDescent="0.25">
      <c r="B200" t="str">
        <f t="shared" si="12"/>
        <v>MartiniqueNectarinier</v>
      </c>
      <c r="C200" t="str">
        <f t="shared" si="13"/>
        <v>MartiniqueNectarinierBananier</v>
      </c>
      <c r="E200" s="234" t="s">
        <v>290</v>
      </c>
      <c r="F200" s="137" t="s">
        <v>154</v>
      </c>
      <c r="G200" s="137" t="s">
        <v>174</v>
      </c>
      <c r="H200" s="224">
        <v>0.68</v>
      </c>
      <c r="I200" s="224">
        <v>2.21</v>
      </c>
      <c r="J200" s="224">
        <v>2.67</v>
      </c>
      <c r="K200" s="227">
        <v>6.78</v>
      </c>
      <c r="L200" s="198"/>
      <c r="M200" s="293" t="str">
        <f t="shared" si="14"/>
        <v>MartiniqueNectarinier</v>
      </c>
      <c r="N200" s="293" t="str">
        <f t="shared" si="15"/>
        <v>MartiniqueNectarinierBananier</v>
      </c>
      <c r="P200" s="244" t="s">
        <v>290</v>
      </c>
      <c r="Q200" s="245" t="s">
        <v>154</v>
      </c>
      <c r="R200" s="245" t="s">
        <v>174</v>
      </c>
      <c r="S200" s="224"/>
      <c r="T200" s="224"/>
      <c r="U200" s="224"/>
      <c r="V200" s="227"/>
    </row>
    <row r="201" spans="2:22" x14ac:dyDescent="0.25">
      <c r="B201" t="str">
        <f t="shared" si="12"/>
        <v>MartiniqueNoyer</v>
      </c>
      <c r="C201" t="str">
        <f t="shared" si="13"/>
        <v>MartiniqueNoyerBananier</v>
      </c>
      <c r="E201" s="234" t="s">
        <v>290</v>
      </c>
      <c r="F201" s="137" t="s">
        <v>157</v>
      </c>
      <c r="G201" s="137" t="s">
        <v>174</v>
      </c>
      <c r="H201" s="224">
        <v>0.68</v>
      </c>
      <c r="I201" s="224">
        <v>2.21</v>
      </c>
      <c r="J201" s="224">
        <v>2.67</v>
      </c>
      <c r="K201" s="227">
        <v>6.78</v>
      </c>
      <c r="L201" s="198"/>
      <c r="M201" s="293" t="str">
        <f t="shared" si="14"/>
        <v>MartiniqueNoyer</v>
      </c>
      <c r="N201" s="293" t="str">
        <f t="shared" si="15"/>
        <v>MartiniqueNoyerBananier</v>
      </c>
      <c r="P201" s="244" t="s">
        <v>290</v>
      </c>
      <c r="Q201" s="245" t="s">
        <v>157</v>
      </c>
      <c r="R201" s="245" t="s">
        <v>174</v>
      </c>
      <c r="S201" s="224"/>
      <c r="T201" s="224"/>
      <c r="U201" s="224"/>
      <c r="V201" s="227"/>
    </row>
    <row r="202" spans="2:22" x14ac:dyDescent="0.25">
      <c r="B202" t="str">
        <f t="shared" si="12"/>
        <v>MartiniquePêcher</v>
      </c>
      <c r="C202" t="str">
        <f t="shared" si="13"/>
        <v>MartiniquePêcherBananier</v>
      </c>
      <c r="E202" s="234" t="s">
        <v>290</v>
      </c>
      <c r="F202" s="137" t="s">
        <v>161</v>
      </c>
      <c r="G202" s="137" t="s">
        <v>174</v>
      </c>
      <c r="H202" s="224">
        <v>0.68</v>
      </c>
      <c r="I202" s="224">
        <v>2.21</v>
      </c>
      <c r="J202" s="224">
        <v>2.67</v>
      </c>
      <c r="K202" s="227">
        <v>6.78</v>
      </c>
      <c r="L202" s="198"/>
      <c r="M202" s="293" t="str">
        <f t="shared" si="14"/>
        <v>MartiniquePêcher</v>
      </c>
      <c r="N202" s="293" t="str">
        <f t="shared" si="15"/>
        <v>MartiniquePêcherBananier</v>
      </c>
      <c r="P202" s="244" t="s">
        <v>290</v>
      </c>
      <c r="Q202" s="245" t="s">
        <v>161</v>
      </c>
      <c r="R202" s="245" t="s">
        <v>174</v>
      </c>
      <c r="S202" s="224"/>
      <c r="T202" s="224"/>
      <c r="U202" s="224"/>
      <c r="V202" s="227"/>
    </row>
    <row r="203" spans="2:22" x14ac:dyDescent="0.25">
      <c r="B203" t="str">
        <f t="shared" si="12"/>
        <v>MartiniquePoirier</v>
      </c>
      <c r="C203" t="str">
        <f t="shared" si="13"/>
        <v>MartiniquePoirierBananier</v>
      </c>
      <c r="E203" s="234" t="s">
        <v>290</v>
      </c>
      <c r="F203" s="137" t="s">
        <v>162</v>
      </c>
      <c r="G203" s="137" t="s">
        <v>174</v>
      </c>
      <c r="H203" s="224">
        <v>0.68</v>
      </c>
      <c r="I203" s="224">
        <v>2.21</v>
      </c>
      <c r="J203" s="224">
        <v>2.67</v>
      </c>
      <c r="K203" s="227">
        <v>6.78</v>
      </c>
      <c r="L203" s="198"/>
      <c r="M203" s="293" t="str">
        <f t="shared" si="14"/>
        <v>MartiniquePoirier</v>
      </c>
      <c r="N203" s="293" t="str">
        <f t="shared" si="15"/>
        <v>MartiniquePoirierBananier</v>
      </c>
      <c r="P203" s="244" t="s">
        <v>290</v>
      </c>
      <c r="Q203" s="245" t="s">
        <v>162</v>
      </c>
      <c r="R203" s="245" t="s">
        <v>174</v>
      </c>
      <c r="S203" s="224"/>
      <c r="T203" s="224"/>
      <c r="U203" s="224"/>
      <c r="V203" s="227"/>
    </row>
    <row r="204" spans="2:22" x14ac:dyDescent="0.25">
      <c r="B204" t="str">
        <f t="shared" si="12"/>
        <v>MartiniquePommier</v>
      </c>
      <c r="C204" t="str">
        <f t="shared" si="13"/>
        <v>MartiniquePommierBananier</v>
      </c>
      <c r="E204" s="234" t="s">
        <v>290</v>
      </c>
      <c r="F204" s="137" t="s">
        <v>164</v>
      </c>
      <c r="G204" s="137" t="s">
        <v>174</v>
      </c>
      <c r="H204" s="224">
        <v>0.68</v>
      </c>
      <c r="I204" s="224">
        <v>2.21</v>
      </c>
      <c r="J204" s="224">
        <v>2.67</v>
      </c>
      <c r="K204" s="227">
        <v>6.78</v>
      </c>
      <c r="L204" s="198"/>
      <c r="M204" s="293" t="str">
        <f t="shared" si="14"/>
        <v>MartiniquePommier</v>
      </c>
      <c r="N204" s="293" t="str">
        <f t="shared" si="15"/>
        <v>MartiniquePommierBananier</v>
      </c>
      <c r="P204" s="244" t="s">
        <v>290</v>
      </c>
      <c r="Q204" s="245" t="s">
        <v>164</v>
      </c>
      <c r="R204" s="245" t="s">
        <v>174</v>
      </c>
      <c r="S204" s="224"/>
      <c r="T204" s="224"/>
      <c r="U204" s="224"/>
      <c r="V204" s="227"/>
    </row>
    <row r="205" spans="2:22" ht="15.75" thickBot="1" x14ac:dyDescent="0.3">
      <c r="B205" t="str">
        <f t="shared" si="12"/>
        <v>MartiniquePrunier</v>
      </c>
      <c r="C205" t="str">
        <f t="shared" si="13"/>
        <v>MartiniquePrunierBananier</v>
      </c>
      <c r="E205" s="235" t="s">
        <v>290</v>
      </c>
      <c r="F205" s="236" t="s">
        <v>165</v>
      </c>
      <c r="G205" s="236" t="s">
        <v>174</v>
      </c>
      <c r="H205" s="226">
        <v>0.68</v>
      </c>
      <c r="I205" s="226">
        <v>2.21</v>
      </c>
      <c r="J205" s="226">
        <v>2.67</v>
      </c>
      <c r="K205" s="228">
        <v>6.78</v>
      </c>
      <c r="L205" s="198"/>
      <c r="M205" s="293" t="str">
        <f t="shared" si="14"/>
        <v>MartiniquePrunier</v>
      </c>
      <c r="N205" s="293" t="str">
        <f t="shared" si="15"/>
        <v>MartiniquePrunierBananier</v>
      </c>
      <c r="P205" s="246" t="s">
        <v>290</v>
      </c>
      <c r="Q205" s="247" t="s">
        <v>165</v>
      </c>
      <c r="R205" s="247" t="s">
        <v>174</v>
      </c>
      <c r="S205" s="226"/>
      <c r="T205" s="226"/>
      <c r="U205" s="226"/>
      <c r="V205" s="228"/>
    </row>
    <row r="206" spans="2:22" ht="15.75" thickTop="1" x14ac:dyDescent="0.25">
      <c r="B206" t="str">
        <f t="shared" si="12"/>
        <v>Midi-PyrénéesAbricotier</v>
      </c>
      <c r="C206" t="str">
        <f t="shared" si="13"/>
        <v>Midi-PyrénéesAbricotierAbricotier</v>
      </c>
      <c r="E206" s="234" t="s">
        <v>25</v>
      </c>
      <c r="F206" s="137" t="s">
        <v>130</v>
      </c>
      <c r="G206" s="137" t="s">
        <v>130</v>
      </c>
      <c r="H206" s="224">
        <v>0.01</v>
      </c>
      <c r="I206" s="224">
        <v>0.5</v>
      </c>
      <c r="J206" s="224">
        <v>5.18</v>
      </c>
      <c r="K206" s="227">
        <v>10.47</v>
      </c>
      <c r="L206" s="198"/>
      <c r="M206" s="293" t="str">
        <f t="shared" si="14"/>
        <v>Midi-PyrénéesAbricotier</v>
      </c>
      <c r="N206" s="293" t="str">
        <f t="shared" si="15"/>
        <v>Midi-PyrénéesAbricotierAbricotier</v>
      </c>
      <c r="P206" s="244" t="s">
        <v>25</v>
      </c>
      <c r="Q206" s="245" t="s">
        <v>130</v>
      </c>
      <c r="R206" s="245" t="s">
        <v>130</v>
      </c>
      <c r="S206" s="224"/>
      <c r="T206" s="224"/>
      <c r="U206" s="224"/>
      <c r="V206" s="227"/>
    </row>
    <row r="207" spans="2:22" x14ac:dyDescent="0.25">
      <c r="B207" t="str">
        <f t="shared" si="12"/>
        <v>Midi-PyrénéesAgrumes</v>
      </c>
      <c r="C207" t="str">
        <f t="shared" si="13"/>
        <v>Midi-PyrénéesAgrumesClémentinier</v>
      </c>
      <c r="E207" s="234" t="s">
        <v>25</v>
      </c>
      <c r="F207" s="137" t="s">
        <v>639</v>
      </c>
      <c r="G207" s="137" t="s">
        <v>138</v>
      </c>
      <c r="H207" s="224">
        <v>0</v>
      </c>
      <c r="I207" s="224">
        <v>0.3</v>
      </c>
      <c r="J207" s="224">
        <v>2</v>
      </c>
      <c r="K207" s="227">
        <v>5</v>
      </c>
      <c r="L207" s="198"/>
      <c r="M207" s="293" t="str">
        <f t="shared" si="14"/>
        <v>Midi-PyrénéesAgrumes</v>
      </c>
      <c r="N207" s="293" t="str">
        <f t="shared" si="15"/>
        <v>Midi-PyrénéesAgrumesClémentinier</v>
      </c>
      <c r="P207" s="244" t="s">
        <v>25</v>
      </c>
      <c r="Q207" s="245" t="s">
        <v>639</v>
      </c>
      <c r="R207" s="245" t="s">
        <v>138</v>
      </c>
      <c r="S207" s="224"/>
      <c r="T207" s="224"/>
      <c r="U207" s="224"/>
      <c r="V207" s="227"/>
    </row>
    <row r="208" spans="2:22" x14ac:dyDescent="0.25">
      <c r="B208" t="str">
        <f t="shared" si="12"/>
        <v>Midi-PyrénéesAutres</v>
      </c>
      <c r="C208" t="str">
        <f t="shared" si="13"/>
        <v>Midi-PyrénéesAutresPrunier</v>
      </c>
      <c r="E208" s="234" t="s">
        <v>25</v>
      </c>
      <c r="F208" s="137" t="s">
        <v>173</v>
      </c>
      <c r="G208" s="137" t="s">
        <v>165</v>
      </c>
      <c r="H208" s="224">
        <v>0.02</v>
      </c>
      <c r="I208" s="224">
        <v>0.38</v>
      </c>
      <c r="J208" s="224">
        <v>5.99</v>
      </c>
      <c r="K208" s="227">
        <v>10.46</v>
      </c>
      <c r="L208" s="198"/>
      <c r="M208" s="293" t="str">
        <f t="shared" si="14"/>
        <v>Midi-PyrénéesAutres</v>
      </c>
      <c r="N208" s="293" t="str">
        <f t="shared" si="15"/>
        <v>Midi-PyrénéesAutresPrunier</v>
      </c>
      <c r="P208" s="244" t="s">
        <v>25</v>
      </c>
      <c r="Q208" s="245" t="s">
        <v>173</v>
      </c>
      <c r="R208" s="245" t="s">
        <v>165</v>
      </c>
      <c r="S208" s="224"/>
      <c r="T208" s="224"/>
      <c r="U208" s="224"/>
      <c r="V208" s="227"/>
    </row>
    <row r="209" spans="2:22" x14ac:dyDescent="0.25">
      <c r="B209" t="str">
        <f t="shared" si="12"/>
        <v>Midi-PyrénéesCerisier</v>
      </c>
      <c r="C209" t="str">
        <f t="shared" si="13"/>
        <v>Midi-PyrénéesCerisierCerisier</v>
      </c>
      <c r="E209" s="234" t="s">
        <v>25</v>
      </c>
      <c r="F209" s="137" t="s">
        <v>135</v>
      </c>
      <c r="G209" s="137" t="s">
        <v>135</v>
      </c>
      <c r="H209" s="224">
        <v>0.03</v>
      </c>
      <c r="I209" s="224">
        <v>0.5</v>
      </c>
      <c r="J209" s="224">
        <v>6.03</v>
      </c>
      <c r="K209" s="227">
        <v>8.83</v>
      </c>
      <c r="L209" s="198"/>
      <c r="M209" s="293" t="str">
        <f t="shared" si="14"/>
        <v>Midi-PyrénéesCerisier</v>
      </c>
      <c r="N209" s="293" t="str">
        <f t="shared" si="15"/>
        <v>Midi-PyrénéesCerisierCerisier</v>
      </c>
      <c r="P209" s="244" t="s">
        <v>25</v>
      </c>
      <c r="Q209" s="245" t="s">
        <v>135</v>
      </c>
      <c r="R209" s="245" t="s">
        <v>135</v>
      </c>
      <c r="S209" s="224"/>
      <c r="T209" s="224"/>
      <c r="U209" s="224"/>
      <c r="V209" s="227"/>
    </row>
    <row r="210" spans="2:22" x14ac:dyDescent="0.25">
      <c r="B210" t="str">
        <f t="shared" si="12"/>
        <v>Midi-PyrénéesMirabellier</v>
      </c>
      <c r="C210" t="str">
        <f t="shared" si="13"/>
        <v>Midi-PyrénéesMirabellierAutres</v>
      </c>
      <c r="E210" s="234" t="s">
        <v>25</v>
      </c>
      <c r="F210" s="137" t="s">
        <v>148</v>
      </c>
      <c r="G210" s="137" t="s">
        <v>173</v>
      </c>
      <c r="H210" s="224">
        <v>0.02</v>
      </c>
      <c r="I210" s="224">
        <v>0.38</v>
      </c>
      <c r="J210" s="224">
        <v>5.99</v>
      </c>
      <c r="K210" s="227">
        <v>10.46</v>
      </c>
      <c r="L210" s="198"/>
      <c r="M210" s="293" t="str">
        <f t="shared" si="14"/>
        <v>Midi-PyrénéesMirabellier</v>
      </c>
      <c r="N210" s="293" t="str">
        <f t="shared" si="15"/>
        <v>Midi-PyrénéesMirabellierAutres</v>
      </c>
      <c r="P210" s="244" t="s">
        <v>25</v>
      </c>
      <c r="Q210" s="245" t="s">
        <v>148</v>
      </c>
      <c r="R210" s="245" t="s">
        <v>173</v>
      </c>
      <c r="S210" s="224"/>
      <c r="T210" s="224"/>
      <c r="U210" s="224"/>
      <c r="V210" s="227"/>
    </row>
    <row r="211" spans="2:22" x14ac:dyDescent="0.25">
      <c r="B211" t="str">
        <f t="shared" si="12"/>
        <v>Midi-PyrénéesNectarinier</v>
      </c>
      <c r="C211" t="str">
        <f t="shared" si="13"/>
        <v>Midi-PyrénéesNectarinierNectarinier-Pêcher</v>
      </c>
      <c r="E211" s="234" t="s">
        <v>25</v>
      </c>
      <c r="F211" s="137" t="s">
        <v>154</v>
      </c>
      <c r="G211" s="137" t="s">
        <v>640</v>
      </c>
      <c r="H211" s="224">
        <v>0.05</v>
      </c>
      <c r="I211" s="224">
        <v>0.45</v>
      </c>
      <c r="J211" s="224">
        <v>9.1999999999999993</v>
      </c>
      <c r="K211" s="227">
        <v>16.04</v>
      </c>
      <c r="L211" s="198"/>
      <c r="M211" s="293" t="str">
        <f t="shared" si="14"/>
        <v>Midi-PyrénéesNectarinier</v>
      </c>
      <c r="N211" s="293" t="str">
        <f t="shared" si="15"/>
        <v>Midi-PyrénéesNectarinierNectarinier-Pêcher</v>
      </c>
      <c r="P211" s="244" t="s">
        <v>25</v>
      </c>
      <c r="Q211" s="245" t="s">
        <v>154</v>
      </c>
      <c r="R211" s="245" t="s">
        <v>640</v>
      </c>
      <c r="S211" s="224"/>
      <c r="T211" s="224"/>
      <c r="U211" s="224"/>
      <c r="V211" s="227"/>
    </row>
    <row r="212" spans="2:22" x14ac:dyDescent="0.25">
      <c r="B212" t="str">
        <f t="shared" si="12"/>
        <v>Midi-PyrénéesNoyer</v>
      </c>
      <c r="C212" t="str">
        <f t="shared" si="13"/>
        <v>Midi-PyrénéesNoyerAutres</v>
      </c>
      <c r="E212" s="234" t="s">
        <v>25</v>
      </c>
      <c r="F212" s="137" t="s">
        <v>157</v>
      </c>
      <c r="G212" s="137" t="s">
        <v>173</v>
      </c>
      <c r="H212" s="224">
        <v>0.02</v>
      </c>
      <c r="I212" s="224">
        <v>0.38</v>
      </c>
      <c r="J212" s="224">
        <v>5.99</v>
      </c>
      <c r="K212" s="227">
        <v>10.46</v>
      </c>
      <c r="L212" s="198"/>
      <c r="M212" s="293" t="str">
        <f t="shared" si="14"/>
        <v>Midi-PyrénéesNoyer</v>
      </c>
      <c r="N212" s="293" t="str">
        <f t="shared" si="15"/>
        <v>Midi-PyrénéesNoyerAutres</v>
      </c>
      <c r="P212" s="244" t="s">
        <v>25</v>
      </c>
      <c r="Q212" s="245" t="s">
        <v>157</v>
      </c>
      <c r="R212" s="245" t="s">
        <v>173</v>
      </c>
      <c r="S212" s="224"/>
      <c r="T212" s="224"/>
      <c r="U212" s="224"/>
      <c r="V212" s="227"/>
    </row>
    <row r="213" spans="2:22" x14ac:dyDescent="0.25">
      <c r="B213" t="str">
        <f t="shared" si="12"/>
        <v>Midi-PyrénéesPêcher</v>
      </c>
      <c r="C213" t="str">
        <f t="shared" si="13"/>
        <v>Midi-PyrénéesPêcherNectarinier-Pêcher</v>
      </c>
      <c r="E213" s="234" t="s">
        <v>25</v>
      </c>
      <c r="F213" s="137" t="s">
        <v>161</v>
      </c>
      <c r="G213" s="137" t="s">
        <v>640</v>
      </c>
      <c r="H213" s="224">
        <v>0.05</v>
      </c>
      <c r="I213" s="224">
        <v>0.45</v>
      </c>
      <c r="J213" s="224">
        <v>9.1999999999999993</v>
      </c>
      <c r="K213" s="227">
        <v>16.04</v>
      </c>
      <c r="L213" s="198"/>
      <c r="M213" s="293" t="str">
        <f t="shared" si="14"/>
        <v>Midi-PyrénéesPêcher</v>
      </c>
      <c r="N213" s="293" t="str">
        <f t="shared" si="15"/>
        <v>Midi-PyrénéesPêcherNectarinier-Pêcher</v>
      </c>
      <c r="P213" s="244" t="s">
        <v>25</v>
      </c>
      <c r="Q213" s="245" t="s">
        <v>161</v>
      </c>
      <c r="R213" s="245" t="s">
        <v>640</v>
      </c>
      <c r="S213" s="224"/>
      <c r="T213" s="224"/>
      <c r="U213" s="224"/>
      <c r="V213" s="227"/>
    </row>
    <row r="214" spans="2:22" x14ac:dyDescent="0.25">
      <c r="B214" t="str">
        <f t="shared" si="12"/>
        <v>Midi-PyrénéesPoirier</v>
      </c>
      <c r="C214" t="str">
        <f t="shared" si="13"/>
        <v>Midi-PyrénéesPoirierAutres</v>
      </c>
      <c r="E214" s="234" t="s">
        <v>25</v>
      </c>
      <c r="F214" s="137" t="s">
        <v>162</v>
      </c>
      <c r="G214" s="137" t="s">
        <v>173</v>
      </c>
      <c r="H214" s="224">
        <v>0.02</v>
      </c>
      <c r="I214" s="224">
        <v>0.38</v>
      </c>
      <c r="J214" s="224">
        <v>5.99</v>
      </c>
      <c r="K214" s="227">
        <v>10.46</v>
      </c>
      <c r="L214" s="198"/>
      <c r="M214" s="293" t="str">
        <f t="shared" si="14"/>
        <v>Midi-PyrénéesPoirier</v>
      </c>
      <c r="N214" s="293" t="str">
        <f t="shared" si="15"/>
        <v>Midi-PyrénéesPoirierAutres</v>
      </c>
      <c r="P214" s="244" t="s">
        <v>25</v>
      </c>
      <c r="Q214" s="245" t="s">
        <v>162</v>
      </c>
      <c r="R214" s="245" t="s">
        <v>173</v>
      </c>
      <c r="S214" s="224"/>
      <c r="T214" s="224"/>
      <c r="U214" s="224"/>
      <c r="V214" s="227"/>
    </row>
    <row r="215" spans="2:22" x14ac:dyDescent="0.25">
      <c r="B215" t="str">
        <f t="shared" si="12"/>
        <v>Midi-PyrénéesPommier</v>
      </c>
      <c r="C215" t="str">
        <f t="shared" si="13"/>
        <v>Midi-PyrénéesPommierPommier</v>
      </c>
      <c r="E215" s="234" t="s">
        <v>25</v>
      </c>
      <c r="F215" s="137" t="s">
        <v>164</v>
      </c>
      <c r="G215" s="137" t="s">
        <v>164</v>
      </c>
      <c r="H215" s="224">
        <v>0.18</v>
      </c>
      <c r="I215" s="224">
        <v>1.08</v>
      </c>
      <c r="J215" s="224">
        <v>21.67</v>
      </c>
      <c r="K215" s="227">
        <v>35.19</v>
      </c>
      <c r="L215" s="198"/>
      <c r="M215" s="293" t="str">
        <f t="shared" si="14"/>
        <v>Midi-PyrénéesPommier</v>
      </c>
      <c r="N215" s="293" t="str">
        <f t="shared" si="15"/>
        <v>Midi-PyrénéesPommierPommier</v>
      </c>
      <c r="P215" s="244" t="s">
        <v>25</v>
      </c>
      <c r="Q215" s="245" t="s">
        <v>164</v>
      </c>
      <c r="R215" s="245" t="s">
        <v>164</v>
      </c>
      <c r="S215" s="224"/>
      <c r="T215" s="224"/>
      <c r="U215" s="224"/>
      <c r="V215" s="227"/>
    </row>
    <row r="216" spans="2:22" ht="15.75" thickBot="1" x14ac:dyDescent="0.3">
      <c r="B216" t="str">
        <f t="shared" si="12"/>
        <v>Midi-PyrénéesPrunier</v>
      </c>
      <c r="C216" t="str">
        <f t="shared" si="13"/>
        <v>Midi-PyrénéesPrunierPrunier</v>
      </c>
      <c r="E216" s="235" t="s">
        <v>25</v>
      </c>
      <c r="F216" s="236" t="s">
        <v>165</v>
      </c>
      <c r="G216" s="236" t="s">
        <v>165</v>
      </c>
      <c r="H216" s="226">
        <v>0.02</v>
      </c>
      <c r="I216" s="226">
        <v>0.38</v>
      </c>
      <c r="J216" s="226">
        <v>5.99</v>
      </c>
      <c r="K216" s="228">
        <v>10.46</v>
      </c>
      <c r="L216" s="198"/>
      <c r="M216" s="293" t="str">
        <f t="shared" si="14"/>
        <v>Midi-PyrénéesPrunier</v>
      </c>
      <c r="N216" s="293" t="str">
        <f t="shared" si="15"/>
        <v>Midi-PyrénéesPrunierPrunier</v>
      </c>
      <c r="P216" s="246" t="s">
        <v>25</v>
      </c>
      <c r="Q216" s="247" t="s">
        <v>165</v>
      </c>
      <c r="R216" s="247" t="s">
        <v>165</v>
      </c>
      <c r="S216" s="226"/>
      <c r="T216" s="226"/>
      <c r="U216" s="226"/>
      <c r="V216" s="228"/>
    </row>
    <row r="217" spans="2:22" ht="15.75" thickTop="1" x14ac:dyDescent="0.25">
      <c r="B217" t="str">
        <f t="shared" si="12"/>
        <v>Nord-Pas-de-CalaisAbricotier</v>
      </c>
      <c r="C217" t="str">
        <f t="shared" si="13"/>
        <v>Nord-Pas-de-CalaisAbricotierAbricotier</v>
      </c>
      <c r="E217" s="234" t="s">
        <v>26</v>
      </c>
      <c r="F217" s="137" t="s">
        <v>130</v>
      </c>
      <c r="G217" s="137" t="s">
        <v>130</v>
      </c>
      <c r="H217" s="224">
        <v>0.01</v>
      </c>
      <c r="I217" s="224">
        <v>0.62</v>
      </c>
      <c r="J217" s="224">
        <v>5.1100000000000003</v>
      </c>
      <c r="K217" s="227">
        <v>10.66</v>
      </c>
      <c r="L217" s="198"/>
      <c r="M217" s="293" t="str">
        <f t="shared" si="14"/>
        <v>Nord-Pas-de-CalaisAbricotier</v>
      </c>
      <c r="N217" s="293" t="str">
        <f t="shared" si="15"/>
        <v>Nord-Pas-de-CalaisAbricotierAbricotier</v>
      </c>
      <c r="P217" s="244" t="s">
        <v>26</v>
      </c>
      <c r="Q217" s="245" t="s">
        <v>130</v>
      </c>
      <c r="R217" s="245" t="s">
        <v>130</v>
      </c>
      <c r="S217" s="224"/>
      <c r="T217" s="224"/>
      <c r="U217" s="224"/>
      <c r="V217" s="227"/>
    </row>
    <row r="218" spans="2:22" x14ac:dyDescent="0.25">
      <c r="B218" t="str">
        <f t="shared" si="12"/>
        <v>Nord-Pas-de-CalaisAgrumes</v>
      </c>
      <c r="C218" t="str">
        <f t="shared" si="13"/>
        <v>Nord-Pas-de-CalaisAgrumesClémentinier</v>
      </c>
      <c r="E218" s="234" t="s">
        <v>26</v>
      </c>
      <c r="F218" s="137" t="s">
        <v>639</v>
      </c>
      <c r="G218" s="137" t="s">
        <v>138</v>
      </c>
      <c r="H218" s="224">
        <v>0</v>
      </c>
      <c r="I218" s="224">
        <v>0.3</v>
      </c>
      <c r="J218" s="224">
        <v>2</v>
      </c>
      <c r="K218" s="227">
        <v>5</v>
      </c>
      <c r="L218" s="198"/>
      <c r="M218" s="293" t="str">
        <f t="shared" si="14"/>
        <v>Nord-Pas-de-CalaisAgrumes</v>
      </c>
      <c r="N218" s="293" t="str">
        <f t="shared" si="15"/>
        <v>Nord-Pas-de-CalaisAgrumesClémentinier</v>
      </c>
      <c r="P218" s="244" t="s">
        <v>26</v>
      </c>
      <c r="Q218" s="245" t="s">
        <v>639</v>
      </c>
      <c r="R218" s="245" t="s">
        <v>138</v>
      </c>
      <c r="S218" s="224"/>
      <c r="T218" s="224"/>
      <c r="U218" s="224"/>
      <c r="V218" s="227"/>
    </row>
    <row r="219" spans="2:22" x14ac:dyDescent="0.25">
      <c r="B219" t="str">
        <f t="shared" si="12"/>
        <v>Nord-Pas-de-CalaisAutres</v>
      </c>
      <c r="C219" t="str">
        <f t="shared" si="13"/>
        <v>Nord-Pas-de-CalaisAutresPrunier</v>
      </c>
      <c r="E219" s="234" t="s">
        <v>26</v>
      </c>
      <c r="F219" s="137" t="s">
        <v>173</v>
      </c>
      <c r="G219" s="137" t="s">
        <v>165</v>
      </c>
      <c r="H219" s="224">
        <v>0.01</v>
      </c>
      <c r="I219" s="224">
        <v>0.33</v>
      </c>
      <c r="J219" s="224">
        <v>5.14</v>
      </c>
      <c r="K219" s="227">
        <v>9.34</v>
      </c>
      <c r="L219" s="198"/>
      <c r="M219" s="293" t="str">
        <f t="shared" si="14"/>
        <v>Nord-Pas-de-CalaisAutres</v>
      </c>
      <c r="N219" s="293" t="str">
        <f t="shared" si="15"/>
        <v>Nord-Pas-de-CalaisAutresPrunier</v>
      </c>
      <c r="P219" s="244" t="s">
        <v>26</v>
      </c>
      <c r="Q219" s="245" t="s">
        <v>173</v>
      </c>
      <c r="R219" s="245" t="s">
        <v>165</v>
      </c>
      <c r="S219" s="224"/>
      <c r="T219" s="224"/>
      <c r="U219" s="224"/>
      <c r="V219" s="227"/>
    </row>
    <row r="220" spans="2:22" x14ac:dyDescent="0.25">
      <c r="B220" t="str">
        <f t="shared" si="12"/>
        <v>Nord-Pas-de-CalaisCerisier</v>
      </c>
      <c r="C220" t="str">
        <f t="shared" si="13"/>
        <v>Nord-Pas-de-CalaisCerisierCerisier</v>
      </c>
      <c r="E220" s="234" t="s">
        <v>26</v>
      </c>
      <c r="F220" s="137" t="s">
        <v>135</v>
      </c>
      <c r="G220" s="137" t="s">
        <v>135</v>
      </c>
      <c r="H220" s="224">
        <v>0</v>
      </c>
      <c r="I220" s="224">
        <v>0.36</v>
      </c>
      <c r="J220" s="224">
        <v>4.0599999999999996</v>
      </c>
      <c r="K220" s="227">
        <v>8.0299999999999994</v>
      </c>
      <c r="L220" s="198"/>
      <c r="M220" s="293" t="str">
        <f t="shared" si="14"/>
        <v>Nord-Pas-de-CalaisCerisier</v>
      </c>
      <c r="N220" s="293" t="str">
        <f t="shared" si="15"/>
        <v>Nord-Pas-de-CalaisCerisierCerisier</v>
      </c>
      <c r="P220" s="244" t="s">
        <v>26</v>
      </c>
      <c r="Q220" s="245" t="s">
        <v>135</v>
      </c>
      <c r="R220" s="245" t="s">
        <v>135</v>
      </c>
      <c r="S220" s="224"/>
      <c r="T220" s="224"/>
      <c r="U220" s="224"/>
      <c r="V220" s="227"/>
    </row>
    <row r="221" spans="2:22" x14ac:dyDescent="0.25">
      <c r="B221" t="str">
        <f t="shared" si="12"/>
        <v>Nord-Pas-de-CalaisMirabellier</v>
      </c>
      <c r="C221" t="str">
        <f t="shared" si="13"/>
        <v>Nord-Pas-de-CalaisMirabellierAutres</v>
      </c>
      <c r="E221" s="234" t="s">
        <v>26</v>
      </c>
      <c r="F221" s="137" t="s">
        <v>148</v>
      </c>
      <c r="G221" s="137" t="s">
        <v>173</v>
      </c>
      <c r="H221" s="224">
        <v>0.01</v>
      </c>
      <c r="I221" s="224">
        <v>0.33</v>
      </c>
      <c r="J221" s="224">
        <v>5.14</v>
      </c>
      <c r="K221" s="227">
        <v>9.34</v>
      </c>
      <c r="L221" s="198"/>
      <c r="M221" s="293" t="str">
        <f t="shared" si="14"/>
        <v>Nord-Pas-de-CalaisMirabellier</v>
      </c>
      <c r="N221" s="293" t="str">
        <f t="shared" si="15"/>
        <v>Nord-Pas-de-CalaisMirabellierAutres</v>
      </c>
      <c r="P221" s="244" t="s">
        <v>26</v>
      </c>
      <c r="Q221" s="245" t="s">
        <v>148</v>
      </c>
      <c r="R221" s="245" t="s">
        <v>173</v>
      </c>
      <c r="S221" s="224"/>
      <c r="T221" s="224"/>
      <c r="U221" s="224"/>
      <c r="V221" s="227"/>
    </row>
    <row r="222" spans="2:22" x14ac:dyDescent="0.25">
      <c r="B222" t="str">
        <f t="shared" si="12"/>
        <v>Nord-Pas-de-CalaisNectarinier</v>
      </c>
      <c r="C222" t="str">
        <f t="shared" si="13"/>
        <v>Nord-Pas-de-CalaisNectarinierNectarinier-Pêcher</v>
      </c>
      <c r="E222" s="234" t="s">
        <v>26</v>
      </c>
      <c r="F222" s="137" t="s">
        <v>154</v>
      </c>
      <c r="G222" s="137" t="s">
        <v>640</v>
      </c>
      <c r="H222" s="224">
        <v>0.03</v>
      </c>
      <c r="I222" s="224">
        <v>0.84</v>
      </c>
      <c r="J222" s="224">
        <v>9.25</v>
      </c>
      <c r="K222" s="227">
        <v>19.38</v>
      </c>
      <c r="L222" s="198"/>
      <c r="M222" s="293" t="str">
        <f t="shared" si="14"/>
        <v>Nord-Pas-de-CalaisNectarinier</v>
      </c>
      <c r="N222" s="293" t="str">
        <f t="shared" si="15"/>
        <v>Nord-Pas-de-CalaisNectarinierNectarinier-Pêcher</v>
      </c>
      <c r="P222" s="244" t="s">
        <v>26</v>
      </c>
      <c r="Q222" s="245" t="s">
        <v>154</v>
      </c>
      <c r="R222" s="245" t="s">
        <v>640</v>
      </c>
      <c r="S222" s="224"/>
      <c r="T222" s="224"/>
      <c r="U222" s="224"/>
      <c r="V222" s="227"/>
    </row>
    <row r="223" spans="2:22" x14ac:dyDescent="0.25">
      <c r="B223" t="str">
        <f t="shared" si="12"/>
        <v>Nord-Pas-de-CalaisNoyer</v>
      </c>
      <c r="C223" t="str">
        <f t="shared" si="13"/>
        <v>Nord-Pas-de-CalaisNoyerAutres</v>
      </c>
      <c r="E223" s="234" t="s">
        <v>26</v>
      </c>
      <c r="F223" s="137" t="s">
        <v>157</v>
      </c>
      <c r="G223" s="137" t="s">
        <v>173</v>
      </c>
      <c r="H223" s="224">
        <v>0.01</v>
      </c>
      <c r="I223" s="224">
        <v>0.33</v>
      </c>
      <c r="J223" s="224">
        <v>5.14</v>
      </c>
      <c r="K223" s="227">
        <v>9.34</v>
      </c>
      <c r="L223" s="198"/>
      <c r="M223" s="293" t="str">
        <f t="shared" si="14"/>
        <v>Nord-Pas-de-CalaisNoyer</v>
      </c>
      <c r="N223" s="293" t="str">
        <f t="shared" si="15"/>
        <v>Nord-Pas-de-CalaisNoyerAutres</v>
      </c>
      <c r="P223" s="244" t="s">
        <v>26</v>
      </c>
      <c r="Q223" s="245" t="s">
        <v>157</v>
      </c>
      <c r="R223" s="245" t="s">
        <v>173</v>
      </c>
      <c r="S223" s="224"/>
      <c r="T223" s="224"/>
      <c r="U223" s="224"/>
      <c r="V223" s="227"/>
    </row>
    <row r="224" spans="2:22" x14ac:dyDescent="0.25">
      <c r="B224" t="str">
        <f t="shared" si="12"/>
        <v>Nord-Pas-de-CalaisPêcher</v>
      </c>
      <c r="C224" t="str">
        <f t="shared" si="13"/>
        <v>Nord-Pas-de-CalaisPêcherNectarinier-Pêcher</v>
      </c>
      <c r="E224" s="234" t="s">
        <v>26</v>
      </c>
      <c r="F224" s="137" t="s">
        <v>161</v>
      </c>
      <c r="G224" s="137" t="s">
        <v>640</v>
      </c>
      <c r="H224" s="224">
        <v>0.03</v>
      </c>
      <c r="I224" s="224">
        <v>0.84</v>
      </c>
      <c r="J224" s="224">
        <v>9.25</v>
      </c>
      <c r="K224" s="227">
        <v>19.38</v>
      </c>
      <c r="L224" s="198"/>
      <c r="M224" s="293" t="str">
        <f t="shared" si="14"/>
        <v>Nord-Pas-de-CalaisPêcher</v>
      </c>
      <c r="N224" s="293" t="str">
        <f t="shared" si="15"/>
        <v>Nord-Pas-de-CalaisPêcherNectarinier-Pêcher</v>
      </c>
      <c r="P224" s="244" t="s">
        <v>26</v>
      </c>
      <c r="Q224" s="245" t="s">
        <v>161</v>
      </c>
      <c r="R224" s="245" t="s">
        <v>640</v>
      </c>
      <c r="S224" s="224"/>
      <c r="T224" s="224"/>
      <c r="U224" s="224"/>
      <c r="V224" s="227"/>
    </row>
    <row r="225" spans="2:22" x14ac:dyDescent="0.25">
      <c r="B225" t="str">
        <f t="shared" si="12"/>
        <v>Nord-Pas-de-CalaisPoirier</v>
      </c>
      <c r="C225" t="str">
        <f t="shared" si="13"/>
        <v>Nord-Pas-de-CalaisPoirierAutres</v>
      </c>
      <c r="E225" s="234" t="s">
        <v>26</v>
      </c>
      <c r="F225" s="137" t="s">
        <v>162</v>
      </c>
      <c r="G225" s="137" t="s">
        <v>173</v>
      </c>
      <c r="H225" s="224">
        <v>0.01</v>
      </c>
      <c r="I225" s="224">
        <v>0.33</v>
      </c>
      <c r="J225" s="224">
        <v>5.14</v>
      </c>
      <c r="K225" s="227">
        <v>9.34</v>
      </c>
      <c r="L225" s="198"/>
      <c r="M225" s="293" t="str">
        <f t="shared" si="14"/>
        <v>Nord-Pas-de-CalaisPoirier</v>
      </c>
      <c r="N225" s="293" t="str">
        <f t="shared" si="15"/>
        <v>Nord-Pas-de-CalaisPoirierAutres</v>
      </c>
      <c r="P225" s="244" t="s">
        <v>26</v>
      </c>
      <c r="Q225" s="245" t="s">
        <v>162</v>
      </c>
      <c r="R225" s="245" t="s">
        <v>173</v>
      </c>
      <c r="S225" s="224"/>
      <c r="T225" s="224"/>
      <c r="U225" s="224"/>
      <c r="V225" s="227"/>
    </row>
    <row r="226" spans="2:22" x14ac:dyDescent="0.25">
      <c r="B226" t="str">
        <f t="shared" si="12"/>
        <v>Nord-Pas-de-CalaisPommier</v>
      </c>
      <c r="C226" t="str">
        <f t="shared" si="13"/>
        <v>Nord-Pas-de-CalaisPommierPommier</v>
      </c>
      <c r="E226" s="234" t="s">
        <v>26</v>
      </c>
      <c r="F226" s="137" t="s">
        <v>164</v>
      </c>
      <c r="G226" s="137" t="s">
        <v>164</v>
      </c>
      <c r="H226" s="224">
        <v>0</v>
      </c>
      <c r="I226" s="224">
        <v>0.53</v>
      </c>
      <c r="J226" s="224">
        <v>9.34</v>
      </c>
      <c r="K226" s="227">
        <v>22.96</v>
      </c>
      <c r="L226" s="198"/>
      <c r="M226" s="293" t="str">
        <f t="shared" si="14"/>
        <v>Nord-Pas-de-CalaisPommier</v>
      </c>
      <c r="N226" s="293" t="str">
        <f t="shared" si="15"/>
        <v>Nord-Pas-de-CalaisPommierPommier</v>
      </c>
      <c r="P226" s="244" t="s">
        <v>26</v>
      </c>
      <c r="Q226" s="245" t="s">
        <v>164</v>
      </c>
      <c r="R226" s="245" t="s">
        <v>164</v>
      </c>
      <c r="S226" s="224"/>
      <c r="T226" s="224"/>
      <c r="U226" s="224"/>
      <c r="V226" s="227"/>
    </row>
    <row r="227" spans="2:22" ht="15.75" thickBot="1" x14ac:dyDescent="0.3">
      <c r="B227" t="str">
        <f t="shared" si="12"/>
        <v>Nord-Pas-de-CalaisPrunier</v>
      </c>
      <c r="C227" t="str">
        <f t="shared" si="13"/>
        <v>Nord-Pas-de-CalaisPrunierAutres</v>
      </c>
      <c r="E227" s="235" t="s">
        <v>26</v>
      </c>
      <c r="F227" s="236" t="s">
        <v>165</v>
      </c>
      <c r="G227" s="236" t="s">
        <v>173</v>
      </c>
      <c r="H227" s="226">
        <v>0.01</v>
      </c>
      <c r="I227" s="226">
        <v>0.33</v>
      </c>
      <c r="J227" s="226">
        <v>5.14</v>
      </c>
      <c r="K227" s="228">
        <v>9.34</v>
      </c>
      <c r="L227" s="198"/>
      <c r="M227" s="293" t="str">
        <f t="shared" si="14"/>
        <v>Nord-Pas-de-CalaisPrunier</v>
      </c>
      <c r="N227" s="293" t="str">
        <f t="shared" si="15"/>
        <v>Nord-Pas-de-CalaisPrunierAutres</v>
      </c>
      <c r="P227" s="246" t="s">
        <v>26</v>
      </c>
      <c r="Q227" s="247" t="s">
        <v>165</v>
      </c>
      <c r="R227" s="247" t="s">
        <v>173</v>
      </c>
      <c r="S227" s="226"/>
      <c r="T227" s="226"/>
      <c r="U227" s="226"/>
      <c r="V227" s="228"/>
    </row>
    <row r="228" spans="2:22" ht="15.75" thickTop="1" x14ac:dyDescent="0.25">
      <c r="B228" t="str">
        <f t="shared" si="12"/>
        <v>Pays de la LoireAbricotier</v>
      </c>
      <c r="C228" t="str">
        <f t="shared" si="13"/>
        <v>Pays de la LoireAbricotierAbricotier</v>
      </c>
      <c r="E228" s="234" t="s">
        <v>27</v>
      </c>
      <c r="F228" s="137" t="s">
        <v>130</v>
      </c>
      <c r="G228" s="137" t="s">
        <v>130</v>
      </c>
      <c r="H228" s="224">
        <v>0.01</v>
      </c>
      <c r="I228" s="224">
        <v>0.62</v>
      </c>
      <c r="J228" s="224">
        <v>5.1100000000000003</v>
      </c>
      <c r="K228" s="227">
        <v>10.66</v>
      </c>
      <c r="L228" s="198"/>
      <c r="M228" s="293" t="str">
        <f t="shared" si="14"/>
        <v>Pays de la LoireAbricotier</v>
      </c>
      <c r="N228" s="293" t="str">
        <f t="shared" si="15"/>
        <v>Pays de la LoireAbricotierAbricotier</v>
      </c>
      <c r="P228" s="244" t="s">
        <v>27</v>
      </c>
      <c r="Q228" s="245" t="s">
        <v>130</v>
      </c>
      <c r="R228" s="245" t="s">
        <v>130</v>
      </c>
      <c r="S228" s="224"/>
      <c r="T228" s="224"/>
      <c r="U228" s="224"/>
      <c r="V228" s="227"/>
    </row>
    <row r="229" spans="2:22" x14ac:dyDescent="0.25">
      <c r="B229" t="str">
        <f t="shared" si="12"/>
        <v>Pays de la LoireAgrumes</v>
      </c>
      <c r="C229" t="str">
        <f t="shared" si="13"/>
        <v>Pays de la LoireAgrumesClémentinier</v>
      </c>
      <c r="E229" s="234" t="s">
        <v>27</v>
      </c>
      <c r="F229" s="137" t="s">
        <v>639</v>
      </c>
      <c r="G229" s="137" t="s">
        <v>138</v>
      </c>
      <c r="H229" s="224">
        <v>0</v>
      </c>
      <c r="I229" s="224">
        <v>0.3</v>
      </c>
      <c r="J229" s="224">
        <v>2</v>
      </c>
      <c r="K229" s="227">
        <v>5</v>
      </c>
      <c r="L229" s="198"/>
      <c r="M229" s="293" t="str">
        <f t="shared" si="14"/>
        <v>Pays de la LoireAgrumes</v>
      </c>
      <c r="N229" s="293" t="str">
        <f t="shared" si="15"/>
        <v>Pays de la LoireAgrumesClémentinier</v>
      </c>
      <c r="P229" s="244" t="s">
        <v>27</v>
      </c>
      <c r="Q229" s="245" t="s">
        <v>639</v>
      </c>
      <c r="R229" s="245" t="s">
        <v>138</v>
      </c>
      <c r="S229" s="224"/>
      <c r="T229" s="224"/>
      <c r="U229" s="224"/>
      <c r="V229" s="227"/>
    </row>
    <row r="230" spans="2:22" x14ac:dyDescent="0.25">
      <c r="B230" t="str">
        <f t="shared" si="12"/>
        <v>Pays de la LoireAutres</v>
      </c>
      <c r="C230" t="str">
        <f t="shared" si="13"/>
        <v>Pays de la LoireAutresPrunier</v>
      </c>
      <c r="E230" s="234" t="s">
        <v>27</v>
      </c>
      <c r="F230" s="137" t="s">
        <v>173</v>
      </c>
      <c r="G230" s="137" t="s">
        <v>165</v>
      </c>
      <c r="H230" s="224">
        <v>0.01</v>
      </c>
      <c r="I230" s="224">
        <v>0.33</v>
      </c>
      <c r="J230" s="224">
        <v>5.14</v>
      </c>
      <c r="K230" s="227">
        <v>9.34</v>
      </c>
      <c r="L230" s="198"/>
      <c r="M230" s="293" t="str">
        <f t="shared" si="14"/>
        <v>Pays de la LoireAutres</v>
      </c>
      <c r="N230" s="293" t="str">
        <f t="shared" si="15"/>
        <v>Pays de la LoireAutresPrunier</v>
      </c>
      <c r="P230" s="244" t="s">
        <v>27</v>
      </c>
      <c r="Q230" s="245" t="s">
        <v>173</v>
      </c>
      <c r="R230" s="245" t="s">
        <v>165</v>
      </c>
      <c r="S230" s="224"/>
      <c r="T230" s="224"/>
      <c r="U230" s="224"/>
      <c r="V230" s="227"/>
    </row>
    <row r="231" spans="2:22" x14ac:dyDescent="0.25">
      <c r="B231" t="str">
        <f t="shared" si="12"/>
        <v>Pays de la LoireCerisier</v>
      </c>
      <c r="C231" t="str">
        <f t="shared" si="13"/>
        <v>Pays de la LoireCerisierCerisier</v>
      </c>
      <c r="E231" s="234" t="s">
        <v>27</v>
      </c>
      <c r="F231" s="137" t="s">
        <v>135</v>
      </c>
      <c r="G231" s="137" t="s">
        <v>135</v>
      </c>
      <c r="H231" s="224">
        <v>0</v>
      </c>
      <c r="I231" s="224">
        <v>0.73</v>
      </c>
      <c r="J231" s="224">
        <v>4.28</v>
      </c>
      <c r="K231" s="227">
        <v>7.88</v>
      </c>
      <c r="L231" s="198"/>
      <c r="M231" s="293" t="str">
        <f t="shared" si="14"/>
        <v>Pays de la LoireCerisier</v>
      </c>
      <c r="N231" s="293" t="str">
        <f t="shared" si="15"/>
        <v>Pays de la LoireCerisierCerisier</v>
      </c>
      <c r="P231" s="244" t="s">
        <v>27</v>
      </c>
      <c r="Q231" s="245" t="s">
        <v>135</v>
      </c>
      <c r="R231" s="245" t="s">
        <v>135</v>
      </c>
      <c r="S231" s="224"/>
      <c r="T231" s="224"/>
      <c r="U231" s="224"/>
      <c r="V231" s="227"/>
    </row>
    <row r="232" spans="2:22" x14ac:dyDescent="0.25">
      <c r="B232" t="str">
        <f t="shared" si="12"/>
        <v>Pays de la LoireMirabellier</v>
      </c>
      <c r="C232" t="str">
        <f t="shared" si="13"/>
        <v>Pays de la LoireMirabellierAutres</v>
      </c>
      <c r="E232" s="234" t="s">
        <v>27</v>
      </c>
      <c r="F232" s="137" t="s">
        <v>148</v>
      </c>
      <c r="G232" s="137" t="s">
        <v>173</v>
      </c>
      <c r="H232" s="224">
        <v>0.01</v>
      </c>
      <c r="I232" s="224">
        <v>0.33</v>
      </c>
      <c r="J232" s="224">
        <v>5.14</v>
      </c>
      <c r="K232" s="227">
        <v>9.34</v>
      </c>
      <c r="L232" s="198"/>
      <c r="M232" s="293" t="str">
        <f t="shared" si="14"/>
        <v>Pays de la LoireMirabellier</v>
      </c>
      <c r="N232" s="293" t="str">
        <f t="shared" si="15"/>
        <v>Pays de la LoireMirabellierAutres</v>
      </c>
      <c r="P232" s="244" t="s">
        <v>27</v>
      </c>
      <c r="Q232" s="245" t="s">
        <v>148</v>
      </c>
      <c r="R232" s="245" t="s">
        <v>173</v>
      </c>
      <c r="S232" s="224"/>
      <c r="T232" s="224"/>
      <c r="U232" s="224"/>
      <c r="V232" s="227"/>
    </row>
    <row r="233" spans="2:22" x14ac:dyDescent="0.25">
      <c r="B233" t="str">
        <f t="shared" si="12"/>
        <v>Pays de la LoireNectarinier</v>
      </c>
      <c r="C233" t="str">
        <f t="shared" si="13"/>
        <v>Pays de la LoireNectarinierNectarinier-Pêcher</v>
      </c>
      <c r="E233" s="234" t="s">
        <v>27</v>
      </c>
      <c r="F233" s="137" t="s">
        <v>154</v>
      </c>
      <c r="G233" s="137" t="s">
        <v>640</v>
      </c>
      <c r="H233" s="224">
        <v>0.03</v>
      </c>
      <c r="I233" s="224">
        <v>0.84</v>
      </c>
      <c r="J233" s="224">
        <v>9.25</v>
      </c>
      <c r="K233" s="227">
        <v>19.38</v>
      </c>
      <c r="L233" s="198"/>
      <c r="M233" s="293" t="str">
        <f t="shared" si="14"/>
        <v>Pays de la LoireNectarinier</v>
      </c>
      <c r="N233" s="293" t="str">
        <f t="shared" si="15"/>
        <v>Pays de la LoireNectarinierNectarinier-Pêcher</v>
      </c>
      <c r="P233" s="244" t="s">
        <v>27</v>
      </c>
      <c r="Q233" s="245" t="s">
        <v>154</v>
      </c>
      <c r="R233" s="245" t="s">
        <v>640</v>
      </c>
      <c r="S233" s="224"/>
      <c r="T233" s="224"/>
      <c r="U233" s="224"/>
      <c r="V233" s="227"/>
    </row>
    <row r="234" spans="2:22" x14ac:dyDescent="0.25">
      <c r="B234" t="str">
        <f t="shared" si="12"/>
        <v>Pays de la LoireNoyer</v>
      </c>
      <c r="C234" t="str">
        <f t="shared" si="13"/>
        <v>Pays de la LoireNoyerAutres</v>
      </c>
      <c r="E234" s="234" t="s">
        <v>27</v>
      </c>
      <c r="F234" s="137" t="s">
        <v>157</v>
      </c>
      <c r="G234" s="137" t="s">
        <v>173</v>
      </c>
      <c r="H234" s="224">
        <v>0.01</v>
      </c>
      <c r="I234" s="224">
        <v>0.33</v>
      </c>
      <c r="J234" s="224">
        <v>5.14</v>
      </c>
      <c r="K234" s="227">
        <v>9.34</v>
      </c>
      <c r="L234" s="198"/>
      <c r="M234" s="293" t="str">
        <f t="shared" si="14"/>
        <v>Pays de la LoireNoyer</v>
      </c>
      <c r="N234" s="293" t="str">
        <f t="shared" si="15"/>
        <v>Pays de la LoireNoyerAutres</v>
      </c>
      <c r="P234" s="244" t="s">
        <v>27</v>
      </c>
      <c r="Q234" s="245" t="s">
        <v>157</v>
      </c>
      <c r="R234" s="245" t="s">
        <v>173</v>
      </c>
      <c r="S234" s="224"/>
      <c r="T234" s="224"/>
      <c r="U234" s="224"/>
      <c r="V234" s="227"/>
    </row>
    <row r="235" spans="2:22" x14ac:dyDescent="0.25">
      <c r="B235" t="str">
        <f t="shared" si="12"/>
        <v>Pays de la LoirePêcher</v>
      </c>
      <c r="C235" t="str">
        <f t="shared" si="13"/>
        <v>Pays de la LoirePêcherNectarinier-Pêcher</v>
      </c>
      <c r="E235" s="234" t="s">
        <v>27</v>
      </c>
      <c r="F235" s="137" t="s">
        <v>161</v>
      </c>
      <c r="G235" s="137" t="s">
        <v>640</v>
      </c>
      <c r="H235" s="224">
        <v>0.03</v>
      </c>
      <c r="I235" s="224">
        <v>0.84</v>
      </c>
      <c r="J235" s="224">
        <v>9.25</v>
      </c>
      <c r="K235" s="227">
        <v>19.38</v>
      </c>
      <c r="L235" s="198"/>
      <c r="M235" s="293" t="str">
        <f t="shared" si="14"/>
        <v>Pays de la LoirePêcher</v>
      </c>
      <c r="N235" s="293" t="str">
        <f t="shared" si="15"/>
        <v>Pays de la LoirePêcherNectarinier-Pêcher</v>
      </c>
      <c r="P235" s="244" t="s">
        <v>27</v>
      </c>
      <c r="Q235" s="245" t="s">
        <v>161</v>
      </c>
      <c r="R235" s="245" t="s">
        <v>640</v>
      </c>
      <c r="S235" s="224"/>
      <c r="T235" s="224"/>
      <c r="U235" s="224"/>
      <c r="V235" s="227"/>
    </row>
    <row r="236" spans="2:22" x14ac:dyDescent="0.25">
      <c r="B236" t="str">
        <f t="shared" si="12"/>
        <v>Pays de la LoirePoirier</v>
      </c>
      <c r="C236" t="str">
        <f t="shared" si="13"/>
        <v>Pays de la LoirePoirierAutres</v>
      </c>
      <c r="E236" s="234" t="s">
        <v>27</v>
      </c>
      <c r="F236" s="137" t="s">
        <v>162</v>
      </c>
      <c r="G236" s="137" t="s">
        <v>173</v>
      </c>
      <c r="H236" s="224">
        <v>0.01</v>
      </c>
      <c r="I236" s="224">
        <v>0.33</v>
      </c>
      <c r="J236" s="224">
        <v>5.14</v>
      </c>
      <c r="K236" s="227">
        <v>9.34</v>
      </c>
      <c r="L236" s="198"/>
      <c r="M236" s="293" t="str">
        <f t="shared" si="14"/>
        <v>Pays de la LoirePoirier</v>
      </c>
      <c r="N236" s="293" t="str">
        <f t="shared" si="15"/>
        <v>Pays de la LoirePoirierAutres</v>
      </c>
      <c r="P236" s="244" t="s">
        <v>27</v>
      </c>
      <c r="Q236" s="245" t="s">
        <v>162</v>
      </c>
      <c r="R236" s="245" t="s">
        <v>173</v>
      </c>
      <c r="S236" s="224"/>
      <c r="T236" s="224"/>
      <c r="U236" s="224"/>
      <c r="V236" s="227"/>
    </row>
    <row r="237" spans="2:22" x14ac:dyDescent="0.25">
      <c r="B237" t="str">
        <f t="shared" si="12"/>
        <v>Pays de la LoirePommier</v>
      </c>
      <c r="C237" t="str">
        <f t="shared" si="13"/>
        <v>Pays de la LoirePommierPommier</v>
      </c>
      <c r="E237" s="234" t="s">
        <v>27</v>
      </c>
      <c r="F237" s="137" t="s">
        <v>164</v>
      </c>
      <c r="G237" s="137" t="s">
        <v>164</v>
      </c>
      <c r="H237" s="224">
        <v>0.06</v>
      </c>
      <c r="I237" s="224">
        <v>0.83</v>
      </c>
      <c r="J237" s="224">
        <v>22.56</v>
      </c>
      <c r="K237" s="227">
        <v>37.67</v>
      </c>
      <c r="L237" s="198"/>
      <c r="M237" s="293" t="str">
        <f t="shared" si="14"/>
        <v>Pays de la LoirePommier</v>
      </c>
      <c r="N237" s="293" t="str">
        <f t="shared" si="15"/>
        <v>Pays de la LoirePommierPommier</v>
      </c>
      <c r="P237" s="244" t="s">
        <v>27</v>
      </c>
      <c r="Q237" s="245" t="s">
        <v>164</v>
      </c>
      <c r="R237" s="245" t="s">
        <v>164</v>
      </c>
      <c r="S237" s="224"/>
      <c r="T237" s="224"/>
      <c r="U237" s="224"/>
      <c r="V237" s="227"/>
    </row>
    <row r="238" spans="2:22" ht="15.75" thickBot="1" x14ac:dyDescent="0.3">
      <c r="B238" t="str">
        <f t="shared" si="12"/>
        <v>Pays de la LoirePrunier</v>
      </c>
      <c r="C238" t="str">
        <f t="shared" si="13"/>
        <v>Pays de la LoirePrunierAutres</v>
      </c>
      <c r="E238" s="235" t="s">
        <v>27</v>
      </c>
      <c r="F238" s="236" t="s">
        <v>165</v>
      </c>
      <c r="G238" s="236" t="s">
        <v>173</v>
      </c>
      <c r="H238" s="226">
        <v>0.01</v>
      </c>
      <c r="I238" s="226">
        <v>0.33</v>
      </c>
      <c r="J238" s="226">
        <v>5.14</v>
      </c>
      <c r="K238" s="228">
        <v>9.34</v>
      </c>
      <c r="L238" s="198"/>
      <c r="M238" s="293" t="str">
        <f t="shared" si="14"/>
        <v>Pays de la LoirePrunier</v>
      </c>
      <c r="N238" s="293" t="str">
        <f t="shared" si="15"/>
        <v>Pays de la LoirePrunierAutres</v>
      </c>
      <c r="P238" s="246" t="s">
        <v>27</v>
      </c>
      <c r="Q238" s="247" t="s">
        <v>165</v>
      </c>
      <c r="R238" s="247" t="s">
        <v>173</v>
      </c>
      <c r="S238" s="226"/>
      <c r="T238" s="226"/>
      <c r="U238" s="226"/>
      <c r="V238" s="228"/>
    </row>
    <row r="239" spans="2:22" ht="15.75" thickTop="1" x14ac:dyDescent="0.25">
      <c r="B239" t="str">
        <f t="shared" si="12"/>
        <v>PicardieAbricotier</v>
      </c>
      <c r="C239" t="str">
        <f t="shared" si="13"/>
        <v>PicardieAbricotierAbricotier</v>
      </c>
      <c r="E239" s="234" t="s">
        <v>28</v>
      </c>
      <c r="F239" s="137" t="s">
        <v>130</v>
      </c>
      <c r="G239" s="137" t="s">
        <v>130</v>
      </c>
      <c r="H239" s="224">
        <v>0.01</v>
      </c>
      <c r="I239" s="224">
        <v>0.62</v>
      </c>
      <c r="J239" s="224">
        <v>5.1100000000000003</v>
      </c>
      <c r="K239" s="227">
        <v>10.66</v>
      </c>
      <c r="L239" s="198"/>
      <c r="M239" s="293" t="str">
        <f t="shared" si="14"/>
        <v>PicardieAbricotier</v>
      </c>
      <c r="N239" s="293" t="str">
        <f t="shared" si="15"/>
        <v>PicardieAbricotierAbricotier</v>
      </c>
      <c r="P239" s="244" t="s">
        <v>28</v>
      </c>
      <c r="Q239" s="245" t="s">
        <v>130</v>
      </c>
      <c r="R239" s="245" t="s">
        <v>130</v>
      </c>
      <c r="S239" s="224"/>
      <c r="T239" s="224"/>
      <c r="U239" s="224"/>
      <c r="V239" s="227"/>
    </row>
    <row r="240" spans="2:22" x14ac:dyDescent="0.25">
      <c r="B240" t="str">
        <f t="shared" si="12"/>
        <v>PicardieAgrumes</v>
      </c>
      <c r="C240" t="str">
        <f t="shared" si="13"/>
        <v>PicardieAgrumesClémentinier</v>
      </c>
      <c r="E240" s="234" t="s">
        <v>28</v>
      </c>
      <c r="F240" s="137" t="s">
        <v>639</v>
      </c>
      <c r="G240" s="137" t="s">
        <v>138</v>
      </c>
      <c r="H240" s="224">
        <v>0</v>
      </c>
      <c r="I240" s="224">
        <v>0.3</v>
      </c>
      <c r="J240" s="224">
        <v>2</v>
      </c>
      <c r="K240" s="227">
        <v>5</v>
      </c>
      <c r="L240" s="198"/>
      <c r="M240" s="293" t="str">
        <f t="shared" si="14"/>
        <v>PicardieAgrumes</v>
      </c>
      <c r="N240" s="293" t="str">
        <f t="shared" si="15"/>
        <v>PicardieAgrumesClémentinier</v>
      </c>
      <c r="P240" s="244" t="s">
        <v>28</v>
      </c>
      <c r="Q240" s="245" t="s">
        <v>639</v>
      </c>
      <c r="R240" s="245" t="s">
        <v>138</v>
      </c>
      <c r="S240" s="224"/>
      <c r="T240" s="224"/>
      <c r="U240" s="224"/>
      <c r="V240" s="227"/>
    </row>
    <row r="241" spans="2:22" x14ac:dyDescent="0.25">
      <c r="B241" t="str">
        <f t="shared" si="12"/>
        <v>PicardieAutres</v>
      </c>
      <c r="C241" t="str">
        <f t="shared" si="13"/>
        <v>PicardieAutresPrunier</v>
      </c>
      <c r="E241" s="234" t="s">
        <v>28</v>
      </c>
      <c r="F241" s="137" t="s">
        <v>173</v>
      </c>
      <c r="G241" s="137" t="s">
        <v>165</v>
      </c>
      <c r="H241" s="224">
        <v>0.01</v>
      </c>
      <c r="I241" s="224">
        <v>0.33</v>
      </c>
      <c r="J241" s="224">
        <v>5.14</v>
      </c>
      <c r="K241" s="227">
        <v>9.34</v>
      </c>
      <c r="L241" s="198"/>
      <c r="M241" s="293" t="str">
        <f t="shared" si="14"/>
        <v>PicardieAutres</v>
      </c>
      <c r="N241" s="293" t="str">
        <f t="shared" si="15"/>
        <v>PicardieAutresPrunier</v>
      </c>
      <c r="P241" s="244" t="s">
        <v>28</v>
      </c>
      <c r="Q241" s="245" t="s">
        <v>173</v>
      </c>
      <c r="R241" s="245" t="s">
        <v>165</v>
      </c>
      <c r="S241" s="224"/>
      <c r="T241" s="224"/>
      <c r="U241" s="224"/>
      <c r="V241" s="227"/>
    </row>
    <row r="242" spans="2:22" x14ac:dyDescent="0.25">
      <c r="B242" t="str">
        <f t="shared" si="12"/>
        <v>PicardieCerisier</v>
      </c>
      <c r="C242" t="str">
        <f t="shared" si="13"/>
        <v>PicardieCerisierCerisier</v>
      </c>
      <c r="E242" s="234" t="s">
        <v>28</v>
      </c>
      <c r="F242" s="137" t="s">
        <v>135</v>
      </c>
      <c r="G242" s="137" t="s">
        <v>135</v>
      </c>
      <c r="H242" s="224">
        <v>0</v>
      </c>
      <c r="I242" s="224">
        <v>0.36</v>
      </c>
      <c r="J242" s="224">
        <v>4.0599999999999996</v>
      </c>
      <c r="K242" s="227">
        <v>8.0299999999999994</v>
      </c>
      <c r="L242" s="198"/>
      <c r="M242" s="293" t="str">
        <f t="shared" si="14"/>
        <v>PicardieCerisier</v>
      </c>
      <c r="N242" s="293" t="str">
        <f t="shared" si="15"/>
        <v>PicardieCerisierCerisier</v>
      </c>
      <c r="P242" s="244" t="s">
        <v>28</v>
      </c>
      <c r="Q242" s="245" t="s">
        <v>135</v>
      </c>
      <c r="R242" s="245" t="s">
        <v>135</v>
      </c>
      <c r="S242" s="224"/>
      <c r="T242" s="224"/>
      <c r="U242" s="224"/>
      <c r="V242" s="227"/>
    </row>
    <row r="243" spans="2:22" x14ac:dyDescent="0.25">
      <c r="B243" t="str">
        <f t="shared" si="12"/>
        <v>PicardieMirabellier</v>
      </c>
      <c r="C243" t="str">
        <f t="shared" si="13"/>
        <v>PicardieMirabellierAutres</v>
      </c>
      <c r="E243" s="234" t="s">
        <v>28</v>
      </c>
      <c r="F243" s="137" t="s">
        <v>148</v>
      </c>
      <c r="G243" s="137" t="s">
        <v>173</v>
      </c>
      <c r="H243" s="224">
        <v>0.01</v>
      </c>
      <c r="I243" s="224">
        <v>0.33</v>
      </c>
      <c r="J243" s="224">
        <v>5.14</v>
      </c>
      <c r="K243" s="227">
        <v>9.34</v>
      </c>
      <c r="L243" s="198"/>
      <c r="M243" s="293" t="str">
        <f t="shared" si="14"/>
        <v>PicardieMirabellier</v>
      </c>
      <c r="N243" s="293" t="str">
        <f t="shared" si="15"/>
        <v>PicardieMirabellierAutres</v>
      </c>
      <c r="P243" s="244" t="s">
        <v>28</v>
      </c>
      <c r="Q243" s="245" t="s">
        <v>148</v>
      </c>
      <c r="R243" s="245" t="s">
        <v>173</v>
      </c>
      <c r="S243" s="224"/>
      <c r="T243" s="224"/>
      <c r="U243" s="224"/>
      <c r="V243" s="227"/>
    </row>
    <row r="244" spans="2:22" x14ac:dyDescent="0.25">
      <c r="B244" t="str">
        <f t="shared" si="12"/>
        <v>PicardieNectarinier</v>
      </c>
      <c r="C244" t="str">
        <f t="shared" si="13"/>
        <v>PicardieNectarinierNectarinier-Pêcher</v>
      </c>
      <c r="E244" s="234" t="s">
        <v>28</v>
      </c>
      <c r="F244" s="137" t="s">
        <v>154</v>
      </c>
      <c r="G244" s="137" t="s">
        <v>640</v>
      </c>
      <c r="H244" s="224">
        <v>0.03</v>
      </c>
      <c r="I244" s="224">
        <v>0.84</v>
      </c>
      <c r="J244" s="224">
        <v>9.25</v>
      </c>
      <c r="K244" s="227">
        <v>19.38</v>
      </c>
      <c r="L244" s="198"/>
      <c r="M244" s="293" t="str">
        <f t="shared" si="14"/>
        <v>PicardieNectarinier</v>
      </c>
      <c r="N244" s="293" t="str">
        <f t="shared" si="15"/>
        <v>PicardieNectarinierNectarinier-Pêcher</v>
      </c>
      <c r="P244" s="244" t="s">
        <v>28</v>
      </c>
      <c r="Q244" s="245" t="s">
        <v>154</v>
      </c>
      <c r="R244" s="245" t="s">
        <v>640</v>
      </c>
      <c r="S244" s="224"/>
      <c r="T244" s="224"/>
      <c r="U244" s="224"/>
      <c r="V244" s="227"/>
    </row>
    <row r="245" spans="2:22" x14ac:dyDescent="0.25">
      <c r="B245" t="str">
        <f t="shared" si="12"/>
        <v>PicardieNoyer</v>
      </c>
      <c r="C245" t="str">
        <f t="shared" si="13"/>
        <v>PicardieNoyerAutres</v>
      </c>
      <c r="E245" s="234" t="s">
        <v>28</v>
      </c>
      <c r="F245" s="137" t="s">
        <v>157</v>
      </c>
      <c r="G245" s="137" t="s">
        <v>173</v>
      </c>
      <c r="H245" s="224">
        <v>0.01</v>
      </c>
      <c r="I245" s="224">
        <v>0.33</v>
      </c>
      <c r="J245" s="224">
        <v>5.14</v>
      </c>
      <c r="K245" s="227">
        <v>9.34</v>
      </c>
      <c r="L245" s="198"/>
      <c r="M245" s="293" t="str">
        <f t="shared" si="14"/>
        <v>PicardieNoyer</v>
      </c>
      <c r="N245" s="293" t="str">
        <f t="shared" si="15"/>
        <v>PicardieNoyerAutres</v>
      </c>
      <c r="P245" s="244" t="s">
        <v>28</v>
      </c>
      <c r="Q245" s="245" t="s">
        <v>157</v>
      </c>
      <c r="R245" s="245" t="s">
        <v>173</v>
      </c>
      <c r="S245" s="224"/>
      <c r="T245" s="224"/>
      <c r="U245" s="224"/>
      <c r="V245" s="227"/>
    </row>
    <row r="246" spans="2:22" x14ac:dyDescent="0.25">
      <c r="B246" t="str">
        <f t="shared" si="12"/>
        <v>PicardiePêcher</v>
      </c>
      <c r="C246" t="str">
        <f t="shared" si="13"/>
        <v>PicardiePêcherNectarinier-Pêcher</v>
      </c>
      <c r="E246" s="234" t="s">
        <v>28</v>
      </c>
      <c r="F246" s="137" t="s">
        <v>161</v>
      </c>
      <c r="G246" s="137" t="s">
        <v>640</v>
      </c>
      <c r="H246" s="224">
        <v>0.03</v>
      </c>
      <c r="I246" s="224">
        <v>0.84</v>
      </c>
      <c r="J246" s="224">
        <v>9.25</v>
      </c>
      <c r="K246" s="227">
        <v>19.38</v>
      </c>
      <c r="L246" s="198"/>
      <c r="M246" s="293" t="str">
        <f t="shared" si="14"/>
        <v>PicardiePêcher</v>
      </c>
      <c r="N246" s="293" t="str">
        <f t="shared" si="15"/>
        <v>PicardiePêcherNectarinier-Pêcher</v>
      </c>
      <c r="P246" s="244" t="s">
        <v>28</v>
      </c>
      <c r="Q246" s="245" t="s">
        <v>161</v>
      </c>
      <c r="R246" s="245" t="s">
        <v>640</v>
      </c>
      <c r="S246" s="224"/>
      <c r="T246" s="224"/>
      <c r="U246" s="224"/>
      <c r="V246" s="227"/>
    </row>
    <row r="247" spans="2:22" x14ac:dyDescent="0.25">
      <c r="B247" t="str">
        <f t="shared" si="12"/>
        <v>PicardiePoirier</v>
      </c>
      <c r="C247" t="str">
        <f t="shared" si="13"/>
        <v>PicardiePoirierAutres</v>
      </c>
      <c r="E247" s="234" t="s">
        <v>28</v>
      </c>
      <c r="F247" s="137" t="s">
        <v>162</v>
      </c>
      <c r="G247" s="137" t="s">
        <v>173</v>
      </c>
      <c r="H247" s="224">
        <v>0.01</v>
      </c>
      <c r="I247" s="224">
        <v>0.33</v>
      </c>
      <c r="J247" s="224">
        <v>5.14</v>
      </c>
      <c r="K247" s="227">
        <v>9.34</v>
      </c>
      <c r="L247" s="198"/>
      <c r="M247" s="293" t="str">
        <f t="shared" si="14"/>
        <v>PicardiePoirier</v>
      </c>
      <c r="N247" s="293" t="str">
        <f t="shared" si="15"/>
        <v>PicardiePoirierAutres</v>
      </c>
      <c r="P247" s="244" t="s">
        <v>28</v>
      </c>
      <c r="Q247" s="245" t="s">
        <v>162</v>
      </c>
      <c r="R247" s="245" t="s">
        <v>173</v>
      </c>
      <c r="S247" s="224"/>
      <c r="T247" s="224"/>
      <c r="U247" s="224"/>
      <c r="V247" s="227"/>
    </row>
    <row r="248" spans="2:22" x14ac:dyDescent="0.25">
      <c r="B248" t="str">
        <f t="shared" si="12"/>
        <v>PicardiePommier</v>
      </c>
      <c r="C248" t="str">
        <f t="shared" si="13"/>
        <v>PicardiePommierPommier</v>
      </c>
      <c r="E248" s="234" t="s">
        <v>28</v>
      </c>
      <c r="F248" s="137" t="s">
        <v>164</v>
      </c>
      <c r="G248" s="137" t="s">
        <v>164</v>
      </c>
      <c r="H248" s="224">
        <v>0.04</v>
      </c>
      <c r="I248" s="224">
        <v>0.67</v>
      </c>
      <c r="J248" s="224">
        <v>11.76</v>
      </c>
      <c r="K248" s="227">
        <v>28.31</v>
      </c>
      <c r="L248" s="198"/>
      <c r="M248" s="293" t="str">
        <f t="shared" si="14"/>
        <v>PicardiePommier</v>
      </c>
      <c r="N248" s="293" t="str">
        <f t="shared" si="15"/>
        <v>PicardiePommierPommier</v>
      </c>
      <c r="P248" s="244" t="s">
        <v>28</v>
      </c>
      <c r="Q248" s="245" t="s">
        <v>164</v>
      </c>
      <c r="R248" s="245" t="s">
        <v>164</v>
      </c>
      <c r="S248" s="224"/>
      <c r="T248" s="224"/>
      <c r="U248" s="224"/>
      <c r="V248" s="227"/>
    </row>
    <row r="249" spans="2:22" ht="15.75" thickBot="1" x14ac:dyDescent="0.3">
      <c r="B249" t="str">
        <f t="shared" si="12"/>
        <v>PicardiePrunier</v>
      </c>
      <c r="C249" t="str">
        <f t="shared" si="13"/>
        <v>PicardiePrunierAutres</v>
      </c>
      <c r="E249" s="235" t="s">
        <v>28</v>
      </c>
      <c r="F249" s="236" t="s">
        <v>165</v>
      </c>
      <c r="G249" s="236" t="s">
        <v>173</v>
      </c>
      <c r="H249" s="226">
        <v>0.01</v>
      </c>
      <c r="I249" s="226">
        <v>0.33</v>
      </c>
      <c r="J249" s="226">
        <v>5.14</v>
      </c>
      <c r="K249" s="228">
        <v>9.34</v>
      </c>
      <c r="L249" s="198"/>
      <c r="M249" s="293" t="str">
        <f t="shared" si="14"/>
        <v>PicardiePrunier</v>
      </c>
      <c r="N249" s="293" t="str">
        <f t="shared" si="15"/>
        <v>PicardiePrunierAutres</v>
      </c>
      <c r="P249" s="246" t="s">
        <v>28</v>
      </c>
      <c r="Q249" s="247" t="s">
        <v>165</v>
      </c>
      <c r="R249" s="247" t="s">
        <v>173</v>
      </c>
      <c r="S249" s="226"/>
      <c r="T249" s="226"/>
      <c r="U249" s="226"/>
      <c r="V249" s="228"/>
    </row>
    <row r="250" spans="2:22" ht="15.75" thickTop="1" x14ac:dyDescent="0.25">
      <c r="B250" t="str">
        <f t="shared" si="12"/>
        <v>Poitou-CharentesAbricotier</v>
      </c>
      <c r="C250" t="str">
        <f t="shared" si="13"/>
        <v>Poitou-CharentesAbricotierAbricotier</v>
      </c>
      <c r="E250" s="234" t="s">
        <v>29</v>
      </c>
      <c r="F250" s="137" t="s">
        <v>130</v>
      </c>
      <c r="G250" s="137" t="s">
        <v>130</v>
      </c>
      <c r="H250" s="224">
        <v>0.01</v>
      </c>
      <c r="I250" s="224">
        <v>0.62</v>
      </c>
      <c r="J250" s="224">
        <v>5.1100000000000003</v>
      </c>
      <c r="K250" s="227">
        <v>10.66</v>
      </c>
      <c r="L250" s="198"/>
      <c r="M250" s="293" t="str">
        <f t="shared" si="14"/>
        <v>Poitou-CharentesAbricotier</v>
      </c>
      <c r="N250" s="293" t="str">
        <f t="shared" si="15"/>
        <v>Poitou-CharentesAbricotierAbricotier</v>
      </c>
      <c r="P250" s="244" t="s">
        <v>29</v>
      </c>
      <c r="Q250" s="245" t="s">
        <v>130</v>
      </c>
      <c r="R250" s="245" t="s">
        <v>130</v>
      </c>
      <c r="S250" s="224"/>
      <c r="T250" s="224"/>
      <c r="U250" s="224"/>
      <c r="V250" s="227"/>
    </row>
    <row r="251" spans="2:22" x14ac:dyDescent="0.25">
      <c r="B251" t="str">
        <f t="shared" si="12"/>
        <v>Poitou-CharentesAgrumes</v>
      </c>
      <c r="C251" t="str">
        <f t="shared" si="13"/>
        <v>Poitou-CharentesAgrumesClémentinier</v>
      </c>
      <c r="E251" s="234" t="s">
        <v>29</v>
      </c>
      <c r="F251" s="137" t="s">
        <v>639</v>
      </c>
      <c r="G251" s="137" t="s">
        <v>138</v>
      </c>
      <c r="H251" s="224">
        <v>0</v>
      </c>
      <c r="I251" s="224">
        <v>0.3</v>
      </c>
      <c r="J251" s="224">
        <v>2</v>
      </c>
      <c r="K251" s="227">
        <v>5</v>
      </c>
      <c r="L251" s="198"/>
      <c r="M251" s="293" t="str">
        <f t="shared" si="14"/>
        <v>Poitou-CharentesAgrumes</v>
      </c>
      <c r="N251" s="293" t="str">
        <f t="shared" si="15"/>
        <v>Poitou-CharentesAgrumesClémentinier</v>
      </c>
      <c r="P251" s="244" t="s">
        <v>29</v>
      </c>
      <c r="Q251" s="245" t="s">
        <v>639</v>
      </c>
      <c r="R251" s="245" t="s">
        <v>138</v>
      </c>
      <c r="S251" s="224"/>
      <c r="T251" s="224"/>
      <c r="U251" s="224"/>
      <c r="V251" s="227"/>
    </row>
    <row r="252" spans="2:22" x14ac:dyDescent="0.25">
      <c r="B252" t="str">
        <f t="shared" si="12"/>
        <v>Poitou-CharentesAutres</v>
      </c>
      <c r="C252" t="str">
        <f t="shared" si="13"/>
        <v>Poitou-CharentesAutresPrunier</v>
      </c>
      <c r="E252" s="234" t="s">
        <v>29</v>
      </c>
      <c r="F252" s="137" t="s">
        <v>173</v>
      </c>
      <c r="G252" s="137" t="s">
        <v>165</v>
      </c>
      <c r="H252" s="224">
        <v>0.01</v>
      </c>
      <c r="I252" s="224">
        <v>0.33</v>
      </c>
      <c r="J252" s="224">
        <v>5.14</v>
      </c>
      <c r="K252" s="227">
        <v>9.34</v>
      </c>
      <c r="L252" s="198"/>
      <c r="M252" s="293" t="str">
        <f t="shared" si="14"/>
        <v>Poitou-CharentesAutres</v>
      </c>
      <c r="N252" s="293" t="str">
        <f t="shared" si="15"/>
        <v>Poitou-CharentesAutresPrunier</v>
      </c>
      <c r="P252" s="244" t="s">
        <v>29</v>
      </c>
      <c r="Q252" s="245" t="s">
        <v>173</v>
      </c>
      <c r="R252" s="245" t="s">
        <v>165</v>
      </c>
      <c r="S252" s="224"/>
      <c r="T252" s="224"/>
      <c r="U252" s="224"/>
      <c r="V252" s="227"/>
    </row>
    <row r="253" spans="2:22" x14ac:dyDescent="0.25">
      <c r="B253" t="str">
        <f t="shared" si="12"/>
        <v>Poitou-CharentesCerisier</v>
      </c>
      <c r="C253" t="str">
        <f t="shared" si="13"/>
        <v>Poitou-CharentesCerisierCerisier</v>
      </c>
      <c r="E253" s="234" t="s">
        <v>29</v>
      </c>
      <c r="F253" s="137" t="s">
        <v>135</v>
      </c>
      <c r="G253" s="137" t="s">
        <v>135</v>
      </c>
      <c r="H253" s="224">
        <v>0</v>
      </c>
      <c r="I253" s="224">
        <v>0.36</v>
      </c>
      <c r="J253" s="224">
        <v>4.0599999999999996</v>
      </c>
      <c r="K253" s="227">
        <v>8.0299999999999994</v>
      </c>
      <c r="L253" s="198"/>
      <c r="M253" s="293" t="str">
        <f t="shared" si="14"/>
        <v>Poitou-CharentesCerisier</v>
      </c>
      <c r="N253" s="293" t="str">
        <f t="shared" si="15"/>
        <v>Poitou-CharentesCerisierCerisier</v>
      </c>
      <c r="P253" s="244" t="s">
        <v>29</v>
      </c>
      <c r="Q253" s="245" t="s">
        <v>135</v>
      </c>
      <c r="R253" s="245" t="s">
        <v>135</v>
      </c>
      <c r="S253" s="224"/>
      <c r="T253" s="224"/>
      <c r="U253" s="224"/>
      <c r="V253" s="227"/>
    </row>
    <row r="254" spans="2:22" x14ac:dyDescent="0.25">
      <c r="B254" t="str">
        <f t="shared" si="12"/>
        <v>Poitou-CharentesMirabellier</v>
      </c>
      <c r="C254" t="str">
        <f t="shared" si="13"/>
        <v>Poitou-CharentesMirabellierAutres</v>
      </c>
      <c r="E254" s="234" t="s">
        <v>29</v>
      </c>
      <c r="F254" s="137" t="s">
        <v>148</v>
      </c>
      <c r="G254" s="137" t="s">
        <v>173</v>
      </c>
      <c r="H254" s="224">
        <v>0.01</v>
      </c>
      <c r="I254" s="224">
        <v>0.33</v>
      </c>
      <c r="J254" s="224">
        <v>5.14</v>
      </c>
      <c r="K254" s="227">
        <v>9.34</v>
      </c>
      <c r="L254" s="198"/>
      <c r="M254" s="293" t="str">
        <f t="shared" si="14"/>
        <v>Poitou-CharentesMirabellier</v>
      </c>
      <c r="N254" s="293" t="str">
        <f t="shared" si="15"/>
        <v>Poitou-CharentesMirabellierAutres</v>
      </c>
      <c r="P254" s="244" t="s">
        <v>29</v>
      </c>
      <c r="Q254" s="245" t="s">
        <v>148</v>
      </c>
      <c r="R254" s="245" t="s">
        <v>173</v>
      </c>
      <c r="S254" s="224"/>
      <c r="T254" s="224"/>
      <c r="U254" s="224"/>
      <c r="V254" s="227"/>
    </row>
    <row r="255" spans="2:22" x14ac:dyDescent="0.25">
      <c r="B255" t="str">
        <f t="shared" si="12"/>
        <v>Poitou-CharentesNectarinier</v>
      </c>
      <c r="C255" t="str">
        <f t="shared" si="13"/>
        <v>Poitou-CharentesNectarinierNectarinier-Pêcher</v>
      </c>
      <c r="E255" s="234" t="s">
        <v>29</v>
      </c>
      <c r="F255" s="137" t="s">
        <v>154</v>
      </c>
      <c r="G255" s="137" t="s">
        <v>640</v>
      </c>
      <c r="H255" s="224">
        <v>0.03</v>
      </c>
      <c r="I255" s="224">
        <v>0.84</v>
      </c>
      <c r="J255" s="224">
        <v>9.25</v>
      </c>
      <c r="K255" s="227">
        <v>19.38</v>
      </c>
      <c r="L255" s="198"/>
      <c r="M255" s="293" t="str">
        <f t="shared" si="14"/>
        <v>Poitou-CharentesNectarinier</v>
      </c>
      <c r="N255" s="293" t="str">
        <f t="shared" si="15"/>
        <v>Poitou-CharentesNectarinierNectarinier-Pêcher</v>
      </c>
      <c r="P255" s="244" t="s">
        <v>29</v>
      </c>
      <c r="Q255" s="245" t="s">
        <v>154</v>
      </c>
      <c r="R255" s="245" t="s">
        <v>640</v>
      </c>
      <c r="S255" s="224"/>
      <c r="T255" s="224"/>
      <c r="U255" s="224"/>
      <c r="V255" s="227"/>
    </row>
    <row r="256" spans="2:22" x14ac:dyDescent="0.25">
      <c r="B256" t="str">
        <f t="shared" si="12"/>
        <v>Poitou-CharentesNoyer</v>
      </c>
      <c r="C256" t="str">
        <f t="shared" si="13"/>
        <v>Poitou-CharentesNoyerAutres</v>
      </c>
      <c r="E256" s="234" t="s">
        <v>29</v>
      </c>
      <c r="F256" s="137" t="s">
        <v>157</v>
      </c>
      <c r="G256" s="137" t="s">
        <v>173</v>
      </c>
      <c r="H256" s="224">
        <v>0.01</v>
      </c>
      <c r="I256" s="224">
        <v>0.33</v>
      </c>
      <c r="J256" s="224">
        <v>5.14</v>
      </c>
      <c r="K256" s="227">
        <v>9.34</v>
      </c>
      <c r="L256" s="198"/>
      <c r="M256" s="293" t="str">
        <f t="shared" si="14"/>
        <v>Poitou-CharentesNoyer</v>
      </c>
      <c r="N256" s="293" t="str">
        <f t="shared" si="15"/>
        <v>Poitou-CharentesNoyerAutres</v>
      </c>
      <c r="P256" s="244" t="s">
        <v>29</v>
      </c>
      <c r="Q256" s="245" t="s">
        <v>157</v>
      </c>
      <c r="R256" s="245" t="s">
        <v>173</v>
      </c>
      <c r="S256" s="224"/>
      <c r="T256" s="224"/>
      <c r="U256" s="224"/>
      <c r="V256" s="227"/>
    </row>
    <row r="257" spans="2:22" x14ac:dyDescent="0.25">
      <c r="B257" t="str">
        <f t="shared" si="12"/>
        <v>Poitou-CharentesPêcher</v>
      </c>
      <c r="C257" t="str">
        <f t="shared" si="13"/>
        <v>Poitou-CharentesPêcherNectarinier-Pêcher</v>
      </c>
      <c r="E257" s="234" t="s">
        <v>29</v>
      </c>
      <c r="F257" s="137" t="s">
        <v>161</v>
      </c>
      <c r="G257" s="137" t="s">
        <v>640</v>
      </c>
      <c r="H257" s="224">
        <v>0.03</v>
      </c>
      <c r="I257" s="224">
        <v>0.84</v>
      </c>
      <c r="J257" s="224">
        <v>9.25</v>
      </c>
      <c r="K257" s="227">
        <v>19.38</v>
      </c>
      <c r="L257" s="198"/>
      <c r="M257" s="293" t="str">
        <f t="shared" si="14"/>
        <v>Poitou-CharentesPêcher</v>
      </c>
      <c r="N257" s="293" t="str">
        <f t="shared" si="15"/>
        <v>Poitou-CharentesPêcherNectarinier-Pêcher</v>
      </c>
      <c r="P257" s="244" t="s">
        <v>29</v>
      </c>
      <c r="Q257" s="245" t="s">
        <v>161</v>
      </c>
      <c r="R257" s="245" t="s">
        <v>640</v>
      </c>
      <c r="S257" s="224"/>
      <c r="T257" s="224"/>
      <c r="U257" s="224"/>
      <c r="V257" s="227"/>
    </row>
    <row r="258" spans="2:22" x14ac:dyDescent="0.25">
      <c r="B258" t="str">
        <f t="shared" si="12"/>
        <v>Poitou-CharentesPoirier</v>
      </c>
      <c r="C258" t="str">
        <f t="shared" si="13"/>
        <v>Poitou-CharentesPoirierAutres</v>
      </c>
      <c r="E258" s="234" t="s">
        <v>29</v>
      </c>
      <c r="F258" s="137" t="s">
        <v>162</v>
      </c>
      <c r="G258" s="137" t="s">
        <v>173</v>
      </c>
      <c r="H258" s="224">
        <v>0.01</v>
      </c>
      <c r="I258" s="224">
        <v>0.33</v>
      </c>
      <c r="J258" s="224">
        <v>5.14</v>
      </c>
      <c r="K258" s="227">
        <v>9.34</v>
      </c>
      <c r="L258" s="198"/>
      <c r="M258" s="293" t="str">
        <f t="shared" si="14"/>
        <v>Poitou-CharentesPoirier</v>
      </c>
      <c r="N258" s="293" t="str">
        <f t="shared" si="15"/>
        <v>Poitou-CharentesPoirierAutres</v>
      </c>
      <c r="P258" s="244" t="s">
        <v>29</v>
      </c>
      <c r="Q258" s="245" t="s">
        <v>162</v>
      </c>
      <c r="R258" s="245" t="s">
        <v>173</v>
      </c>
      <c r="S258" s="224"/>
      <c r="T258" s="224"/>
      <c r="U258" s="224"/>
      <c r="V258" s="227"/>
    </row>
    <row r="259" spans="2:22" x14ac:dyDescent="0.25">
      <c r="B259" t="str">
        <f t="shared" si="12"/>
        <v>Poitou-CharentesPommier</v>
      </c>
      <c r="C259" t="str">
        <f t="shared" si="13"/>
        <v>Poitou-CharentesPommierPommier</v>
      </c>
      <c r="E259" s="234" t="s">
        <v>29</v>
      </c>
      <c r="F259" s="137" t="s">
        <v>164</v>
      </c>
      <c r="G259" s="137" t="s">
        <v>164</v>
      </c>
      <c r="H259" s="224">
        <v>0.12</v>
      </c>
      <c r="I259" s="224">
        <v>0.91</v>
      </c>
      <c r="J259" s="224">
        <v>29.73</v>
      </c>
      <c r="K259" s="227">
        <v>40.08</v>
      </c>
      <c r="L259" s="198"/>
      <c r="M259" s="293" t="str">
        <f t="shared" si="14"/>
        <v>Poitou-CharentesPommier</v>
      </c>
      <c r="N259" s="293" t="str">
        <f t="shared" si="15"/>
        <v>Poitou-CharentesPommierPommier</v>
      </c>
      <c r="P259" s="244" t="s">
        <v>29</v>
      </c>
      <c r="Q259" s="245" t="s">
        <v>164</v>
      </c>
      <c r="R259" s="245" t="s">
        <v>164</v>
      </c>
      <c r="S259" s="224"/>
      <c r="T259" s="224"/>
      <c r="U259" s="224"/>
      <c r="V259" s="227"/>
    </row>
    <row r="260" spans="2:22" ht="15.75" thickBot="1" x14ac:dyDescent="0.3">
      <c r="B260" t="str">
        <f t="shared" si="12"/>
        <v>Poitou-CharentesPrunier</v>
      </c>
      <c r="C260" t="str">
        <f t="shared" si="13"/>
        <v>Poitou-CharentesPrunierAutres</v>
      </c>
      <c r="E260" s="235" t="s">
        <v>29</v>
      </c>
      <c r="F260" s="236" t="s">
        <v>165</v>
      </c>
      <c r="G260" s="236" t="s">
        <v>173</v>
      </c>
      <c r="H260" s="226">
        <v>0.01</v>
      </c>
      <c r="I260" s="226">
        <v>0.33</v>
      </c>
      <c r="J260" s="226">
        <v>5.14</v>
      </c>
      <c r="K260" s="228">
        <v>9.34</v>
      </c>
      <c r="L260" s="198"/>
      <c r="M260" s="293" t="str">
        <f t="shared" si="14"/>
        <v>Poitou-CharentesPrunier</v>
      </c>
      <c r="N260" s="293" t="str">
        <f t="shared" si="15"/>
        <v>Poitou-CharentesPrunierAutres</v>
      </c>
      <c r="P260" s="246" t="s">
        <v>29</v>
      </c>
      <c r="Q260" s="247" t="s">
        <v>165</v>
      </c>
      <c r="R260" s="247" t="s">
        <v>173</v>
      </c>
      <c r="S260" s="226"/>
      <c r="T260" s="226"/>
      <c r="U260" s="226"/>
      <c r="V260" s="228"/>
    </row>
    <row r="261" spans="2:22" ht="15.75" thickTop="1" x14ac:dyDescent="0.25">
      <c r="B261" t="str">
        <f t="shared" si="12"/>
        <v>Provence-Alpes-Côte d'AzurAbricotier</v>
      </c>
      <c r="C261" t="str">
        <f t="shared" si="13"/>
        <v>Provence-Alpes-Côte d'AzurAbricotierAbricotier</v>
      </c>
      <c r="E261" s="411" t="s">
        <v>30</v>
      </c>
      <c r="F261" s="137" t="s">
        <v>130</v>
      </c>
      <c r="G261" s="137" t="s">
        <v>130</v>
      </c>
      <c r="H261" s="224">
        <v>0</v>
      </c>
      <c r="I261" s="224">
        <v>0.27</v>
      </c>
      <c r="J261" s="224">
        <v>5.47</v>
      </c>
      <c r="K261" s="227">
        <v>10.54</v>
      </c>
      <c r="L261" s="198"/>
      <c r="M261" s="293" t="str">
        <f t="shared" si="14"/>
        <v>Provence-Alpes-Côte d'AzurAbricotier</v>
      </c>
      <c r="N261" s="293" t="str">
        <f t="shared" si="15"/>
        <v>Provence-Alpes-Côte d'AzurAbricotierAbricotier</v>
      </c>
      <c r="P261" s="244" t="s">
        <v>30</v>
      </c>
      <c r="Q261" s="245" t="s">
        <v>130</v>
      </c>
      <c r="R261" s="245" t="s">
        <v>130</v>
      </c>
      <c r="S261" s="224"/>
      <c r="T261" s="224"/>
      <c r="U261" s="224"/>
      <c r="V261" s="227"/>
    </row>
    <row r="262" spans="2:22" x14ac:dyDescent="0.25">
      <c r="B262" t="str">
        <f t="shared" ref="B262:B282" si="16">E262&amp;F262</f>
        <v>Provence-Alpes-Côte d'AzurAgrumes</v>
      </c>
      <c r="C262" t="str">
        <f t="shared" ref="C262:C282" si="17">E262&amp;F262&amp;G262</f>
        <v>Provence-Alpes-Côte d'AzurAgrumesClémentinier</v>
      </c>
      <c r="E262" s="234" t="s">
        <v>30</v>
      </c>
      <c r="F262" s="137" t="s">
        <v>639</v>
      </c>
      <c r="G262" s="137" t="s">
        <v>138</v>
      </c>
      <c r="H262" s="224">
        <v>0</v>
      </c>
      <c r="I262" s="224">
        <v>0.3</v>
      </c>
      <c r="J262" s="224">
        <v>2</v>
      </c>
      <c r="K262" s="227">
        <v>5</v>
      </c>
      <c r="L262" s="198"/>
      <c r="M262" s="293" t="str">
        <f t="shared" ref="M262:M282" si="18">P262&amp;Q262</f>
        <v>Provence-Alpes-Côte d'AzurAgrumes</v>
      </c>
      <c r="N262" s="293" t="str">
        <f t="shared" ref="N262:N282" si="19">P262&amp;Q262&amp;R262</f>
        <v>Provence-Alpes-Côte d'AzurAgrumesClémentinier</v>
      </c>
      <c r="P262" s="244" t="s">
        <v>30</v>
      </c>
      <c r="Q262" s="245" t="s">
        <v>639</v>
      </c>
      <c r="R262" s="245" t="s">
        <v>138</v>
      </c>
      <c r="S262" s="224"/>
      <c r="T262" s="224"/>
      <c r="U262" s="224"/>
      <c r="V262" s="227"/>
    </row>
    <row r="263" spans="2:22" x14ac:dyDescent="0.25">
      <c r="B263" t="str">
        <f t="shared" si="16"/>
        <v>Provence-Alpes-Côte d'AzurAutres</v>
      </c>
      <c r="C263" t="str">
        <f t="shared" si="17"/>
        <v>Provence-Alpes-Côte d'AzurAutresPrunier</v>
      </c>
      <c r="E263" s="234" t="s">
        <v>30</v>
      </c>
      <c r="F263" s="137" t="s">
        <v>173</v>
      </c>
      <c r="G263" s="137" t="s">
        <v>165</v>
      </c>
      <c r="H263" s="224">
        <v>0</v>
      </c>
      <c r="I263" s="224">
        <v>0.27</v>
      </c>
      <c r="J263" s="224">
        <v>4.9400000000000004</v>
      </c>
      <c r="K263" s="227">
        <v>9.81</v>
      </c>
      <c r="L263" s="198"/>
      <c r="M263" s="293" t="str">
        <f t="shared" si="18"/>
        <v>Provence-Alpes-Côte d'AzurAutres</v>
      </c>
      <c r="N263" s="293" t="str">
        <f t="shared" si="19"/>
        <v>Provence-Alpes-Côte d'AzurAutresPrunier</v>
      </c>
      <c r="P263" s="244" t="s">
        <v>30</v>
      </c>
      <c r="Q263" s="245" t="s">
        <v>173</v>
      </c>
      <c r="R263" s="245" t="s">
        <v>165</v>
      </c>
      <c r="S263" s="224"/>
      <c r="T263" s="224"/>
      <c r="U263" s="224"/>
      <c r="V263" s="227"/>
    </row>
    <row r="264" spans="2:22" x14ac:dyDescent="0.25">
      <c r="B264" t="str">
        <f t="shared" si="16"/>
        <v>Provence-Alpes-Côte d'AzurCerisier</v>
      </c>
      <c r="C264" t="str">
        <f t="shared" si="17"/>
        <v>Provence-Alpes-Côte d'AzurCerisierCerisier</v>
      </c>
      <c r="E264" s="234" t="s">
        <v>30</v>
      </c>
      <c r="F264" s="137" t="s">
        <v>135</v>
      </c>
      <c r="G264" s="137" t="s">
        <v>135</v>
      </c>
      <c r="H264" s="224">
        <v>0</v>
      </c>
      <c r="I264" s="224">
        <v>0.16</v>
      </c>
      <c r="J264" s="224">
        <v>3.77</v>
      </c>
      <c r="K264" s="227">
        <v>7.07</v>
      </c>
      <c r="L264" s="198"/>
      <c r="M264" s="293" t="str">
        <f t="shared" si="18"/>
        <v>Provence-Alpes-Côte d'AzurCerisier</v>
      </c>
      <c r="N264" s="293" t="str">
        <f t="shared" si="19"/>
        <v>Provence-Alpes-Côte d'AzurCerisierCerisier</v>
      </c>
      <c r="P264" s="244" t="s">
        <v>30</v>
      </c>
      <c r="Q264" s="245" t="s">
        <v>135</v>
      </c>
      <c r="R264" s="245" t="s">
        <v>135</v>
      </c>
      <c r="S264" s="224"/>
      <c r="T264" s="224"/>
      <c r="U264" s="224"/>
      <c r="V264" s="227"/>
    </row>
    <row r="265" spans="2:22" x14ac:dyDescent="0.25">
      <c r="B265" t="str">
        <f t="shared" si="16"/>
        <v>Provence-Alpes-Côte d'AzurMirabellier</v>
      </c>
      <c r="C265" t="str">
        <f t="shared" si="17"/>
        <v>Provence-Alpes-Côte d'AzurMirabellierAutres</v>
      </c>
      <c r="E265" s="234" t="s">
        <v>30</v>
      </c>
      <c r="F265" s="137" t="s">
        <v>148</v>
      </c>
      <c r="G265" s="137" t="s">
        <v>173</v>
      </c>
      <c r="H265" s="224">
        <v>0</v>
      </c>
      <c r="I265" s="224">
        <v>0.27</v>
      </c>
      <c r="J265" s="224">
        <v>4.9400000000000004</v>
      </c>
      <c r="K265" s="227">
        <v>9.81</v>
      </c>
      <c r="L265" s="198"/>
      <c r="M265" s="293" t="str">
        <f t="shared" si="18"/>
        <v>Provence-Alpes-Côte d'AzurMirabellier</v>
      </c>
      <c r="N265" s="293" t="str">
        <f t="shared" si="19"/>
        <v>Provence-Alpes-Côte d'AzurMirabellierAutres</v>
      </c>
      <c r="P265" s="244" t="s">
        <v>30</v>
      </c>
      <c r="Q265" s="245" t="s">
        <v>148</v>
      </c>
      <c r="R265" s="245" t="s">
        <v>173</v>
      </c>
      <c r="S265" s="224"/>
      <c r="T265" s="224"/>
      <c r="U265" s="224"/>
      <c r="V265" s="227"/>
    </row>
    <row r="266" spans="2:22" x14ac:dyDescent="0.25">
      <c r="B266" t="str">
        <f t="shared" si="16"/>
        <v>Provence-Alpes-Côte d'AzurNectarinier</v>
      </c>
      <c r="C266" t="str">
        <f t="shared" si="17"/>
        <v>Provence-Alpes-Côte d'AzurNectarinierNectarinier-Pêcher</v>
      </c>
      <c r="E266" s="234" t="s">
        <v>30</v>
      </c>
      <c r="F266" s="137" t="s">
        <v>154</v>
      </c>
      <c r="G266" s="137" t="s">
        <v>640</v>
      </c>
      <c r="H266" s="224">
        <v>0.13</v>
      </c>
      <c r="I266" s="224">
        <v>0.73</v>
      </c>
      <c r="J266" s="224">
        <v>14.32</v>
      </c>
      <c r="K266" s="227">
        <v>21.06</v>
      </c>
      <c r="L266" s="198"/>
      <c r="M266" s="293" t="str">
        <f t="shared" si="18"/>
        <v>Provence-Alpes-Côte d'AzurNectarinier</v>
      </c>
      <c r="N266" s="293" t="str">
        <f t="shared" si="19"/>
        <v>Provence-Alpes-Côte d'AzurNectarinierNectarinier-Pêcher</v>
      </c>
      <c r="P266" s="244" t="s">
        <v>30</v>
      </c>
      <c r="Q266" s="245" t="s">
        <v>154</v>
      </c>
      <c r="R266" s="245" t="s">
        <v>640</v>
      </c>
      <c r="S266" s="224"/>
      <c r="T266" s="224"/>
      <c r="U266" s="224"/>
      <c r="V266" s="227"/>
    </row>
    <row r="267" spans="2:22" x14ac:dyDescent="0.25">
      <c r="B267" t="str">
        <f t="shared" si="16"/>
        <v>Provence-Alpes-Côte d'AzurNoyer</v>
      </c>
      <c r="C267" t="str">
        <f t="shared" si="17"/>
        <v>Provence-Alpes-Côte d'AzurNoyerAutres</v>
      </c>
      <c r="E267" s="234" t="s">
        <v>30</v>
      </c>
      <c r="F267" s="137" t="s">
        <v>157</v>
      </c>
      <c r="G267" s="137" t="s">
        <v>173</v>
      </c>
      <c r="H267" s="224">
        <v>0</v>
      </c>
      <c r="I267" s="224">
        <v>0.27</v>
      </c>
      <c r="J267" s="224">
        <v>4.9400000000000004</v>
      </c>
      <c r="K267" s="227">
        <v>9.81</v>
      </c>
      <c r="L267" s="198"/>
      <c r="M267" s="293" t="str">
        <f t="shared" si="18"/>
        <v>Provence-Alpes-Côte d'AzurNoyer</v>
      </c>
      <c r="N267" s="293" t="str">
        <f t="shared" si="19"/>
        <v>Provence-Alpes-Côte d'AzurNoyerAutres</v>
      </c>
      <c r="P267" s="244" t="s">
        <v>30</v>
      </c>
      <c r="Q267" s="245" t="s">
        <v>157</v>
      </c>
      <c r="R267" s="245" t="s">
        <v>173</v>
      </c>
      <c r="S267" s="224"/>
      <c r="T267" s="224"/>
      <c r="U267" s="224"/>
      <c r="V267" s="227"/>
    </row>
    <row r="268" spans="2:22" x14ac:dyDescent="0.25">
      <c r="B268" t="str">
        <f t="shared" si="16"/>
        <v>Provence-Alpes-Côte d'AzurPêcher</v>
      </c>
      <c r="C268" t="str">
        <f t="shared" si="17"/>
        <v>Provence-Alpes-Côte d'AzurPêcherNectarinier-Pêcher</v>
      </c>
      <c r="E268" s="234" t="s">
        <v>30</v>
      </c>
      <c r="F268" s="137" t="s">
        <v>161</v>
      </c>
      <c r="G268" s="137" t="s">
        <v>640</v>
      </c>
      <c r="H268" s="224">
        <v>0.13</v>
      </c>
      <c r="I268" s="224">
        <v>0.73</v>
      </c>
      <c r="J268" s="224">
        <v>14.32</v>
      </c>
      <c r="K268" s="227">
        <v>21.06</v>
      </c>
      <c r="L268" s="198"/>
      <c r="M268" s="293" t="str">
        <f t="shared" si="18"/>
        <v>Provence-Alpes-Côte d'AzurPêcher</v>
      </c>
      <c r="N268" s="293" t="str">
        <f t="shared" si="19"/>
        <v>Provence-Alpes-Côte d'AzurPêcherNectarinier-Pêcher</v>
      </c>
      <c r="P268" s="244" t="s">
        <v>30</v>
      </c>
      <c r="Q268" s="245" t="s">
        <v>161</v>
      </c>
      <c r="R268" s="245" t="s">
        <v>640</v>
      </c>
      <c r="S268" s="224"/>
      <c r="T268" s="224"/>
      <c r="U268" s="224"/>
      <c r="V268" s="227"/>
    </row>
    <row r="269" spans="2:22" x14ac:dyDescent="0.25">
      <c r="B269" t="str">
        <f t="shared" si="16"/>
        <v>Provence-Alpes-Côte d'AzurPoirier</v>
      </c>
      <c r="C269" t="str">
        <f t="shared" si="17"/>
        <v>Provence-Alpes-Côte d'AzurPoirierAutres</v>
      </c>
      <c r="E269" s="234" t="s">
        <v>30</v>
      </c>
      <c r="F269" s="137" t="s">
        <v>162</v>
      </c>
      <c r="G269" s="137" t="s">
        <v>173</v>
      </c>
      <c r="H269" s="224">
        <v>0</v>
      </c>
      <c r="I269" s="224">
        <v>0.27</v>
      </c>
      <c r="J269" s="224">
        <v>4.9400000000000004</v>
      </c>
      <c r="K269" s="227">
        <v>9.81</v>
      </c>
      <c r="L269" s="198"/>
      <c r="M269" s="293" t="str">
        <f t="shared" si="18"/>
        <v>Provence-Alpes-Côte d'AzurPoirier</v>
      </c>
      <c r="N269" s="293" t="str">
        <f t="shared" si="19"/>
        <v>Provence-Alpes-Côte d'AzurPoirierAutres</v>
      </c>
      <c r="P269" s="244" t="s">
        <v>30</v>
      </c>
      <c r="Q269" s="245" t="s">
        <v>162</v>
      </c>
      <c r="R269" s="245" t="s">
        <v>173</v>
      </c>
      <c r="S269" s="224"/>
      <c r="T269" s="224"/>
      <c r="U269" s="224"/>
      <c r="V269" s="227"/>
    </row>
    <row r="270" spans="2:22" x14ac:dyDescent="0.25">
      <c r="B270" t="str">
        <f t="shared" si="16"/>
        <v>Provence-Alpes-Côte d'AzurPommier</v>
      </c>
      <c r="C270" t="str">
        <f t="shared" si="17"/>
        <v>Provence-Alpes-Côte d'AzurPommierPommier</v>
      </c>
      <c r="E270" s="234" t="s">
        <v>30</v>
      </c>
      <c r="F270" s="137" t="s">
        <v>164</v>
      </c>
      <c r="G270" s="137" t="s">
        <v>164</v>
      </c>
      <c r="H270" s="224">
        <v>0</v>
      </c>
      <c r="I270" s="224">
        <v>0.31</v>
      </c>
      <c r="J270" s="224">
        <v>15.05</v>
      </c>
      <c r="K270" s="227">
        <v>25.75</v>
      </c>
      <c r="L270" s="198"/>
      <c r="M270" s="293" t="str">
        <f t="shared" si="18"/>
        <v>Provence-Alpes-Côte d'AzurPommier</v>
      </c>
      <c r="N270" s="293" t="str">
        <f t="shared" si="19"/>
        <v>Provence-Alpes-Côte d'AzurPommierPommier</v>
      </c>
      <c r="P270" s="244" t="s">
        <v>30</v>
      </c>
      <c r="Q270" s="245" t="s">
        <v>164</v>
      </c>
      <c r="R270" s="245" t="s">
        <v>164</v>
      </c>
      <c r="S270" s="224"/>
      <c r="T270" s="224"/>
      <c r="U270" s="224"/>
      <c r="V270" s="227"/>
    </row>
    <row r="271" spans="2:22" ht="15.75" thickBot="1" x14ac:dyDescent="0.3">
      <c r="B271" t="str">
        <f t="shared" si="16"/>
        <v>Provence-Alpes-Côte d'AzurPrunier</v>
      </c>
      <c r="C271" t="str">
        <f t="shared" si="17"/>
        <v>Provence-Alpes-Côte d'AzurPrunierPrunier</v>
      </c>
      <c r="E271" s="235" t="s">
        <v>30</v>
      </c>
      <c r="F271" s="236" t="s">
        <v>165</v>
      </c>
      <c r="G271" s="236" t="s">
        <v>165</v>
      </c>
      <c r="H271" s="226">
        <v>0</v>
      </c>
      <c r="I271" s="226">
        <v>0.27</v>
      </c>
      <c r="J271" s="226">
        <v>4.9400000000000004</v>
      </c>
      <c r="K271" s="228">
        <v>9.81</v>
      </c>
      <c r="L271" s="198"/>
      <c r="M271" s="293" t="str">
        <f t="shared" si="18"/>
        <v>Provence-Alpes-Côte d'AzurPrunier</v>
      </c>
      <c r="N271" s="293" t="str">
        <f t="shared" si="19"/>
        <v>Provence-Alpes-Côte d'AzurPrunierPrunier</v>
      </c>
      <c r="P271" s="246" t="s">
        <v>30</v>
      </c>
      <c r="Q271" s="247" t="s">
        <v>165</v>
      </c>
      <c r="R271" s="247" t="s">
        <v>165</v>
      </c>
      <c r="S271" s="226"/>
      <c r="T271" s="226"/>
      <c r="U271" s="226"/>
      <c r="V271" s="228"/>
    </row>
    <row r="272" spans="2:22" ht="15.75" thickTop="1" x14ac:dyDescent="0.25">
      <c r="B272" t="str">
        <f t="shared" si="16"/>
        <v>Rhône-AlpesAbricotier</v>
      </c>
      <c r="C272" t="str">
        <f t="shared" si="17"/>
        <v>Rhône-AlpesAbricotierAbricotier</v>
      </c>
      <c r="E272" s="234" t="s">
        <v>31</v>
      </c>
      <c r="F272" s="137" t="s">
        <v>130</v>
      </c>
      <c r="G272" s="137" t="s">
        <v>130</v>
      </c>
      <c r="H272" s="224">
        <v>0.13</v>
      </c>
      <c r="I272" s="224">
        <v>0.88</v>
      </c>
      <c r="J272" s="224">
        <v>6.19</v>
      </c>
      <c r="K272" s="227">
        <v>11.56</v>
      </c>
      <c r="L272" s="198"/>
      <c r="M272" s="293" t="str">
        <f t="shared" si="18"/>
        <v>Rhône-AlpesAbricotier</v>
      </c>
      <c r="N272" s="293" t="str">
        <f t="shared" si="19"/>
        <v>Rhône-AlpesAbricotierAbricotier</v>
      </c>
      <c r="P272" s="244" t="s">
        <v>31</v>
      </c>
      <c r="Q272" s="245" t="s">
        <v>130</v>
      </c>
      <c r="R272" s="245" t="s">
        <v>130</v>
      </c>
      <c r="S272" s="224"/>
      <c r="T272" s="224"/>
      <c r="U272" s="224"/>
      <c r="V272" s="227"/>
    </row>
    <row r="273" spans="2:22" x14ac:dyDescent="0.25">
      <c r="B273" t="str">
        <f t="shared" si="16"/>
        <v>Rhône-AlpesAgrumes</v>
      </c>
      <c r="C273" t="str">
        <f t="shared" si="17"/>
        <v>Rhône-AlpesAgrumesClémentinier</v>
      </c>
      <c r="E273" s="234" t="s">
        <v>31</v>
      </c>
      <c r="F273" s="137" t="s">
        <v>639</v>
      </c>
      <c r="G273" s="137" t="s">
        <v>138</v>
      </c>
      <c r="H273" s="224">
        <v>0</v>
      </c>
      <c r="I273" s="224">
        <v>0.3</v>
      </c>
      <c r="J273" s="224">
        <v>2</v>
      </c>
      <c r="K273" s="227">
        <v>5</v>
      </c>
      <c r="L273" s="198"/>
      <c r="M273" s="293" t="str">
        <f t="shared" si="18"/>
        <v>Rhône-AlpesAgrumes</v>
      </c>
      <c r="N273" s="293" t="str">
        <f t="shared" si="19"/>
        <v>Rhône-AlpesAgrumesClémentinier</v>
      </c>
      <c r="P273" s="244" t="s">
        <v>31</v>
      </c>
      <c r="Q273" s="245" t="s">
        <v>639</v>
      </c>
      <c r="R273" s="245" t="s">
        <v>138</v>
      </c>
      <c r="S273" s="224"/>
      <c r="T273" s="224"/>
      <c r="U273" s="224"/>
      <c r="V273" s="227"/>
    </row>
    <row r="274" spans="2:22" x14ac:dyDescent="0.25">
      <c r="B274" t="str">
        <f t="shared" si="16"/>
        <v>Rhône-AlpesAutres</v>
      </c>
      <c r="C274" t="str">
        <f t="shared" si="17"/>
        <v>Rhône-AlpesAutresPrunier</v>
      </c>
      <c r="E274" s="234" t="s">
        <v>31</v>
      </c>
      <c r="F274" s="137" t="s">
        <v>173</v>
      </c>
      <c r="G274" s="137" t="s">
        <v>165</v>
      </c>
      <c r="H274" s="224">
        <v>0.02</v>
      </c>
      <c r="I274" s="224">
        <v>0.52</v>
      </c>
      <c r="J274" s="224">
        <v>4.6399999999999997</v>
      </c>
      <c r="K274" s="227">
        <v>8.34</v>
      </c>
      <c r="L274" s="198"/>
      <c r="M274" s="293" t="str">
        <f t="shared" si="18"/>
        <v>Rhône-AlpesAutres</v>
      </c>
      <c r="N274" s="293" t="str">
        <f t="shared" si="19"/>
        <v>Rhône-AlpesAutresPrunier</v>
      </c>
      <c r="P274" s="244" t="s">
        <v>31</v>
      </c>
      <c r="Q274" s="245" t="s">
        <v>173</v>
      </c>
      <c r="R274" s="245" t="s">
        <v>165</v>
      </c>
      <c r="S274" s="224"/>
      <c r="T274" s="224"/>
      <c r="U274" s="224"/>
      <c r="V274" s="227"/>
    </row>
    <row r="275" spans="2:22" x14ac:dyDescent="0.25">
      <c r="B275" t="str">
        <f t="shared" si="16"/>
        <v>Rhône-AlpesCerisier</v>
      </c>
      <c r="C275" t="str">
        <f t="shared" si="17"/>
        <v>Rhône-AlpesCerisierCerisier</v>
      </c>
      <c r="E275" s="234" t="s">
        <v>31</v>
      </c>
      <c r="F275" s="137" t="s">
        <v>135</v>
      </c>
      <c r="G275" s="137" t="s">
        <v>135</v>
      </c>
      <c r="H275" s="224">
        <v>0.04</v>
      </c>
      <c r="I275" s="224">
        <v>0.62</v>
      </c>
      <c r="J275" s="224">
        <v>4.68</v>
      </c>
      <c r="K275" s="227">
        <v>8.69</v>
      </c>
      <c r="L275" s="198"/>
      <c r="M275" s="293" t="str">
        <f t="shared" si="18"/>
        <v>Rhône-AlpesCerisier</v>
      </c>
      <c r="N275" s="293" t="str">
        <f t="shared" si="19"/>
        <v>Rhône-AlpesCerisierCerisier</v>
      </c>
      <c r="P275" s="244" t="s">
        <v>31</v>
      </c>
      <c r="Q275" s="245" t="s">
        <v>135</v>
      </c>
      <c r="R275" s="245" t="s">
        <v>135</v>
      </c>
      <c r="S275" s="224"/>
      <c r="T275" s="224"/>
      <c r="U275" s="224"/>
      <c r="V275" s="227"/>
    </row>
    <row r="276" spans="2:22" x14ac:dyDescent="0.25">
      <c r="B276" t="str">
        <f t="shared" si="16"/>
        <v>Rhône-AlpesMirabellier</v>
      </c>
      <c r="C276" t="str">
        <f t="shared" si="17"/>
        <v>Rhône-AlpesMirabellierAutres</v>
      </c>
      <c r="E276" s="234" t="s">
        <v>31</v>
      </c>
      <c r="F276" s="137" t="s">
        <v>148</v>
      </c>
      <c r="G276" s="137" t="s">
        <v>173</v>
      </c>
      <c r="H276" s="224">
        <v>0.02</v>
      </c>
      <c r="I276" s="224">
        <v>0.52</v>
      </c>
      <c r="J276" s="224">
        <v>4.6399999999999997</v>
      </c>
      <c r="K276" s="227">
        <v>8.34</v>
      </c>
      <c r="L276" s="198"/>
      <c r="M276" s="293" t="str">
        <f t="shared" si="18"/>
        <v>Rhône-AlpesMirabellier</v>
      </c>
      <c r="N276" s="293" t="str">
        <f t="shared" si="19"/>
        <v>Rhône-AlpesMirabellierAutres</v>
      </c>
      <c r="P276" s="244" t="s">
        <v>31</v>
      </c>
      <c r="Q276" s="245" t="s">
        <v>148</v>
      </c>
      <c r="R276" s="245" t="s">
        <v>173</v>
      </c>
      <c r="S276" s="224"/>
      <c r="T276" s="224"/>
      <c r="U276" s="224"/>
      <c r="V276" s="227"/>
    </row>
    <row r="277" spans="2:22" x14ac:dyDescent="0.25">
      <c r="B277" t="str">
        <f t="shared" si="16"/>
        <v>Rhône-AlpesNectarinier</v>
      </c>
      <c r="C277" t="str">
        <f t="shared" si="17"/>
        <v>Rhône-AlpesNectarinierNectarinier-Pêcher</v>
      </c>
      <c r="E277" s="234" t="s">
        <v>31</v>
      </c>
      <c r="F277" s="137" t="s">
        <v>154</v>
      </c>
      <c r="G277" s="137" t="s">
        <v>640</v>
      </c>
      <c r="H277" s="224">
        <v>0.24</v>
      </c>
      <c r="I277" s="224">
        <v>1.1599999999999999</v>
      </c>
      <c r="J277" s="224">
        <v>10.97</v>
      </c>
      <c r="K277" s="227">
        <v>21.59</v>
      </c>
      <c r="L277" s="198"/>
      <c r="M277" s="293" t="str">
        <f t="shared" si="18"/>
        <v>Rhône-AlpesNectarinier</v>
      </c>
      <c r="N277" s="293" t="str">
        <f t="shared" si="19"/>
        <v>Rhône-AlpesNectarinierNectarinier-Pêcher</v>
      </c>
      <c r="P277" s="244" t="s">
        <v>31</v>
      </c>
      <c r="Q277" s="245" t="s">
        <v>154</v>
      </c>
      <c r="R277" s="245" t="s">
        <v>640</v>
      </c>
      <c r="S277" s="224"/>
      <c r="T277" s="224"/>
      <c r="U277" s="224"/>
      <c r="V277" s="227"/>
    </row>
    <row r="278" spans="2:22" x14ac:dyDescent="0.25">
      <c r="B278" t="str">
        <f t="shared" si="16"/>
        <v>Rhône-AlpesNoyer</v>
      </c>
      <c r="C278" t="str">
        <f t="shared" si="17"/>
        <v>Rhône-AlpesNoyerAutres</v>
      </c>
      <c r="E278" s="234" t="s">
        <v>31</v>
      </c>
      <c r="F278" s="137" t="s">
        <v>157</v>
      </c>
      <c r="G278" s="137" t="s">
        <v>173</v>
      </c>
      <c r="H278" s="224">
        <v>0.02</v>
      </c>
      <c r="I278" s="224">
        <v>0.52</v>
      </c>
      <c r="J278" s="224">
        <v>4.6399999999999997</v>
      </c>
      <c r="K278" s="227">
        <v>8.34</v>
      </c>
      <c r="L278" s="198"/>
      <c r="M278" s="293" t="str">
        <f t="shared" si="18"/>
        <v>Rhône-AlpesNoyer</v>
      </c>
      <c r="N278" s="293" t="str">
        <f t="shared" si="19"/>
        <v>Rhône-AlpesNoyerAutres</v>
      </c>
      <c r="P278" s="244" t="s">
        <v>31</v>
      </c>
      <c r="Q278" s="245" t="s">
        <v>157</v>
      </c>
      <c r="R278" s="245" t="s">
        <v>173</v>
      </c>
      <c r="S278" s="224"/>
      <c r="T278" s="224"/>
      <c r="U278" s="224"/>
      <c r="V278" s="227"/>
    </row>
    <row r="279" spans="2:22" x14ac:dyDescent="0.25">
      <c r="B279" t="str">
        <f t="shared" si="16"/>
        <v>Rhône-AlpesPêcher</v>
      </c>
      <c r="C279" t="str">
        <f t="shared" si="17"/>
        <v>Rhône-AlpesPêcherNectarinier-Pêcher</v>
      </c>
      <c r="E279" s="234" t="s">
        <v>31</v>
      </c>
      <c r="F279" s="137" t="s">
        <v>161</v>
      </c>
      <c r="G279" s="137" t="s">
        <v>640</v>
      </c>
      <c r="H279" s="224">
        <v>0.24</v>
      </c>
      <c r="I279" s="224">
        <v>1.1599999999999999</v>
      </c>
      <c r="J279" s="224">
        <v>10.97</v>
      </c>
      <c r="K279" s="227">
        <v>21.59</v>
      </c>
      <c r="L279" s="198"/>
      <c r="M279" s="293" t="str">
        <f t="shared" si="18"/>
        <v>Rhône-AlpesPêcher</v>
      </c>
      <c r="N279" s="293" t="str">
        <f t="shared" si="19"/>
        <v>Rhône-AlpesPêcherNectarinier-Pêcher</v>
      </c>
      <c r="P279" s="244" t="s">
        <v>31</v>
      </c>
      <c r="Q279" s="245" t="s">
        <v>161</v>
      </c>
      <c r="R279" s="245" t="s">
        <v>640</v>
      </c>
      <c r="S279" s="224"/>
      <c r="T279" s="224"/>
      <c r="U279" s="224"/>
      <c r="V279" s="227"/>
    </row>
    <row r="280" spans="2:22" x14ac:dyDescent="0.25">
      <c r="B280" t="str">
        <f t="shared" si="16"/>
        <v>Rhône-AlpesPoirier</v>
      </c>
      <c r="C280" t="str">
        <f t="shared" si="17"/>
        <v>Rhône-AlpesPoirierAutres</v>
      </c>
      <c r="E280" s="234" t="s">
        <v>31</v>
      </c>
      <c r="F280" s="137" t="s">
        <v>162</v>
      </c>
      <c r="G280" s="137" t="s">
        <v>173</v>
      </c>
      <c r="H280" s="224">
        <v>0.02</v>
      </c>
      <c r="I280" s="224">
        <v>0.52</v>
      </c>
      <c r="J280" s="224">
        <v>4.6399999999999997</v>
      </c>
      <c r="K280" s="227">
        <v>8.34</v>
      </c>
      <c r="L280" s="198"/>
      <c r="M280" s="293" t="str">
        <f t="shared" si="18"/>
        <v>Rhône-AlpesPoirier</v>
      </c>
      <c r="N280" s="293" t="str">
        <f t="shared" si="19"/>
        <v>Rhône-AlpesPoirierAutres</v>
      </c>
      <c r="P280" s="244" t="s">
        <v>31</v>
      </c>
      <c r="Q280" s="245" t="s">
        <v>162</v>
      </c>
      <c r="R280" s="245" t="s">
        <v>173</v>
      </c>
      <c r="S280" s="224"/>
      <c r="T280" s="224"/>
      <c r="U280" s="224"/>
      <c r="V280" s="227"/>
    </row>
    <row r="281" spans="2:22" x14ac:dyDescent="0.25">
      <c r="B281" t="str">
        <f t="shared" si="16"/>
        <v>Rhône-AlpesPommier</v>
      </c>
      <c r="C281" t="str">
        <f t="shared" si="17"/>
        <v>Rhône-AlpesPommierPommier</v>
      </c>
      <c r="E281" s="234" t="s">
        <v>31</v>
      </c>
      <c r="F281" s="137" t="s">
        <v>164</v>
      </c>
      <c r="G281" s="137" t="s">
        <v>164</v>
      </c>
      <c r="H281" s="224">
        <v>0</v>
      </c>
      <c r="I281" s="224">
        <v>0.53</v>
      </c>
      <c r="J281" s="224">
        <v>12.52</v>
      </c>
      <c r="K281" s="227">
        <v>26.16</v>
      </c>
      <c r="L281" s="198"/>
      <c r="M281" s="293" t="str">
        <f t="shared" si="18"/>
        <v>Rhône-AlpesPommier</v>
      </c>
      <c r="N281" s="293" t="str">
        <f t="shared" si="19"/>
        <v>Rhône-AlpesPommierPommier</v>
      </c>
      <c r="P281" s="244" t="s">
        <v>31</v>
      </c>
      <c r="Q281" s="245" t="s">
        <v>164</v>
      </c>
      <c r="R281" s="245" t="s">
        <v>164</v>
      </c>
      <c r="S281" s="224"/>
      <c r="T281" s="224"/>
      <c r="U281" s="224"/>
      <c r="V281" s="227"/>
    </row>
    <row r="282" spans="2:22" ht="15.75" thickBot="1" x14ac:dyDescent="0.3">
      <c r="B282" t="str">
        <f t="shared" si="16"/>
        <v>Rhône-AlpesPrunier</v>
      </c>
      <c r="C282" t="str">
        <f t="shared" si="17"/>
        <v>Rhône-AlpesPrunierPrunier</v>
      </c>
      <c r="E282" s="237" t="s">
        <v>31</v>
      </c>
      <c r="F282" s="238" t="s">
        <v>165</v>
      </c>
      <c r="G282" s="238" t="s">
        <v>165</v>
      </c>
      <c r="H282" s="230">
        <v>0.02</v>
      </c>
      <c r="I282" s="230">
        <v>0.52</v>
      </c>
      <c r="J282" s="230">
        <v>4.6399999999999997</v>
      </c>
      <c r="K282" s="231">
        <v>8.34</v>
      </c>
      <c r="L282" s="198"/>
      <c r="M282" s="293" t="str">
        <f t="shared" si="18"/>
        <v>Rhône-AlpesPrunier</v>
      </c>
      <c r="N282" s="293" t="str">
        <f t="shared" si="19"/>
        <v>Rhône-AlpesPrunierPrunier</v>
      </c>
      <c r="P282" s="248" t="s">
        <v>31</v>
      </c>
      <c r="Q282" s="249" t="s">
        <v>165</v>
      </c>
      <c r="R282" s="249" t="s">
        <v>165</v>
      </c>
      <c r="S282" s="230"/>
      <c r="T282" s="230"/>
      <c r="U282" s="230"/>
      <c r="V282" s="231"/>
    </row>
    <row r="284" spans="2:22" x14ac:dyDescent="0.25">
      <c r="E284" s="1048" t="s">
        <v>2594</v>
      </c>
      <c r="F284" s="1049"/>
      <c r="G284" s="1049"/>
      <c r="H284" s="1049"/>
      <c r="I284" s="1049"/>
      <c r="J284" s="1049"/>
      <c r="K284" s="1050"/>
      <c r="P284" s="1048" t="s">
        <v>2578</v>
      </c>
      <c r="Q284" s="1049"/>
      <c r="R284" s="1049"/>
      <c r="S284" s="1049"/>
      <c r="T284" s="1049"/>
      <c r="U284" s="1049"/>
      <c r="V284" s="1050"/>
    </row>
    <row r="285" spans="2:22" x14ac:dyDescent="0.25">
      <c r="E285" s="1048"/>
      <c r="F285" s="1049"/>
      <c r="G285" s="1049"/>
      <c r="H285" s="1049"/>
      <c r="I285" s="1049"/>
      <c r="J285" s="1049"/>
      <c r="K285" s="1050"/>
      <c r="P285" s="1048"/>
      <c r="Q285" s="1049"/>
      <c r="R285" s="1049"/>
      <c r="S285" s="1049"/>
      <c r="T285" s="1049"/>
      <c r="U285" s="1049"/>
      <c r="V285" s="1050"/>
    </row>
    <row r="286" spans="2:22" x14ac:dyDescent="0.25">
      <c r="E286" s="1048"/>
      <c r="F286" s="1049"/>
      <c r="G286" s="1049"/>
      <c r="H286" s="1049"/>
      <c r="I286" s="1049"/>
      <c r="J286" s="1049"/>
      <c r="K286" s="1050"/>
      <c r="P286" s="1048"/>
      <c r="Q286" s="1049"/>
      <c r="R286" s="1049"/>
      <c r="S286" s="1049"/>
      <c r="T286" s="1049"/>
      <c r="U286" s="1049"/>
      <c r="V286" s="1050"/>
    </row>
    <row r="287" spans="2:22" ht="15" customHeight="1" x14ac:dyDescent="0.25">
      <c r="E287" s="1048" t="s">
        <v>2595</v>
      </c>
      <c r="F287" s="1049"/>
      <c r="G287" s="1049"/>
      <c r="H287" s="1049"/>
      <c r="I287" s="1049"/>
      <c r="J287" s="1049"/>
      <c r="K287" s="1050"/>
      <c r="P287" s="1048"/>
      <c r="Q287" s="1049"/>
      <c r="R287" s="1049"/>
      <c r="S287" s="1049"/>
      <c r="T287" s="1049"/>
      <c r="U287" s="1049"/>
      <c r="V287" s="1050"/>
    </row>
    <row r="288" spans="2:22" x14ac:dyDescent="0.25">
      <c r="E288" s="1048"/>
      <c r="F288" s="1049"/>
      <c r="G288" s="1049"/>
      <c r="H288" s="1049"/>
      <c r="I288" s="1049"/>
      <c r="J288" s="1049"/>
      <c r="K288" s="1050"/>
      <c r="P288" s="1048"/>
      <c r="Q288" s="1049"/>
      <c r="R288" s="1049"/>
      <c r="S288" s="1049"/>
      <c r="T288" s="1049"/>
      <c r="U288" s="1049"/>
      <c r="V288" s="1050"/>
    </row>
    <row r="289" spans="5:22" x14ac:dyDescent="0.25">
      <c r="E289" s="1048"/>
      <c r="F289" s="1049"/>
      <c r="G289" s="1049"/>
      <c r="H289" s="1049"/>
      <c r="I289" s="1049"/>
      <c r="J289" s="1049"/>
      <c r="K289" s="1050"/>
      <c r="P289" s="1048"/>
      <c r="Q289" s="1049"/>
      <c r="R289" s="1049"/>
      <c r="S289" s="1049"/>
      <c r="T289" s="1049"/>
      <c r="U289" s="1049"/>
      <c r="V289" s="1050"/>
    </row>
    <row r="290" spans="5:22" x14ac:dyDescent="0.25">
      <c r="E290" s="1048"/>
      <c r="F290" s="1049"/>
      <c r="G290" s="1049"/>
      <c r="H290" s="1049"/>
      <c r="I290" s="1049"/>
      <c r="J290" s="1049"/>
      <c r="K290" s="1050"/>
      <c r="P290" s="1048"/>
      <c r="Q290" s="1049"/>
      <c r="R290" s="1049"/>
      <c r="S290" s="1049"/>
      <c r="T290" s="1049"/>
      <c r="U290" s="1049"/>
      <c r="V290" s="1050"/>
    </row>
    <row r="291" spans="5:22" x14ac:dyDescent="0.25">
      <c r="E291" s="1048"/>
      <c r="F291" s="1049"/>
      <c r="G291" s="1049"/>
      <c r="H291" s="1049"/>
      <c r="I291" s="1049"/>
      <c r="J291" s="1049"/>
      <c r="K291" s="1050"/>
      <c r="P291" s="1048"/>
      <c r="Q291" s="1049"/>
      <c r="R291" s="1049"/>
      <c r="S291" s="1049"/>
      <c r="T291" s="1049"/>
      <c r="U291" s="1049"/>
      <c r="V291" s="1050"/>
    </row>
    <row r="292" spans="5:22" x14ac:dyDescent="0.25">
      <c r="E292" s="1048" t="s">
        <v>2596</v>
      </c>
      <c r="F292" s="1049"/>
      <c r="G292" s="1049"/>
      <c r="H292" s="1049"/>
      <c r="I292" s="1049"/>
      <c r="J292" s="1049"/>
      <c r="K292" s="1050"/>
      <c r="P292" s="1048"/>
      <c r="Q292" s="1049"/>
      <c r="R292" s="1049"/>
      <c r="S292" s="1049"/>
      <c r="T292" s="1049"/>
      <c r="U292" s="1049"/>
      <c r="V292" s="1050"/>
    </row>
    <row r="293" spans="5:22" x14ac:dyDescent="0.25">
      <c r="E293" s="1048"/>
      <c r="F293" s="1049"/>
      <c r="G293" s="1049"/>
      <c r="H293" s="1049"/>
      <c r="I293" s="1049"/>
      <c r="J293" s="1049"/>
      <c r="K293" s="1050"/>
      <c r="P293" s="1048"/>
      <c r="Q293" s="1049"/>
      <c r="R293" s="1049"/>
      <c r="S293" s="1049"/>
      <c r="T293" s="1049"/>
      <c r="U293" s="1049"/>
      <c r="V293" s="1050"/>
    </row>
    <row r="294" spans="5:22" x14ac:dyDescent="0.25">
      <c r="E294" s="1048"/>
      <c r="F294" s="1049"/>
      <c r="G294" s="1049"/>
      <c r="H294" s="1049"/>
      <c r="I294" s="1049"/>
      <c r="J294" s="1049"/>
      <c r="K294" s="1050"/>
      <c r="P294" s="1048"/>
      <c r="Q294" s="1049"/>
      <c r="R294" s="1049"/>
      <c r="S294" s="1049"/>
      <c r="T294" s="1049"/>
      <c r="U294" s="1049"/>
      <c r="V294" s="1050"/>
    </row>
    <row r="295" spans="5:22" x14ac:dyDescent="0.25">
      <c r="E295" s="1048"/>
      <c r="F295" s="1049"/>
      <c r="G295" s="1049"/>
      <c r="H295" s="1049"/>
      <c r="I295" s="1049"/>
      <c r="J295" s="1049"/>
      <c r="K295" s="1050"/>
      <c r="P295" s="1048"/>
      <c r="Q295" s="1049"/>
      <c r="R295" s="1049"/>
      <c r="S295" s="1049"/>
      <c r="T295" s="1049"/>
      <c r="U295" s="1049"/>
      <c r="V295" s="1050"/>
    </row>
    <row r="296" spans="5:22" x14ac:dyDescent="0.25">
      <c r="E296" s="1048"/>
      <c r="F296" s="1049"/>
      <c r="G296" s="1049"/>
      <c r="H296" s="1049"/>
      <c r="I296" s="1049"/>
      <c r="J296" s="1049"/>
      <c r="K296" s="1050"/>
      <c r="P296" s="1048"/>
      <c r="Q296" s="1049"/>
      <c r="R296" s="1049"/>
      <c r="S296" s="1049"/>
      <c r="T296" s="1049"/>
      <c r="U296" s="1049"/>
      <c r="V296" s="1050"/>
    </row>
    <row r="297" spans="5:22" x14ac:dyDescent="0.25">
      <c r="E297" s="1048"/>
      <c r="F297" s="1049"/>
      <c r="G297" s="1049"/>
      <c r="H297" s="1049"/>
      <c r="I297" s="1049"/>
      <c r="J297" s="1049"/>
      <c r="K297" s="1050"/>
      <c r="P297" s="1048"/>
      <c r="Q297" s="1049"/>
      <c r="R297" s="1049"/>
      <c r="S297" s="1049"/>
      <c r="T297" s="1049"/>
      <c r="U297" s="1049"/>
      <c r="V297" s="1050"/>
    </row>
    <row r="298" spans="5:22" x14ac:dyDescent="0.25">
      <c r="E298" s="1048"/>
      <c r="F298" s="1049"/>
      <c r="G298" s="1049"/>
      <c r="H298" s="1049"/>
      <c r="I298" s="1049"/>
      <c r="J298" s="1049"/>
      <c r="K298" s="1050"/>
      <c r="P298" s="1048"/>
      <c r="Q298" s="1049"/>
      <c r="R298" s="1049"/>
      <c r="S298" s="1049"/>
      <c r="T298" s="1049"/>
      <c r="U298" s="1049"/>
      <c r="V298" s="1050"/>
    </row>
    <row r="299" spans="5:22" x14ac:dyDescent="0.25">
      <c r="E299" s="1048"/>
      <c r="F299" s="1049"/>
      <c r="G299" s="1049"/>
      <c r="H299" s="1049"/>
      <c r="I299" s="1049"/>
      <c r="J299" s="1049"/>
      <c r="K299" s="1050"/>
      <c r="P299" s="1048"/>
      <c r="Q299" s="1049"/>
      <c r="R299" s="1049"/>
      <c r="S299" s="1049"/>
      <c r="T299" s="1049"/>
      <c r="U299" s="1049"/>
      <c r="V299" s="1050"/>
    </row>
    <row r="300" spans="5:22" x14ac:dyDescent="0.25">
      <c r="E300" s="1048"/>
      <c r="F300" s="1049"/>
      <c r="G300" s="1049"/>
      <c r="H300" s="1049"/>
      <c r="I300" s="1049"/>
      <c r="J300" s="1049"/>
      <c r="K300" s="1050"/>
      <c r="P300" s="1048"/>
      <c r="Q300" s="1049"/>
      <c r="R300" s="1049"/>
      <c r="S300" s="1049"/>
      <c r="T300" s="1049"/>
      <c r="U300" s="1049"/>
      <c r="V300" s="1050"/>
    </row>
    <row r="301" spans="5:22" x14ac:dyDescent="0.25">
      <c r="E301" s="1048"/>
      <c r="F301" s="1049"/>
      <c r="G301" s="1049"/>
      <c r="H301" s="1049"/>
      <c r="I301" s="1049"/>
      <c r="J301" s="1049"/>
      <c r="K301" s="1050"/>
      <c r="P301" s="1048"/>
      <c r="Q301" s="1049"/>
      <c r="R301" s="1049"/>
      <c r="S301" s="1049"/>
      <c r="T301" s="1049"/>
      <c r="U301" s="1049"/>
      <c r="V301" s="1050"/>
    </row>
    <row r="302" spans="5:22" x14ac:dyDescent="0.25">
      <c r="E302" s="1048"/>
      <c r="F302" s="1049"/>
      <c r="G302" s="1049"/>
      <c r="H302" s="1049"/>
      <c r="I302" s="1049"/>
      <c r="J302" s="1049"/>
      <c r="K302" s="1050"/>
      <c r="P302" s="1048"/>
      <c r="Q302" s="1049"/>
      <c r="R302" s="1049"/>
      <c r="S302" s="1049"/>
      <c r="T302" s="1049"/>
      <c r="U302" s="1049"/>
      <c r="V302" s="1050"/>
    </row>
    <row r="303" spans="5:22" x14ac:dyDescent="0.25">
      <c r="E303" s="1048"/>
      <c r="F303" s="1049"/>
      <c r="G303" s="1049"/>
      <c r="H303" s="1049"/>
      <c r="I303" s="1049"/>
      <c r="J303" s="1049"/>
      <c r="K303" s="1050"/>
      <c r="P303" s="1048"/>
      <c r="Q303" s="1049"/>
      <c r="R303" s="1049"/>
      <c r="S303" s="1049"/>
      <c r="T303" s="1049"/>
      <c r="U303" s="1049"/>
      <c r="V303" s="1050"/>
    </row>
    <row r="304" spans="5:22" x14ac:dyDescent="0.25">
      <c r="E304" s="1048"/>
      <c r="F304" s="1049"/>
      <c r="G304" s="1049"/>
      <c r="H304" s="1049"/>
      <c r="I304" s="1049"/>
      <c r="J304" s="1049"/>
      <c r="K304" s="1050"/>
      <c r="P304" s="1048"/>
      <c r="Q304" s="1049"/>
      <c r="R304" s="1049"/>
      <c r="S304" s="1049"/>
      <c r="T304" s="1049"/>
      <c r="U304" s="1049"/>
      <c r="V304" s="1050"/>
    </row>
    <row r="305" spans="5:22" x14ac:dyDescent="0.25">
      <c r="E305" s="1048"/>
      <c r="F305" s="1049"/>
      <c r="G305" s="1049"/>
      <c r="H305" s="1049"/>
      <c r="I305" s="1049"/>
      <c r="J305" s="1049"/>
      <c r="K305" s="1050"/>
      <c r="P305" s="1048"/>
      <c r="Q305" s="1049"/>
      <c r="R305" s="1049"/>
      <c r="S305" s="1049"/>
      <c r="T305" s="1049"/>
      <c r="U305" s="1049"/>
      <c r="V305" s="1050"/>
    </row>
    <row r="306" spans="5:22" x14ac:dyDescent="0.25">
      <c r="E306" s="1048"/>
      <c r="F306" s="1049"/>
      <c r="G306" s="1049"/>
      <c r="H306" s="1049"/>
      <c r="I306" s="1049"/>
      <c r="J306" s="1049"/>
      <c r="K306" s="1050"/>
      <c r="P306" s="1048"/>
      <c r="Q306" s="1049"/>
      <c r="R306" s="1049"/>
      <c r="S306" s="1049"/>
      <c r="T306" s="1049"/>
      <c r="U306" s="1049"/>
      <c r="V306" s="1050"/>
    </row>
  </sheetData>
  <sheetProtection algorithmName="SHA-512" hashValue="klDnq4mPM3gBVY5K38hDSWaEQt32zE5C4zelTkDKfaGOoGZLmH6BJB/gTXicWuhKegFAJySghNoLCokD+gjW8w==" saltValue="aSFZtjR52UnH7nTApNfjMw==" spinCount="100000" sheet="1" objects="1" scenarios="1"/>
  <mergeCells count="18">
    <mergeCell ref="P284:V286"/>
    <mergeCell ref="P287:V291"/>
    <mergeCell ref="P292:V306"/>
    <mergeCell ref="P2:V2"/>
    <mergeCell ref="P3:P4"/>
    <mergeCell ref="Q3:Q4"/>
    <mergeCell ref="R3:R4"/>
    <mergeCell ref="S3:T3"/>
    <mergeCell ref="U3:V3"/>
    <mergeCell ref="E284:K286"/>
    <mergeCell ref="E287:K291"/>
    <mergeCell ref="E292:K306"/>
    <mergeCell ref="J3:K3"/>
    <mergeCell ref="E2:K2"/>
    <mergeCell ref="G3:G4"/>
    <mergeCell ref="F3:F4"/>
    <mergeCell ref="E3:E4"/>
    <mergeCell ref="H3:I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1:N51"/>
  <sheetViews>
    <sheetView zoomScaleNormal="100" workbookViewId="0">
      <selection activeCell="H18" sqref="H18"/>
    </sheetView>
  </sheetViews>
  <sheetFormatPr baseColWidth="10" defaultColWidth="9.140625" defaultRowHeight="15" x14ac:dyDescent="0.25"/>
  <cols>
    <col min="2" max="2" width="35.42578125" bestFit="1" customWidth="1"/>
    <col min="3" max="3" width="53.140625" bestFit="1" customWidth="1"/>
    <col min="4" max="4" width="12" bestFit="1" customWidth="1"/>
    <col min="9" max="9" width="35.42578125" bestFit="1" customWidth="1"/>
    <col min="10" max="10" width="53.140625" bestFit="1" customWidth="1"/>
  </cols>
  <sheetData>
    <row r="1" spans="2:14" ht="15.75" thickBot="1" x14ac:dyDescent="0.3">
      <c r="D1" s="853"/>
      <c r="E1" s="853"/>
      <c r="F1" s="853"/>
      <c r="G1" s="853"/>
    </row>
    <row r="2" spans="2:14" ht="20.25" thickTop="1" thickBot="1" x14ac:dyDescent="0.3">
      <c r="B2" s="1101" t="s">
        <v>2575</v>
      </c>
      <c r="C2" s="1102"/>
      <c r="D2" s="1102"/>
      <c r="E2" s="1102"/>
      <c r="F2" s="1102"/>
      <c r="G2" s="1103"/>
      <c r="I2" s="1104" t="s">
        <v>2576</v>
      </c>
      <c r="J2" s="1105"/>
      <c r="K2" s="1105"/>
      <c r="L2" s="1105"/>
      <c r="M2" s="1105"/>
      <c r="N2" s="1106"/>
    </row>
    <row r="3" spans="2:14" x14ac:dyDescent="0.25">
      <c r="B3" s="1110" t="s">
        <v>641</v>
      </c>
      <c r="C3" s="1097" t="s">
        <v>47</v>
      </c>
      <c r="D3" s="1097" t="s">
        <v>660</v>
      </c>
      <c r="E3" s="1097"/>
      <c r="F3" s="1097" t="s">
        <v>661</v>
      </c>
      <c r="G3" s="1098"/>
      <c r="I3" s="1107" t="s">
        <v>641</v>
      </c>
      <c r="J3" s="1099" t="s">
        <v>47</v>
      </c>
      <c r="K3" s="1099" t="s">
        <v>660</v>
      </c>
      <c r="L3" s="1099"/>
      <c r="M3" s="1099" t="s">
        <v>661</v>
      </c>
      <c r="N3" s="1100"/>
    </row>
    <row r="4" spans="2:14" x14ac:dyDescent="0.25">
      <c r="B4" s="1111"/>
      <c r="C4" s="1112"/>
      <c r="D4" s="256" t="s">
        <v>293</v>
      </c>
      <c r="E4" s="257" t="s">
        <v>294</v>
      </c>
      <c r="F4" s="256" t="s">
        <v>293</v>
      </c>
      <c r="G4" s="260" t="s">
        <v>294</v>
      </c>
      <c r="I4" s="1108"/>
      <c r="J4" s="1109"/>
      <c r="K4" s="258" t="s">
        <v>293</v>
      </c>
      <c r="L4" s="259" t="s">
        <v>294</v>
      </c>
      <c r="M4" s="258" t="s">
        <v>293</v>
      </c>
      <c r="N4" s="271" t="s">
        <v>294</v>
      </c>
    </row>
    <row r="5" spans="2:14" x14ac:dyDescent="0.25">
      <c r="B5" s="261" t="s">
        <v>644</v>
      </c>
      <c r="C5" s="136" t="s">
        <v>10</v>
      </c>
      <c r="D5" s="224">
        <v>0.02</v>
      </c>
      <c r="E5" s="224">
        <v>0.41</v>
      </c>
      <c r="F5" s="224">
        <v>6.45</v>
      </c>
      <c r="G5" s="262">
        <v>10.8</v>
      </c>
      <c r="I5" s="272" t="s">
        <v>644</v>
      </c>
      <c r="J5" s="253" t="s">
        <v>10</v>
      </c>
      <c r="K5" s="224"/>
      <c r="L5" s="224"/>
      <c r="M5" s="224"/>
      <c r="N5" s="262"/>
    </row>
    <row r="6" spans="2:14" ht="15.75" thickBot="1" x14ac:dyDescent="0.3">
      <c r="B6" s="263" t="s">
        <v>644</v>
      </c>
      <c r="C6" s="255" t="s">
        <v>645</v>
      </c>
      <c r="D6" s="226">
        <v>0.02</v>
      </c>
      <c r="E6" s="226">
        <v>0.41</v>
      </c>
      <c r="F6" s="226">
        <v>6.45</v>
      </c>
      <c r="G6" s="264">
        <v>10.8</v>
      </c>
      <c r="I6" s="273" t="s">
        <v>644</v>
      </c>
      <c r="J6" s="274" t="s">
        <v>645</v>
      </c>
      <c r="K6" s="226"/>
      <c r="L6" s="226"/>
      <c r="M6" s="226"/>
      <c r="N6" s="264"/>
    </row>
    <row r="7" spans="2:14" ht="15.75" thickTop="1" x14ac:dyDescent="0.25">
      <c r="B7" s="265" t="s">
        <v>646</v>
      </c>
      <c r="C7" s="254" t="s">
        <v>48</v>
      </c>
      <c r="D7" s="225">
        <v>0.01</v>
      </c>
      <c r="E7" s="225">
        <v>0.6</v>
      </c>
      <c r="F7" s="225">
        <v>10.45</v>
      </c>
      <c r="G7" s="266">
        <v>15.52</v>
      </c>
      <c r="I7" s="275" t="s">
        <v>646</v>
      </c>
      <c r="J7" s="276" t="s">
        <v>48</v>
      </c>
      <c r="K7" s="225"/>
      <c r="L7" s="225"/>
      <c r="M7" s="225"/>
      <c r="N7" s="266"/>
    </row>
    <row r="8" spans="2:14" x14ac:dyDescent="0.25">
      <c r="B8" s="261" t="s">
        <v>646</v>
      </c>
      <c r="C8" s="136" t="s">
        <v>49</v>
      </c>
      <c r="D8" s="224">
        <v>0.06</v>
      </c>
      <c r="E8" s="224">
        <v>0.39</v>
      </c>
      <c r="F8" s="224">
        <v>8.16</v>
      </c>
      <c r="G8" s="262">
        <v>13.91</v>
      </c>
      <c r="I8" s="272" t="s">
        <v>646</v>
      </c>
      <c r="J8" s="253" t="s">
        <v>49</v>
      </c>
      <c r="K8" s="224"/>
      <c r="L8" s="224"/>
      <c r="M8" s="224"/>
      <c r="N8" s="262"/>
    </row>
    <row r="9" spans="2:14" ht="15.75" thickBot="1" x14ac:dyDescent="0.3">
      <c r="B9" s="263" t="s">
        <v>646</v>
      </c>
      <c r="C9" s="255" t="s">
        <v>50</v>
      </c>
      <c r="D9" s="226">
        <v>0.16</v>
      </c>
      <c r="E9" s="226">
        <v>1.45</v>
      </c>
      <c r="F9" s="226">
        <v>9.02</v>
      </c>
      <c r="G9" s="264">
        <v>13.27</v>
      </c>
      <c r="I9" s="273" t="s">
        <v>646</v>
      </c>
      <c r="J9" s="274" t="s">
        <v>50</v>
      </c>
      <c r="K9" s="226"/>
      <c r="L9" s="226"/>
      <c r="M9" s="226"/>
      <c r="N9" s="264"/>
    </row>
    <row r="10" spans="2:14" ht="15.75" thickTop="1" x14ac:dyDescent="0.25">
      <c r="B10" s="261" t="s">
        <v>647</v>
      </c>
      <c r="C10" s="136" t="s">
        <v>51</v>
      </c>
      <c r="D10" s="224">
        <v>0.53</v>
      </c>
      <c r="E10" s="224">
        <v>1.8</v>
      </c>
      <c r="F10" s="224">
        <v>10.6</v>
      </c>
      <c r="G10" s="262">
        <v>15.17</v>
      </c>
      <c r="I10" s="272" t="s">
        <v>647</v>
      </c>
      <c r="J10" s="253" t="s">
        <v>51</v>
      </c>
      <c r="K10" s="224"/>
      <c r="L10" s="224"/>
      <c r="M10" s="224"/>
      <c r="N10" s="262"/>
    </row>
    <row r="11" spans="2:14" x14ac:dyDescent="0.25">
      <c r="B11" s="261" t="s">
        <v>647</v>
      </c>
      <c r="C11" s="136" t="s">
        <v>14</v>
      </c>
      <c r="D11" s="224">
        <v>0</v>
      </c>
      <c r="E11" s="224">
        <v>0.94</v>
      </c>
      <c r="F11" s="224">
        <v>10.199999999999999</v>
      </c>
      <c r="G11" s="262">
        <v>16.760000000000002</v>
      </c>
      <c r="I11" s="272" t="s">
        <v>647</v>
      </c>
      <c r="J11" s="253" t="s">
        <v>14</v>
      </c>
      <c r="K11" s="224"/>
      <c r="L11" s="224"/>
      <c r="M11" s="224"/>
      <c r="N11" s="262"/>
    </row>
    <row r="12" spans="2:14" x14ac:dyDescent="0.25">
      <c r="B12" s="261" t="s">
        <v>647</v>
      </c>
      <c r="C12" s="136" t="s">
        <v>52</v>
      </c>
      <c r="D12" s="224">
        <v>0.08</v>
      </c>
      <c r="E12" s="224">
        <v>0.96</v>
      </c>
      <c r="F12" s="224">
        <v>10.61</v>
      </c>
      <c r="G12" s="262">
        <v>16.09</v>
      </c>
      <c r="I12" s="272" t="s">
        <v>647</v>
      </c>
      <c r="J12" s="253" t="s">
        <v>52</v>
      </c>
      <c r="K12" s="224"/>
      <c r="L12" s="224"/>
      <c r="M12" s="224"/>
      <c r="N12" s="262"/>
    </row>
    <row r="13" spans="2:14" x14ac:dyDescent="0.25">
      <c r="B13" s="261" t="s">
        <v>647</v>
      </c>
      <c r="C13" s="136" t="s">
        <v>648</v>
      </c>
      <c r="D13" s="224">
        <v>0.06</v>
      </c>
      <c r="E13" s="224">
        <v>1.07</v>
      </c>
      <c r="F13" s="224">
        <v>9.3000000000000007</v>
      </c>
      <c r="G13" s="262">
        <v>15.69</v>
      </c>
      <c r="I13" s="272" t="s">
        <v>647</v>
      </c>
      <c r="J13" s="253" t="s">
        <v>648</v>
      </c>
      <c r="K13" s="224"/>
      <c r="L13" s="224"/>
      <c r="M13" s="224"/>
      <c r="N13" s="262"/>
    </row>
    <row r="14" spans="2:14" ht="15.75" thickBot="1" x14ac:dyDescent="0.3">
      <c r="B14" s="263" t="s">
        <v>647</v>
      </c>
      <c r="C14" s="255" t="s">
        <v>649</v>
      </c>
      <c r="D14" s="226">
        <v>0.06</v>
      </c>
      <c r="E14" s="226">
        <v>1.32</v>
      </c>
      <c r="F14" s="226">
        <v>10.31</v>
      </c>
      <c r="G14" s="264">
        <v>16.100000000000001</v>
      </c>
      <c r="I14" s="273" t="s">
        <v>647</v>
      </c>
      <c r="J14" s="274" t="s">
        <v>649</v>
      </c>
      <c r="K14" s="226"/>
      <c r="L14" s="226"/>
      <c r="M14" s="226"/>
      <c r="N14" s="264"/>
    </row>
    <row r="15" spans="2:14" ht="15.75" thickTop="1" x14ac:dyDescent="0.25">
      <c r="B15" s="261" t="s">
        <v>54</v>
      </c>
      <c r="C15" s="136" t="s">
        <v>54</v>
      </c>
      <c r="D15" s="224">
        <v>0.26</v>
      </c>
      <c r="E15" s="224">
        <v>1.53</v>
      </c>
      <c r="F15" s="224">
        <v>13.4</v>
      </c>
      <c r="G15" s="262">
        <v>18.34</v>
      </c>
      <c r="I15" s="272" t="s">
        <v>54</v>
      </c>
      <c r="J15" s="253" t="s">
        <v>54</v>
      </c>
      <c r="K15" s="224"/>
      <c r="L15" s="224"/>
      <c r="M15" s="224"/>
      <c r="N15" s="262"/>
    </row>
    <row r="16" spans="2:14" ht="15.75" thickBot="1" x14ac:dyDescent="0.3">
      <c r="B16" s="263" t="s">
        <v>54</v>
      </c>
      <c r="C16" s="255" t="s">
        <v>650</v>
      </c>
      <c r="D16" s="226">
        <v>0.26</v>
      </c>
      <c r="E16" s="226">
        <v>1.53</v>
      </c>
      <c r="F16" s="226">
        <v>13.4</v>
      </c>
      <c r="G16" s="264">
        <v>18.34</v>
      </c>
      <c r="I16" s="273" t="s">
        <v>54</v>
      </c>
      <c r="J16" s="274" t="s">
        <v>650</v>
      </c>
      <c r="K16" s="226"/>
      <c r="L16" s="226"/>
      <c r="M16" s="226"/>
      <c r="N16" s="264"/>
    </row>
    <row r="17" spans="2:14" ht="16.5" thickTop="1" thickBot="1" x14ac:dyDescent="0.3">
      <c r="B17" s="263" t="s">
        <v>55</v>
      </c>
      <c r="C17" s="255" t="s">
        <v>55</v>
      </c>
      <c r="D17" s="226">
        <v>0.22</v>
      </c>
      <c r="E17" s="226">
        <v>0.74</v>
      </c>
      <c r="F17" s="226">
        <v>13.45</v>
      </c>
      <c r="G17" s="264">
        <v>17.77</v>
      </c>
      <c r="I17" s="273" t="s">
        <v>55</v>
      </c>
      <c r="J17" s="274" t="s">
        <v>55</v>
      </c>
      <c r="K17" s="226"/>
      <c r="L17" s="226"/>
      <c r="M17" s="226"/>
      <c r="N17" s="264"/>
    </row>
    <row r="18" spans="2:14" ht="16.5" thickTop="1" thickBot="1" x14ac:dyDescent="0.3">
      <c r="B18" s="263" t="s">
        <v>18</v>
      </c>
      <c r="C18" s="255" t="s">
        <v>18</v>
      </c>
      <c r="D18" s="226">
        <v>0.02</v>
      </c>
      <c r="E18" s="226">
        <v>0.36</v>
      </c>
      <c r="F18" s="226">
        <v>6.76</v>
      </c>
      <c r="G18" s="264">
        <v>15.45</v>
      </c>
      <c r="I18" s="273" t="s">
        <v>18</v>
      </c>
      <c r="J18" s="274" t="s">
        <v>18</v>
      </c>
      <c r="K18" s="226"/>
      <c r="L18" s="226"/>
      <c r="M18" s="226"/>
      <c r="N18" s="264"/>
    </row>
    <row r="19" spans="2:14" ht="16.5" thickTop="1" thickBot="1" x14ac:dyDescent="0.3">
      <c r="B19" s="404" t="s">
        <v>22</v>
      </c>
      <c r="C19" s="405" t="s">
        <v>22</v>
      </c>
      <c r="D19" s="406">
        <v>0.1</v>
      </c>
      <c r="E19" s="406">
        <v>0.7</v>
      </c>
      <c r="F19" s="406">
        <v>7</v>
      </c>
      <c r="G19" s="407">
        <v>12.8</v>
      </c>
      <c r="I19" s="408" t="s">
        <v>22</v>
      </c>
      <c r="J19" s="409" t="s">
        <v>22</v>
      </c>
      <c r="K19" s="406"/>
      <c r="L19" s="406"/>
      <c r="M19" s="406"/>
      <c r="N19" s="407"/>
    </row>
    <row r="20" spans="2:14" ht="15.75" thickTop="1" x14ac:dyDescent="0.25">
      <c r="B20" s="265" t="s">
        <v>651</v>
      </c>
      <c r="C20" s="254" t="s">
        <v>652</v>
      </c>
      <c r="D20" s="225">
        <v>0</v>
      </c>
      <c r="E20" s="225">
        <v>0.66</v>
      </c>
      <c r="F20" s="225">
        <v>4.95</v>
      </c>
      <c r="G20" s="266">
        <v>10.58</v>
      </c>
      <c r="I20" s="275" t="s">
        <v>651</v>
      </c>
      <c r="J20" s="276" t="s">
        <v>652</v>
      </c>
      <c r="K20" s="225"/>
      <c r="L20" s="225"/>
      <c r="M20" s="225"/>
      <c r="N20" s="266"/>
    </row>
    <row r="21" spans="2:14" x14ac:dyDescent="0.25">
      <c r="B21" s="261" t="s">
        <v>651</v>
      </c>
      <c r="C21" s="136" t="s">
        <v>653</v>
      </c>
      <c r="D21" s="224">
        <v>0</v>
      </c>
      <c r="E21" s="224">
        <v>0.46</v>
      </c>
      <c r="F21" s="224">
        <v>5.5</v>
      </c>
      <c r="G21" s="262">
        <v>10.66</v>
      </c>
      <c r="I21" s="272" t="s">
        <v>651</v>
      </c>
      <c r="J21" s="253" t="s">
        <v>653</v>
      </c>
      <c r="K21" s="224"/>
      <c r="L21" s="224"/>
      <c r="M21" s="224"/>
      <c r="N21" s="262"/>
    </row>
    <row r="22" spans="2:14" x14ac:dyDescent="0.25">
      <c r="B22" s="261" t="s">
        <v>651</v>
      </c>
      <c r="C22" s="136" t="s">
        <v>60</v>
      </c>
      <c r="D22" s="224">
        <v>0</v>
      </c>
      <c r="E22" s="224">
        <v>0.24</v>
      </c>
      <c r="F22" s="224">
        <v>3.48</v>
      </c>
      <c r="G22" s="262">
        <v>8.51</v>
      </c>
      <c r="I22" s="272" t="s">
        <v>651</v>
      </c>
      <c r="J22" s="253" t="s">
        <v>60</v>
      </c>
      <c r="K22" s="224"/>
      <c r="L22" s="224"/>
      <c r="M22" s="224"/>
      <c r="N22" s="262"/>
    </row>
    <row r="23" spans="2:14" x14ac:dyDescent="0.25">
      <c r="B23" s="261" t="s">
        <v>651</v>
      </c>
      <c r="C23" s="136" t="s">
        <v>61</v>
      </c>
      <c r="D23" s="224">
        <v>0</v>
      </c>
      <c r="E23" s="224">
        <v>0.33</v>
      </c>
      <c r="F23" s="224">
        <v>4.17</v>
      </c>
      <c r="G23" s="262">
        <v>9.42</v>
      </c>
      <c r="I23" s="272" t="s">
        <v>651</v>
      </c>
      <c r="J23" s="253" t="s">
        <v>61</v>
      </c>
      <c r="K23" s="224"/>
      <c r="L23" s="224"/>
      <c r="M23" s="224"/>
      <c r="N23" s="262"/>
    </row>
    <row r="24" spans="2:14" ht="15.75" thickBot="1" x14ac:dyDescent="0.3">
      <c r="B24" s="263" t="s">
        <v>651</v>
      </c>
      <c r="C24" s="255" t="s">
        <v>654</v>
      </c>
      <c r="D24" s="226">
        <v>0</v>
      </c>
      <c r="E24" s="226">
        <v>0.35</v>
      </c>
      <c r="F24" s="226">
        <v>4.3</v>
      </c>
      <c r="G24" s="264">
        <v>9.73</v>
      </c>
      <c r="I24" s="273" t="s">
        <v>651</v>
      </c>
      <c r="J24" s="274" t="s">
        <v>654</v>
      </c>
      <c r="K24" s="226"/>
      <c r="L24" s="226"/>
      <c r="M24" s="226"/>
      <c r="N24" s="264"/>
    </row>
    <row r="25" spans="2:14" ht="15.75" thickTop="1" x14ac:dyDescent="0.25">
      <c r="B25" s="261" t="s">
        <v>655</v>
      </c>
      <c r="C25" s="136" t="s">
        <v>57</v>
      </c>
      <c r="D25" s="224">
        <v>0.08</v>
      </c>
      <c r="E25" s="224">
        <v>0.63</v>
      </c>
      <c r="F25" s="224">
        <v>8.6300000000000008</v>
      </c>
      <c r="G25" s="262">
        <v>13.61</v>
      </c>
      <c r="I25" s="272" t="s">
        <v>655</v>
      </c>
      <c r="J25" s="253" t="s">
        <v>57</v>
      </c>
      <c r="K25" s="224"/>
      <c r="L25" s="224"/>
      <c r="M25" s="224"/>
      <c r="N25" s="262"/>
    </row>
    <row r="26" spans="2:14" x14ac:dyDescent="0.25">
      <c r="B26" s="261" t="s">
        <v>655</v>
      </c>
      <c r="C26" s="136" t="s">
        <v>58</v>
      </c>
      <c r="D26" s="224">
        <v>0.12</v>
      </c>
      <c r="E26" s="224">
        <v>0.65</v>
      </c>
      <c r="F26" s="224">
        <v>9.35</v>
      </c>
      <c r="G26" s="262">
        <v>13.53</v>
      </c>
      <c r="I26" s="272" t="s">
        <v>655</v>
      </c>
      <c r="J26" s="253" t="s">
        <v>58</v>
      </c>
      <c r="K26" s="224"/>
      <c r="L26" s="224"/>
      <c r="M26" s="224"/>
      <c r="N26" s="262"/>
    </row>
    <row r="27" spans="2:14" x14ac:dyDescent="0.25">
      <c r="B27" s="261" t="s">
        <v>655</v>
      </c>
      <c r="C27" s="136" t="s">
        <v>59</v>
      </c>
      <c r="D27" s="224">
        <v>0.28999999999999998</v>
      </c>
      <c r="E27" s="224">
        <v>0.95</v>
      </c>
      <c r="F27" s="224">
        <v>13.56</v>
      </c>
      <c r="G27" s="262">
        <v>18.27</v>
      </c>
      <c r="I27" s="272" t="s">
        <v>655</v>
      </c>
      <c r="J27" s="253" t="s">
        <v>59</v>
      </c>
      <c r="K27" s="224"/>
      <c r="L27" s="224"/>
      <c r="M27" s="224"/>
      <c r="N27" s="262"/>
    </row>
    <row r="28" spans="2:14" ht="15.75" thickBot="1" x14ac:dyDescent="0.3">
      <c r="B28" s="263" t="s">
        <v>655</v>
      </c>
      <c r="C28" s="255" t="s">
        <v>656</v>
      </c>
      <c r="D28" s="226">
        <v>0.21</v>
      </c>
      <c r="E28" s="226">
        <v>0.88</v>
      </c>
      <c r="F28" s="226">
        <v>10.7</v>
      </c>
      <c r="G28" s="264">
        <v>16.91</v>
      </c>
      <c r="I28" s="273" t="s">
        <v>655</v>
      </c>
      <c r="J28" s="274" t="s">
        <v>656</v>
      </c>
      <c r="K28" s="226"/>
      <c r="L28" s="226"/>
      <c r="M28" s="226"/>
      <c r="N28" s="264"/>
    </row>
    <row r="29" spans="2:14" ht="15.75" thickTop="1" x14ac:dyDescent="0.25">
      <c r="B29" s="261" t="s">
        <v>657</v>
      </c>
      <c r="C29" s="136" t="s">
        <v>62</v>
      </c>
      <c r="D29" s="224">
        <v>0</v>
      </c>
      <c r="E29" s="224">
        <v>0.89</v>
      </c>
      <c r="F29" s="224">
        <v>6.87</v>
      </c>
      <c r="G29" s="262">
        <v>12.1</v>
      </c>
      <c r="I29" s="272" t="s">
        <v>657</v>
      </c>
      <c r="J29" s="253" t="s">
        <v>62</v>
      </c>
      <c r="K29" s="224"/>
      <c r="L29" s="224"/>
      <c r="M29" s="224"/>
      <c r="N29" s="262"/>
    </row>
    <row r="30" spans="2:14" x14ac:dyDescent="0.25">
      <c r="B30" s="261" t="s">
        <v>657</v>
      </c>
      <c r="C30" s="136" t="s">
        <v>53</v>
      </c>
      <c r="D30" s="224">
        <v>0.24</v>
      </c>
      <c r="E30" s="224">
        <v>1.0900000000000001</v>
      </c>
      <c r="F30" s="224">
        <v>6.78</v>
      </c>
      <c r="G30" s="262">
        <v>11.66</v>
      </c>
      <c r="I30" s="272" t="s">
        <v>657</v>
      </c>
      <c r="J30" s="253" t="s">
        <v>53</v>
      </c>
      <c r="K30" s="224"/>
      <c r="L30" s="224"/>
      <c r="M30" s="224"/>
      <c r="N30" s="262"/>
    </row>
    <row r="31" spans="2:14" ht="15.75" thickBot="1" x14ac:dyDescent="0.3">
      <c r="B31" s="263" t="s">
        <v>657</v>
      </c>
      <c r="C31" s="255" t="s">
        <v>658</v>
      </c>
      <c r="D31" s="226">
        <v>0.2</v>
      </c>
      <c r="E31" s="226">
        <v>1.07</v>
      </c>
      <c r="F31" s="226">
        <v>6.8</v>
      </c>
      <c r="G31" s="264">
        <v>11.68</v>
      </c>
      <c r="I31" s="273" t="s">
        <v>657</v>
      </c>
      <c r="J31" s="274" t="s">
        <v>658</v>
      </c>
      <c r="K31" s="226"/>
      <c r="L31" s="226"/>
      <c r="M31" s="226"/>
      <c r="N31" s="264"/>
    </row>
    <row r="32" spans="2:14" ht="16.5" thickTop="1" thickBot="1" x14ac:dyDescent="0.3">
      <c r="B32" s="267" t="s">
        <v>295</v>
      </c>
      <c r="C32" s="268" t="s">
        <v>659</v>
      </c>
      <c r="D32" s="269">
        <v>0.03</v>
      </c>
      <c r="E32" s="269">
        <v>0.7</v>
      </c>
      <c r="F32" s="269">
        <v>7.57</v>
      </c>
      <c r="G32" s="270">
        <v>14.42</v>
      </c>
      <c r="I32" s="277" t="s">
        <v>295</v>
      </c>
      <c r="J32" s="278" t="s">
        <v>659</v>
      </c>
      <c r="K32" s="269"/>
      <c r="L32" s="269"/>
      <c r="M32" s="269"/>
      <c r="N32" s="270"/>
    </row>
    <row r="33" spans="2:14" ht="15.75" thickTop="1" x14ac:dyDescent="0.25"/>
    <row r="34" spans="2:14" x14ac:dyDescent="0.25">
      <c r="B34" s="1047" t="s">
        <v>2593</v>
      </c>
      <c r="C34" s="1047"/>
      <c r="D34" s="1047"/>
      <c r="E34" s="1047"/>
      <c r="F34" s="1047"/>
      <c r="G34" s="1047"/>
      <c r="H34" s="402"/>
      <c r="I34" s="1073" t="s">
        <v>2577</v>
      </c>
      <c r="J34" s="1074"/>
      <c r="K34" s="1074"/>
      <c r="L34" s="1074"/>
      <c r="M34" s="1074"/>
      <c r="N34" s="1075"/>
    </row>
    <row r="35" spans="2:14" x14ac:dyDescent="0.25">
      <c r="B35" s="1047"/>
      <c r="C35" s="1047"/>
      <c r="D35" s="1047"/>
      <c r="E35" s="1047"/>
      <c r="F35" s="1047"/>
      <c r="G35" s="1047"/>
      <c r="H35" s="402"/>
      <c r="I35" s="1076"/>
      <c r="J35" s="1077"/>
      <c r="K35" s="1077"/>
      <c r="L35" s="1077"/>
      <c r="M35" s="1077"/>
      <c r="N35" s="1078"/>
    </row>
    <row r="36" spans="2:14" ht="15" customHeight="1" x14ac:dyDescent="0.25">
      <c r="B36" s="1047" t="s">
        <v>2592</v>
      </c>
      <c r="C36" s="1047"/>
      <c r="D36" s="1047"/>
      <c r="E36" s="1047"/>
      <c r="F36" s="1047"/>
      <c r="G36" s="1047"/>
      <c r="H36" s="402"/>
      <c r="I36" s="1088"/>
      <c r="J36" s="1089"/>
      <c r="K36" s="1089"/>
      <c r="L36" s="1089"/>
      <c r="M36" s="1089"/>
      <c r="N36" s="1090"/>
    </row>
    <row r="37" spans="2:14" x14ac:dyDescent="0.25">
      <c r="B37" s="1047"/>
      <c r="C37" s="1047"/>
      <c r="D37" s="1047"/>
      <c r="E37" s="1047"/>
      <c r="F37" s="1047"/>
      <c r="G37" s="1047"/>
      <c r="H37" s="402"/>
      <c r="I37" s="1091"/>
      <c r="J37" s="1092"/>
      <c r="K37" s="1092"/>
      <c r="L37" s="1092"/>
      <c r="M37" s="1092"/>
      <c r="N37" s="1093"/>
    </row>
    <row r="38" spans="2:14" x14ac:dyDescent="0.25">
      <c r="B38" s="1047"/>
      <c r="C38" s="1047"/>
      <c r="D38" s="1047"/>
      <c r="E38" s="1047"/>
      <c r="F38" s="1047"/>
      <c r="G38" s="1047"/>
      <c r="H38" s="402"/>
      <c r="I38" s="1091"/>
      <c r="J38" s="1092"/>
      <c r="K38" s="1092"/>
      <c r="L38" s="1092"/>
      <c r="M38" s="1092"/>
      <c r="N38" s="1093"/>
    </row>
    <row r="39" spans="2:14" x14ac:dyDescent="0.25">
      <c r="B39" s="1047"/>
      <c r="C39" s="1047"/>
      <c r="D39" s="1047"/>
      <c r="E39" s="1047"/>
      <c r="F39" s="1047"/>
      <c r="G39" s="1047"/>
      <c r="H39" s="402"/>
      <c r="I39" s="1091"/>
      <c r="J39" s="1092"/>
      <c r="K39" s="1092"/>
      <c r="L39" s="1092"/>
      <c r="M39" s="1092"/>
      <c r="N39" s="1093"/>
    </row>
    <row r="40" spans="2:14" ht="15" customHeight="1" x14ac:dyDescent="0.25">
      <c r="B40" s="1079" t="s">
        <v>2597</v>
      </c>
      <c r="C40" s="1080"/>
      <c r="D40" s="1080"/>
      <c r="E40" s="1080"/>
      <c r="F40" s="1080"/>
      <c r="G40" s="1081"/>
      <c r="H40" s="402"/>
      <c r="I40" s="1091"/>
      <c r="J40" s="1092"/>
      <c r="K40" s="1092"/>
      <c r="L40" s="1092"/>
      <c r="M40" s="1092"/>
      <c r="N40" s="1093"/>
    </row>
    <row r="41" spans="2:14" x14ac:dyDescent="0.25">
      <c r="B41" s="1082"/>
      <c r="C41" s="1083"/>
      <c r="D41" s="1083"/>
      <c r="E41" s="1083"/>
      <c r="F41" s="1083"/>
      <c r="G41" s="1084"/>
      <c r="H41" s="402"/>
      <c r="I41" s="1091"/>
      <c r="J41" s="1092"/>
      <c r="K41" s="1092"/>
      <c r="L41" s="1092"/>
      <c r="M41" s="1092"/>
      <c r="N41" s="1093"/>
    </row>
    <row r="42" spans="2:14" x14ac:dyDescent="0.25">
      <c r="B42" s="1082"/>
      <c r="C42" s="1083"/>
      <c r="D42" s="1083"/>
      <c r="E42" s="1083"/>
      <c r="F42" s="1083"/>
      <c r="G42" s="1084"/>
      <c r="H42" s="402"/>
      <c r="I42" s="1091"/>
      <c r="J42" s="1092"/>
      <c r="K42" s="1092"/>
      <c r="L42" s="1092"/>
      <c r="M42" s="1092"/>
      <c r="N42" s="1093"/>
    </row>
    <row r="43" spans="2:14" x14ac:dyDescent="0.25">
      <c r="B43" s="1082"/>
      <c r="C43" s="1083"/>
      <c r="D43" s="1083"/>
      <c r="E43" s="1083"/>
      <c r="F43" s="1083"/>
      <c r="G43" s="1084"/>
      <c r="I43" s="1091"/>
      <c r="J43" s="1092"/>
      <c r="K43" s="1092"/>
      <c r="L43" s="1092"/>
      <c r="M43" s="1092"/>
      <c r="N43" s="1093"/>
    </row>
    <row r="44" spans="2:14" x14ac:dyDescent="0.25">
      <c r="B44" s="1082"/>
      <c r="C44" s="1083"/>
      <c r="D44" s="1083"/>
      <c r="E44" s="1083"/>
      <c r="F44" s="1083"/>
      <c r="G44" s="1084"/>
      <c r="I44" s="1091"/>
      <c r="J44" s="1092"/>
      <c r="K44" s="1092"/>
      <c r="L44" s="1092"/>
      <c r="M44" s="1092"/>
      <c r="N44" s="1093"/>
    </row>
    <row r="45" spans="2:14" x14ac:dyDescent="0.25">
      <c r="B45" s="1082"/>
      <c r="C45" s="1083"/>
      <c r="D45" s="1083"/>
      <c r="E45" s="1083"/>
      <c r="F45" s="1083"/>
      <c r="G45" s="1084"/>
      <c r="I45" s="1091"/>
      <c r="J45" s="1092"/>
      <c r="K45" s="1092"/>
      <c r="L45" s="1092"/>
      <c r="M45" s="1092"/>
      <c r="N45" s="1093"/>
    </row>
    <row r="46" spans="2:14" x14ac:dyDescent="0.25">
      <c r="B46" s="1082"/>
      <c r="C46" s="1083"/>
      <c r="D46" s="1083"/>
      <c r="E46" s="1083"/>
      <c r="F46" s="1083"/>
      <c r="G46" s="1084"/>
      <c r="I46" s="1091"/>
      <c r="J46" s="1092"/>
      <c r="K46" s="1092"/>
      <c r="L46" s="1092"/>
      <c r="M46" s="1092"/>
      <c r="N46" s="1093"/>
    </row>
    <row r="47" spans="2:14" x14ac:dyDescent="0.25">
      <c r="B47" s="1082"/>
      <c r="C47" s="1083"/>
      <c r="D47" s="1083"/>
      <c r="E47" s="1083"/>
      <c r="F47" s="1083"/>
      <c r="G47" s="1084"/>
      <c r="I47" s="1091"/>
      <c r="J47" s="1092"/>
      <c r="K47" s="1092"/>
      <c r="L47" s="1092"/>
      <c r="M47" s="1092"/>
      <c r="N47" s="1093"/>
    </row>
    <row r="48" spans="2:14" x14ac:dyDescent="0.25">
      <c r="B48" s="1082"/>
      <c r="C48" s="1083"/>
      <c r="D48" s="1083"/>
      <c r="E48" s="1083"/>
      <c r="F48" s="1083"/>
      <c r="G48" s="1084"/>
      <c r="I48" s="1091"/>
      <c r="J48" s="1092"/>
      <c r="K48" s="1092"/>
      <c r="L48" s="1092"/>
      <c r="M48" s="1092"/>
      <c r="N48" s="1093"/>
    </row>
    <row r="49" spans="2:14" x14ac:dyDescent="0.25">
      <c r="B49" s="1082"/>
      <c r="C49" s="1083"/>
      <c r="D49" s="1083"/>
      <c r="E49" s="1083"/>
      <c r="F49" s="1083"/>
      <c r="G49" s="1084"/>
      <c r="I49" s="1091"/>
      <c r="J49" s="1092"/>
      <c r="K49" s="1092"/>
      <c r="L49" s="1092"/>
      <c r="M49" s="1092"/>
      <c r="N49" s="1093"/>
    </row>
    <row r="50" spans="2:14" x14ac:dyDescent="0.25">
      <c r="B50" s="1082"/>
      <c r="C50" s="1083"/>
      <c r="D50" s="1083"/>
      <c r="E50" s="1083"/>
      <c r="F50" s="1083"/>
      <c r="G50" s="1084"/>
      <c r="I50" s="1091"/>
      <c r="J50" s="1092"/>
      <c r="K50" s="1092"/>
      <c r="L50" s="1092"/>
      <c r="M50" s="1092"/>
      <c r="N50" s="1093"/>
    </row>
    <row r="51" spans="2:14" x14ac:dyDescent="0.25">
      <c r="B51" s="1085"/>
      <c r="C51" s="1086"/>
      <c r="D51" s="1086"/>
      <c r="E51" s="1086"/>
      <c r="F51" s="1086"/>
      <c r="G51" s="1087"/>
      <c r="I51" s="1094"/>
      <c r="J51" s="1095"/>
      <c r="K51" s="1095"/>
      <c r="L51" s="1095"/>
      <c r="M51" s="1095"/>
      <c r="N51" s="1096"/>
    </row>
  </sheetData>
  <sheetProtection algorithmName="SHA-512" hashValue="5c8sfYuYbXb2vGXI41F0JYvvBS9wmMwbYLqDI39QaIfRXEaPd7MQvH6+ZDBeUoDJQkTwJ8XQ+Bfcw2HkiEpDag==" saltValue="vCDGHyo9K790qrUBKJ3Z8w==" spinCount="100000" sheet="1" objects="1" scenarios="1"/>
  <mergeCells count="16">
    <mergeCell ref="D1:G1"/>
    <mergeCell ref="D3:E3"/>
    <mergeCell ref="F3:G3"/>
    <mergeCell ref="K3:L3"/>
    <mergeCell ref="M3:N3"/>
    <mergeCell ref="B2:G2"/>
    <mergeCell ref="I2:N2"/>
    <mergeCell ref="I3:I4"/>
    <mergeCell ref="J3:J4"/>
    <mergeCell ref="B3:B4"/>
    <mergeCell ref="C3:C4"/>
    <mergeCell ref="B34:G35"/>
    <mergeCell ref="I34:N35"/>
    <mergeCell ref="B36:G39"/>
    <mergeCell ref="B40:G51"/>
    <mergeCell ref="I36:N5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704"/>
  <sheetViews>
    <sheetView zoomScaleNormal="100" workbookViewId="0">
      <selection activeCell="F35" sqref="F35"/>
    </sheetView>
  </sheetViews>
  <sheetFormatPr baseColWidth="10" defaultColWidth="11.42578125" defaultRowHeight="15" x14ac:dyDescent="0.25"/>
  <cols>
    <col min="1" max="1" width="36.140625" bestFit="1" customWidth="1"/>
    <col min="2" max="2" width="46.7109375" bestFit="1" customWidth="1"/>
    <col min="3" max="3" width="26.7109375" bestFit="1" customWidth="1"/>
  </cols>
  <sheetData>
    <row r="1" spans="1:3" ht="15" customHeight="1" x14ac:dyDescent="0.25">
      <c r="A1" s="594" t="s">
        <v>901</v>
      </c>
      <c r="B1" s="594"/>
      <c r="C1" s="594"/>
    </row>
    <row r="2" spans="1:3" ht="15" customHeight="1" x14ac:dyDescent="0.25">
      <c r="A2" s="41"/>
      <c r="B2" s="41"/>
      <c r="C2" s="41"/>
    </row>
    <row r="3" spans="1:3" ht="34.5" customHeight="1" x14ac:dyDescent="0.25">
      <c r="A3" s="1113" t="s">
        <v>902</v>
      </c>
      <c r="B3" s="1113"/>
      <c r="C3" s="1113"/>
    </row>
    <row r="5" spans="1:3" x14ac:dyDescent="0.25">
      <c r="A5" t="s">
        <v>903</v>
      </c>
      <c r="B5" t="s">
        <v>904</v>
      </c>
      <c r="C5" t="s">
        <v>905</v>
      </c>
    </row>
    <row r="6" spans="1:3" x14ac:dyDescent="0.25">
      <c r="A6" t="s">
        <v>906</v>
      </c>
      <c r="B6" t="s">
        <v>845</v>
      </c>
      <c r="C6" t="s">
        <v>907</v>
      </c>
    </row>
    <row r="7" spans="1:3" x14ac:dyDescent="0.25">
      <c r="A7" t="s">
        <v>908</v>
      </c>
      <c r="B7" t="s">
        <v>845</v>
      </c>
      <c r="C7" t="s">
        <v>909</v>
      </c>
    </row>
    <row r="8" spans="1:3" x14ac:dyDescent="0.25">
      <c r="A8" t="s">
        <v>910</v>
      </c>
      <c r="B8" t="s">
        <v>845</v>
      </c>
      <c r="C8" t="s">
        <v>911</v>
      </c>
    </row>
    <row r="9" spans="1:3" x14ac:dyDescent="0.25">
      <c r="A9" t="s">
        <v>912</v>
      </c>
      <c r="B9" t="s">
        <v>845</v>
      </c>
      <c r="C9" t="s">
        <v>913</v>
      </c>
    </row>
    <row r="10" spans="1:3" x14ac:dyDescent="0.25">
      <c r="A10" t="s">
        <v>914</v>
      </c>
      <c r="B10" t="s">
        <v>845</v>
      </c>
      <c r="C10" t="s">
        <v>915</v>
      </c>
    </row>
    <row r="11" spans="1:3" x14ac:dyDescent="0.25">
      <c r="A11" t="s">
        <v>916</v>
      </c>
      <c r="B11" t="s">
        <v>845</v>
      </c>
      <c r="C11" t="s">
        <v>917</v>
      </c>
    </row>
    <row r="12" spans="1:3" x14ac:dyDescent="0.25">
      <c r="A12" t="s">
        <v>918</v>
      </c>
      <c r="B12" t="s">
        <v>845</v>
      </c>
      <c r="C12" t="s">
        <v>919</v>
      </c>
    </row>
    <row r="13" spans="1:3" x14ac:dyDescent="0.25">
      <c r="A13" t="s">
        <v>920</v>
      </c>
      <c r="B13" t="s">
        <v>845</v>
      </c>
      <c r="C13" t="s">
        <v>921</v>
      </c>
    </row>
    <row r="14" spans="1:3" x14ac:dyDescent="0.25">
      <c r="A14" t="s">
        <v>922</v>
      </c>
      <c r="B14" t="s">
        <v>846</v>
      </c>
      <c r="C14" t="s">
        <v>923</v>
      </c>
    </row>
    <row r="15" spans="1:3" x14ac:dyDescent="0.25">
      <c r="A15" t="s">
        <v>924</v>
      </c>
      <c r="B15" t="s">
        <v>845</v>
      </c>
      <c r="C15" t="s">
        <v>925</v>
      </c>
    </row>
    <row r="16" spans="1:3" x14ac:dyDescent="0.25">
      <c r="A16" t="s">
        <v>926</v>
      </c>
      <c r="B16" t="s">
        <v>845</v>
      </c>
      <c r="C16" t="s">
        <v>927</v>
      </c>
    </row>
    <row r="17" spans="1:3" x14ac:dyDescent="0.25">
      <c r="A17" t="s">
        <v>928</v>
      </c>
      <c r="B17" t="s">
        <v>846</v>
      </c>
      <c r="C17" t="s">
        <v>929</v>
      </c>
    </row>
    <row r="18" spans="1:3" x14ac:dyDescent="0.25">
      <c r="A18" t="s">
        <v>930</v>
      </c>
      <c r="B18" t="s">
        <v>845</v>
      </c>
      <c r="C18" t="s">
        <v>931</v>
      </c>
    </row>
    <row r="19" spans="1:3" x14ac:dyDescent="0.25">
      <c r="A19" t="s">
        <v>932</v>
      </c>
      <c r="B19" t="s">
        <v>845</v>
      </c>
      <c r="C19" t="s">
        <v>933</v>
      </c>
    </row>
    <row r="20" spans="1:3" x14ac:dyDescent="0.25">
      <c r="A20" t="s">
        <v>934</v>
      </c>
      <c r="B20" t="s">
        <v>845</v>
      </c>
      <c r="C20" t="s">
        <v>935</v>
      </c>
    </row>
    <row r="21" spans="1:3" x14ac:dyDescent="0.25">
      <c r="A21" t="s">
        <v>936</v>
      </c>
      <c r="B21" t="s">
        <v>845</v>
      </c>
      <c r="C21" t="s">
        <v>937</v>
      </c>
    </row>
    <row r="22" spans="1:3" x14ac:dyDescent="0.25">
      <c r="A22" t="s">
        <v>938</v>
      </c>
      <c r="B22" t="s">
        <v>845</v>
      </c>
      <c r="C22" t="s">
        <v>939</v>
      </c>
    </row>
    <row r="23" spans="1:3" x14ac:dyDescent="0.25">
      <c r="A23" t="s">
        <v>940</v>
      </c>
      <c r="B23" t="s">
        <v>845</v>
      </c>
      <c r="C23" t="s">
        <v>941</v>
      </c>
    </row>
    <row r="24" spans="1:3" x14ac:dyDescent="0.25">
      <c r="A24" t="s">
        <v>942</v>
      </c>
      <c r="B24" t="s">
        <v>845</v>
      </c>
      <c r="C24" t="s">
        <v>943</v>
      </c>
    </row>
    <row r="25" spans="1:3" x14ac:dyDescent="0.25">
      <c r="A25" t="s">
        <v>944</v>
      </c>
      <c r="B25" t="s">
        <v>845</v>
      </c>
      <c r="C25" t="s">
        <v>945</v>
      </c>
    </row>
    <row r="26" spans="1:3" x14ac:dyDescent="0.25">
      <c r="A26" t="s">
        <v>946</v>
      </c>
      <c r="B26" t="s">
        <v>845</v>
      </c>
      <c r="C26" t="s">
        <v>947</v>
      </c>
    </row>
    <row r="27" spans="1:3" x14ac:dyDescent="0.25">
      <c r="A27" t="s">
        <v>948</v>
      </c>
      <c r="B27" t="s">
        <v>845</v>
      </c>
      <c r="C27" t="s">
        <v>949</v>
      </c>
    </row>
    <row r="28" spans="1:3" x14ac:dyDescent="0.25">
      <c r="A28" t="s">
        <v>950</v>
      </c>
      <c r="B28" t="s">
        <v>845</v>
      </c>
      <c r="C28" t="s">
        <v>951</v>
      </c>
    </row>
    <row r="29" spans="1:3" x14ac:dyDescent="0.25">
      <c r="A29" t="s">
        <v>952</v>
      </c>
      <c r="B29" t="s">
        <v>846</v>
      </c>
      <c r="C29" t="s">
        <v>953</v>
      </c>
    </row>
    <row r="30" spans="1:3" x14ac:dyDescent="0.25">
      <c r="A30" t="s">
        <v>954</v>
      </c>
      <c r="B30" t="s">
        <v>846</v>
      </c>
      <c r="C30" t="s">
        <v>955</v>
      </c>
    </row>
    <row r="31" spans="1:3" x14ac:dyDescent="0.25">
      <c r="A31" t="s">
        <v>956</v>
      </c>
      <c r="B31" t="s">
        <v>845</v>
      </c>
      <c r="C31" t="s">
        <v>957</v>
      </c>
    </row>
    <row r="32" spans="1:3" x14ac:dyDescent="0.25">
      <c r="A32" t="s">
        <v>958</v>
      </c>
      <c r="B32" t="s">
        <v>845</v>
      </c>
      <c r="C32" t="s">
        <v>959</v>
      </c>
    </row>
    <row r="33" spans="1:3" x14ac:dyDescent="0.25">
      <c r="A33" t="s">
        <v>960</v>
      </c>
      <c r="B33" t="s">
        <v>845</v>
      </c>
      <c r="C33" t="s">
        <v>961</v>
      </c>
    </row>
    <row r="34" spans="1:3" x14ac:dyDescent="0.25">
      <c r="A34" t="s">
        <v>962</v>
      </c>
      <c r="B34" t="s">
        <v>845</v>
      </c>
      <c r="C34" t="s">
        <v>963</v>
      </c>
    </row>
    <row r="35" spans="1:3" x14ac:dyDescent="0.25">
      <c r="A35" t="s">
        <v>964</v>
      </c>
      <c r="B35" t="s">
        <v>845</v>
      </c>
      <c r="C35" t="s">
        <v>965</v>
      </c>
    </row>
    <row r="36" spans="1:3" x14ac:dyDescent="0.25">
      <c r="A36" t="s">
        <v>966</v>
      </c>
      <c r="B36" t="s">
        <v>845</v>
      </c>
      <c r="C36" t="s">
        <v>967</v>
      </c>
    </row>
    <row r="37" spans="1:3" x14ac:dyDescent="0.25">
      <c r="A37" t="s">
        <v>968</v>
      </c>
      <c r="B37" t="s">
        <v>846</v>
      </c>
      <c r="C37" t="s">
        <v>969</v>
      </c>
    </row>
    <row r="38" spans="1:3" x14ac:dyDescent="0.25">
      <c r="A38" t="s">
        <v>970</v>
      </c>
      <c r="B38" t="s">
        <v>845</v>
      </c>
      <c r="C38" t="s">
        <v>971</v>
      </c>
    </row>
    <row r="39" spans="1:3" x14ac:dyDescent="0.25">
      <c r="A39" t="s">
        <v>972</v>
      </c>
      <c r="B39" t="s">
        <v>846</v>
      </c>
      <c r="C39" t="s">
        <v>973</v>
      </c>
    </row>
    <row r="40" spans="1:3" x14ac:dyDescent="0.25">
      <c r="A40" t="s">
        <v>974</v>
      </c>
      <c r="B40" t="s">
        <v>845</v>
      </c>
      <c r="C40" t="s">
        <v>975</v>
      </c>
    </row>
    <row r="41" spans="1:3" x14ac:dyDescent="0.25">
      <c r="A41" t="s">
        <v>976</v>
      </c>
      <c r="B41" t="s">
        <v>845</v>
      </c>
      <c r="C41" t="s">
        <v>977</v>
      </c>
    </row>
    <row r="42" spans="1:3" x14ac:dyDescent="0.25">
      <c r="A42" t="s">
        <v>978</v>
      </c>
      <c r="B42" t="s">
        <v>845</v>
      </c>
      <c r="C42" t="s">
        <v>979</v>
      </c>
    </row>
    <row r="43" spans="1:3" x14ac:dyDescent="0.25">
      <c r="A43" t="s">
        <v>980</v>
      </c>
      <c r="B43" t="s">
        <v>846</v>
      </c>
      <c r="C43" t="s">
        <v>981</v>
      </c>
    </row>
    <row r="44" spans="1:3" x14ac:dyDescent="0.25">
      <c r="A44" t="s">
        <v>982</v>
      </c>
      <c r="B44" t="s">
        <v>846</v>
      </c>
      <c r="C44" t="s">
        <v>983</v>
      </c>
    </row>
    <row r="45" spans="1:3" x14ac:dyDescent="0.25">
      <c r="A45" t="s">
        <v>984</v>
      </c>
      <c r="B45" t="s">
        <v>846</v>
      </c>
      <c r="C45" t="s">
        <v>985</v>
      </c>
    </row>
    <row r="46" spans="1:3" x14ac:dyDescent="0.25">
      <c r="A46" t="s">
        <v>986</v>
      </c>
      <c r="B46" t="s">
        <v>845</v>
      </c>
      <c r="C46" t="s">
        <v>987</v>
      </c>
    </row>
    <row r="47" spans="1:3" x14ac:dyDescent="0.25">
      <c r="A47" t="s">
        <v>988</v>
      </c>
      <c r="B47" t="s">
        <v>845</v>
      </c>
      <c r="C47" t="s">
        <v>989</v>
      </c>
    </row>
    <row r="48" spans="1:3" x14ac:dyDescent="0.25">
      <c r="A48" t="s">
        <v>990</v>
      </c>
      <c r="B48" t="s">
        <v>845</v>
      </c>
      <c r="C48" t="s">
        <v>991</v>
      </c>
    </row>
    <row r="49" spans="1:3" x14ac:dyDescent="0.25">
      <c r="A49" t="s">
        <v>992</v>
      </c>
      <c r="B49" t="s">
        <v>845</v>
      </c>
      <c r="C49" t="s">
        <v>993</v>
      </c>
    </row>
    <row r="50" spans="1:3" x14ac:dyDescent="0.25">
      <c r="A50" t="s">
        <v>994</v>
      </c>
      <c r="B50" t="s">
        <v>846</v>
      </c>
      <c r="C50" t="s">
        <v>995</v>
      </c>
    </row>
    <row r="51" spans="1:3" x14ac:dyDescent="0.25">
      <c r="A51" t="s">
        <v>996</v>
      </c>
      <c r="B51" t="s">
        <v>845</v>
      </c>
      <c r="C51" t="s">
        <v>997</v>
      </c>
    </row>
    <row r="52" spans="1:3" x14ac:dyDescent="0.25">
      <c r="A52" t="s">
        <v>998</v>
      </c>
      <c r="B52" t="s">
        <v>845</v>
      </c>
      <c r="C52" t="s">
        <v>999</v>
      </c>
    </row>
    <row r="53" spans="1:3" x14ac:dyDescent="0.25">
      <c r="A53" t="s">
        <v>1000</v>
      </c>
      <c r="B53" t="s">
        <v>845</v>
      </c>
      <c r="C53" t="s">
        <v>1001</v>
      </c>
    </row>
    <row r="54" spans="1:3" x14ac:dyDescent="0.25">
      <c r="A54" t="s">
        <v>1002</v>
      </c>
      <c r="B54" t="s">
        <v>845</v>
      </c>
      <c r="C54" t="s">
        <v>1003</v>
      </c>
    </row>
    <row r="55" spans="1:3" x14ac:dyDescent="0.25">
      <c r="A55" t="s">
        <v>1004</v>
      </c>
      <c r="B55" t="s">
        <v>846</v>
      </c>
      <c r="C55" t="s">
        <v>1005</v>
      </c>
    </row>
    <row r="56" spans="1:3" x14ac:dyDescent="0.25">
      <c r="A56" t="s">
        <v>1006</v>
      </c>
      <c r="B56" t="s">
        <v>846</v>
      </c>
      <c r="C56" t="s">
        <v>1007</v>
      </c>
    </row>
    <row r="57" spans="1:3" x14ac:dyDescent="0.25">
      <c r="A57" t="s">
        <v>1008</v>
      </c>
      <c r="B57" t="s">
        <v>845</v>
      </c>
      <c r="C57" t="s">
        <v>1009</v>
      </c>
    </row>
    <row r="58" spans="1:3" x14ac:dyDescent="0.25">
      <c r="A58" t="s">
        <v>1010</v>
      </c>
      <c r="B58" t="s">
        <v>845</v>
      </c>
      <c r="C58" t="s">
        <v>1011</v>
      </c>
    </row>
    <row r="59" spans="1:3" x14ac:dyDescent="0.25">
      <c r="A59" t="s">
        <v>1012</v>
      </c>
      <c r="B59" t="s">
        <v>845</v>
      </c>
      <c r="C59" t="s">
        <v>1013</v>
      </c>
    </row>
    <row r="60" spans="1:3" x14ac:dyDescent="0.25">
      <c r="A60" t="s">
        <v>1014</v>
      </c>
      <c r="B60" t="s">
        <v>845</v>
      </c>
      <c r="C60" t="s">
        <v>1015</v>
      </c>
    </row>
    <row r="61" spans="1:3" x14ac:dyDescent="0.25">
      <c r="A61" t="s">
        <v>1016</v>
      </c>
      <c r="B61" t="s">
        <v>845</v>
      </c>
      <c r="C61" t="s">
        <v>1017</v>
      </c>
    </row>
    <row r="62" spans="1:3" x14ac:dyDescent="0.25">
      <c r="A62" t="s">
        <v>1018</v>
      </c>
      <c r="B62" t="s">
        <v>845</v>
      </c>
      <c r="C62" t="s">
        <v>1019</v>
      </c>
    </row>
    <row r="63" spans="1:3" x14ac:dyDescent="0.25">
      <c r="A63" t="s">
        <v>1020</v>
      </c>
      <c r="B63" t="s">
        <v>845</v>
      </c>
      <c r="C63" t="s">
        <v>1021</v>
      </c>
    </row>
    <row r="64" spans="1:3" x14ac:dyDescent="0.25">
      <c r="A64" t="s">
        <v>1022</v>
      </c>
      <c r="B64" t="s">
        <v>845</v>
      </c>
      <c r="C64" t="s">
        <v>1023</v>
      </c>
    </row>
    <row r="65" spans="1:3" x14ac:dyDescent="0.25">
      <c r="A65" t="s">
        <v>1024</v>
      </c>
      <c r="B65" t="s">
        <v>846</v>
      </c>
      <c r="C65" t="s">
        <v>1025</v>
      </c>
    </row>
    <row r="66" spans="1:3" x14ac:dyDescent="0.25">
      <c r="A66" t="s">
        <v>1026</v>
      </c>
      <c r="B66" t="s">
        <v>846</v>
      </c>
      <c r="C66" t="s">
        <v>1027</v>
      </c>
    </row>
    <row r="67" spans="1:3" x14ac:dyDescent="0.25">
      <c r="A67" t="s">
        <v>1028</v>
      </c>
      <c r="B67" t="s">
        <v>845</v>
      </c>
      <c r="C67" t="s">
        <v>1029</v>
      </c>
    </row>
    <row r="68" spans="1:3" x14ac:dyDescent="0.25">
      <c r="A68" t="s">
        <v>1030</v>
      </c>
      <c r="B68" t="s">
        <v>845</v>
      </c>
      <c r="C68" t="s">
        <v>1031</v>
      </c>
    </row>
    <row r="69" spans="1:3" x14ac:dyDescent="0.25">
      <c r="A69" t="s">
        <v>1032</v>
      </c>
      <c r="B69" t="s">
        <v>846</v>
      </c>
      <c r="C69" t="s">
        <v>1033</v>
      </c>
    </row>
    <row r="70" spans="1:3" x14ac:dyDescent="0.25">
      <c r="A70" t="s">
        <v>1034</v>
      </c>
      <c r="B70" t="s">
        <v>846</v>
      </c>
      <c r="C70" t="s">
        <v>1035</v>
      </c>
    </row>
    <row r="71" spans="1:3" x14ac:dyDescent="0.25">
      <c r="A71" t="s">
        <v>1036</v>
      </c>
      <c r="B71" t="s">
        <v>845</v>
      </c>
      <c r="C71" t="s">
        <v>1037</v>
      </c>
    </row>
    <row r="72" spans="1:3" x14ac:dyDescent="0.25">
      <c r="A72" t="s">
        <v>1038</v>
      </c>
      <c r="B72" t="s">
        <v>845</v>
      </c>
      <c r="C72" t="s">
        <v>1039</v>
      </c>
    </row>
    <row r="73" spans="1:3" x14ac:dyDescent="0.25">
      <c r="A73" t="s">
        <v>1040</v>
      </c>
      <c r="B73" t="s">
        <v>846</v>
      </c>
      <c r="C73" t="s">
        <v>1041</v>
      </c>
    </row>
    <row r="74" spans="1:3" x14ac:dyDescent="0.25">
      <c r="A74" t="s">
        <v>1042</v>
      </c>
      <c r="B74" t="s">
        <v>846</v>
      </c>
      <c r="C74" t="s">
        <v>1043</v>
      </c>
    </row>
    <row r="75" spans="1:3" x14ac:dyDescent="0.25">
      <c r="A75" t="s">
        <v>1044</v>
      </c>
      <c r="B75" t="s">
        <v>845</v>
      </c>
      <c r="C75" t="s">
        <v>1045</v>
      </c>
    </row>
    <row r="76" spans="1:3" x14ac:dyDescent="0.25">
      <c r="A76" t="s">
        <v>1046</v>
      </c>
      <c r="B76" t="s">
        <v>846</v>
      </c>
      <c r="C76" t="s">
        <v>1047</v>
      </c>
    </row>
    <row r="77" spans="1:3" x14ac:dyDescent="0.25">
      <c r="A77" t="s">
        <v>1048</v>
      </c>
      <c r="B77" t="s">
        <v>845</v>
      </c>
      <c r="C77" t="s">
        <v>1049</v>
      </c>
    </row>
    <row r="78" spans="1:3" x14ac:dyDescent="0.25">
      <c r="A78" t="s">
        <v>1050</v>
      </c>
      <c r="B78" t="s">
        <v>845</v>
      </c>
      <c r="C78" t="s">
        <v>1051</v>
      </c>
    </row>
    <row r="79" spans="1:3" x14ac:dyDescent="0.25">
      <c r="A79" t="s">
        <v>1052</v>
      </c>
      <c r="B79" t="s">
        <v>845</v>
      </c>
      <c r="C79" t="s">
        <v>1053</v>
      </c>
    </row>
    <row r="80" spans="1:3" x14ac:dyDescent="0.25">
      <c r="A80" t="s">
        <v>1054</v>
      </c>
      <c r="B80" t="s">
        <v>845</v>
      </c>
      <c r="C80" t="s">
        <v>1055</v>
      </c>
    </row>
    <row r="81" spans="1:3" x14ac:dyDescent="0.25">
      <c r="A81" t="s">
        <v>1056</v>
      </c>
      <c r="B81" t="s">
        <v>845</v>
      </c>
      <c r="C81" t="s">
        <v>1057</v>
      </c>
    </row>
    <row r="82" spans="1:3" x14ac:dyDescent="0.25">
      <c r="A82" t="s">
        <v>1058</v>
      </c>
      <c r="B82" t="s">
        <v>846</v>
      </c>
      <c r="C82" t="s">
        <v>1059</v>
      </c>
    </row>
    <row r="83" spans="1:3" x14ac:dyDescent="0.25">
      <c r="A83" t="s">
        <v>1060</v>
      </c>
      <c r="B83" t="s">
        <v>845</v>
      </c>
      <c r="C83" t="s">
        <v>1061</v>
      </c>
    </row>
    <row r="84" spans="1:3" x14ac:dyDescent="0.25">
      <c r="A84" t="s">
        <v>1062</v>
      </c>
      <c r="B84" t="s">
        <v>845</v>
      </c>
      <c r="C84" t="s">
        <v>1063</v>
      </c>
    </row>
    <row r="85" spans="1:3" x14ac:dyDescent="0.25">
      <c r="A85" t="s">
        <v>1064</v>
      </c>
      <c r="B85" t="s">
        <v>845</v>
      </c>
      <c r="C85" t="s">
        <v>1065</v>
      </c>
    </row>
    <row r="86" spans="1:3" x14ac:dyDescent="0.25">
      <c r="A86" t="s">
        <v>1066</v>
      </c>
      <c r="B86" t="s">
        <v>845</v>
      </c>
      <c r="C86" t="s">
        <v>1067</v>
      </c>
    </row>
    <row r="87" spans="1:3" x14ac:dyDescent="0.25">
      <c r="A87" t="s">
        <v>1068</v>
      </c>
      <c r="B87" t="s">
        <v>845</v>
      </c>
      <c r="C87" t="s">
        <v>1069</v>
      </c>
    </row>
    <row r="88" spans="1:3" x14ac:dyDescent="0.25">
      <c r="A88" t="s">
        <v>1070</v>
      </c>
      <c r="B88" t="s">
        <v>845</v>
      </c>
      <c r="C88" t="s">
        <v>1071</v>
      </c>
    </row>
    <row r="89" spans="1:3" x14ac:dyDescent="0.25">
      <c r="A89" t="s">
        <v>1072</v>
      </c>
      <c r="B89" t="s">
        <v>846</v>
      </c>
      <c r="C89" t="s">
        <v>1073</v>
      </c>
    </row>
    <row r="90" spans="1:3" x14ac:dyDescent="0.25">
      <c r="A90" t="s">
        <v>1074</v>
      </c>
      <c r="B90" t="s">
        <v>845</v>
      </c>
      <c r="C90" t="s">
        <v>1075</v>
      </c>
    </row>
    <row r="91" spans="1:3" x14ac:dyDescent="0.25">
      <c r="A91" t="s">
        <v>1076</v>
      </c>
      <c r="B91" t="s">
        <v>846</v>
      </c>
      <c r="C91" t="s">
        <v>1077</v>
      </c>
    </row>
    <row r="92" spans="1:3" x14ac:dyDescent="0.25">
      <c r="A92" t="s">
        <v>1078</v>
      </c>
      <c r="B92" t="s">
        <v>845</v>
      </c>
      <c r="C92" t="s">
        <v>1079</v>
      </c>
    </row>
    <row r="93" spans="1:3" x14ac:dyDescent="0.25">
      <c r="A93" t="s">
        <v>1080</v>
      </c>
      <c r="B93" t="s">
        <v>845</v>
      </c>
      <c r="C93" t="s">
        <v>1081</v>
      </c>
    </row>
    <row r="94" spans="1:3" x14ac:dyDescent="0.25">
      <c r="A94" t="s">
        <v>1082</v>
      </c>
      <c r="B94" t="s">
        <v>845</v>
      </c>
      <c r="C94" t="s">
        <v>1083</v>
      </c>
    </row>
    <row r="95" spans="1:3" x14ac:dyDescent="0.25">
      <c r="A95" t="s">
        <v>1084</v>
      </c>
      <c r="B95" t="s">
        <v>845</v>
      </c>
      <c r="C95" t="s">
        <v>1085</v>
      </c>
    </row>
    <row r="96" spans="1:3" x14ac:dyDescent="0.25">
      <c r="A96" t="s">
        <v>1086</v>
      </c>
      <c r="B96" t="s">
        <v>846</v>
      </c>
      <c r="C96" t="s">
        <v>1087</v>
      </c>
    </row>
    <row r="97" spans="1:3" x14ac:dyDescent="0.25">
      <c r="A97" t="s">
        <v>1088</v>
      </c>
      <c r="B97" t="s">
        <v>845</v>
      </c>
      <c r="C97" t="s">
        <v>1089</v>
      </c>
    </row>
    <row r="98" spans="1:3" x14ac:dyDescent="0.25">
      <c r="A98" t="s">
        <v>1090</v>
      </c>
      <c r="B98" t="s">
        <v>845</v>
      </c>
      <c r="C98" t="s">
        <v>1091</v>
      </c>
    </row>
    <row r="99" spans="1:3" x14ac:dyDescent="0.25">
      <c r="A99" t="s">
        <v>1092</v>
      </c>
      <c r="B99" t="s">
        <v>845</v>
      </c>
      <c r="C99" t="s">
        <v>1093</v>
      </c>
    </row>
    <row r="100" spans="1:3" x14ac:dyDescent="0.25">
      <c r="A100" t="s">
        <v>1094</v>
      </c>
      <c r="B100" t="s">
        <v>845</v>
      </c>
      <c r="C100" t="s">
        <v>1095</v>
      </c>
    </row>
    <row r="101" spans="1:3" x14ac:dyDescent="0.25">
      <c r="A101" t="s">
        <v>1096</v>
      </c>
      <c r="B101" t="s">
        <v>846</v>
      </c>
      <c r="C101" t="s">
        <v>1097</v>
      </c>
    </row>
    <row r="102" spans="1:3" x14ac:dyDescent="0.25">
      <c r="A102" t="s">
        <v>1098</v>
      </c>
      <c r="B102" t="s">
        <v>845</v>
      </c>
      <c r="C102" t="s">
        <v>1099</v>
      </c>
    </row>
    <row r="103" spans="1:3" x14ac:dyDescent="0.25">
      <c r="A103" t="s">
        <v>1100</v>
      </c>
      <c r="B103" t="s">
        <v>845</v>
      </c>
      <c r="C103" t="s">
        <v>1101</v>
      </c>
    </row>
    <row r="104" spans="1:3" x14ac:dyDescent="0.25">
      <c r="A104" t="s">
        <v>1102</v>
      </c>
      <c r="B104" t="s">
        <v>846</v>
      </c>
      <c r="C104" t="s">
        <v>1103</v>
      </c>
    </row>
    <row r="105" spans="1:3" x14ac:dyDescent="0.25">
      <c r="A105" t="s">
        <v>1104</v>
      </c>
      <c r="B105" t="s">
        <v>846</v>
      </c>
      <c r="C105" t="s">
        <v>1105</v>
      </c>
    </row>
    <row r="106" spans="1:3" x14ac:dyDescent="0.25">
      <c r="A106" t="s">
        <v>54</v>
      </c>
      <c r="B106" t="s">
        <v>845</v>
      </c>
      <c r="C106" t="s">
        <v>1106</v>
      </c>
    </row>
    <row r="107" spans="1:3" x14ac:dyDescent="0.25">
      <c r="A107" t="s">
        <v>1107</v>
      </c>
      <c r="B107" t="s">
        <v>845</v>
      </c>
      <c r="C107" t="s">
        <v>1108</v>
      </c>
    </row>
    <row r="108" spans="1:3" x14ac:dyDescent="0.25">
      <c r="A108" t="s">
        <v>1109</v>
      </c>
      <c r="B108" t="s">
        <v>846</v>
      </c>
      <c r="C108" t="s">
        <v>1110</v>
      </c>
    </row>
    <row r="109" spans="1:3" x14ac:dyDescent="0.25">
      <c r="A109" t="s">
        <v>1111</v>
      </c>
      <c r="B109" t="s">
        <v>845</v>
      </c>
      <c r="C109" t="s">
        <v>1112</v>
      </c>
    </row>
    <row r="110" spans="1:3" x14ac:dyDescent="0.25">
      <c r="A110" t="s">
        <v>1113</v>
      </c>
      <c r="B110" t="s">
        <v>845</v>
      </c>
      <c r="C110" t="s">
        <v>1114</v>
      </c>
    </row>
    <row r="111" spans="1:3" x14ac:dyDescent="0.25">
      <c r="A111" t="s">
        <v>1115</v>
      </c>
      <c r="B111" t="s">
        <v>845</v>
      </c>
      <c r="C111" t="s">
        <v>1116</v>
      </c>
    </row>
    <row r="112" spans="1:3" x14ac:dyDescent="0.25">
      <c r="A112" t="s">
        <v>1117</v>
      </c>
      <c r="B112" t="s">
        <v>846</v>
      </c>
      <c r="C112" t="s">
        <v>1118</v>
      </c>
    </row>
    <row r="113" spans="1:3" x14ac:dyDescent="0.25">
      <c r="A113" t="s">
        <v>1119</v>
      </c>
      <c r="B113" t="s">
        <v>845</v>
      </c>
      <c r="C113" t="s">
        <v>1120</v>
      </c>
    </row>
    <row r="114" spans="1:3" x14ac:dyDescent="0.25">
      <c r="A114" t="s">
        <v>1121</v>
      </c>
      <c r="B114" t="s">
        <v>845</v>
      </c>
      <c r="C114" t="s">
        <v>1122</v>
      </c>
    </row>
    <row r="115" spans="1:3" x14ac:dyDescent="0.25">
      <c r="A115" t="s">
        <v>1123</v>
      </c>
      <c r="B115" t="s">
        <v>845</v>
      </c>
      <c r="C115" t="s">
        <v>1124</v>
      </c>
    </row>
    <row r="116" spans="1:3" x14ac:dyDescent="0.25">
      <c r="A116" t="s">
        <v>1125</v>
      </c>
      <c r="B116" t="s">
        <v>845</v>
      </c>
      <c r="C116" t="s">
        <v>1126</v>
      </c>
    </row>
    <row r="117" spans="1:3" x14ac:dyDescent="0.25">
      <c r="A117" t="s">
        <v>1127</v>
      </c>
      <c r="B117" t="s">
        <v>845</v>
      </c>
      <c r="C117" t="s">
        <v>1128</v>
      </c>
    </row>
    <row r="118" spans="1:3" x14ac:dyDescent="0.25">
      <c r="A118" t="s">
        <v>1129</v>
      </c>
      <c r="B118" t="s">
        <v>845</v>
      </c>
      <c r="C118" t="s">
        <v>1130</v>
      </c>
    </row>
    <row r="119" spans="1:3" x14ac:dyDescent="0.25">
      <c r="A119" t="s">
        <v>1131</v>
      </c>
      <c r="B119" t="s">
        <v>845</v>
      </c>
      <c r="C119" t="s">
        <v>1132</v>
      </c>
    </row>
    <row r="120" spans="1:3" x14ac:dyDescent="0.25">
      <c r="A120" t="s">
        <v>1133</v>
      </c>
      <c r="B120" t="s">
        <v>845</v>
      </c>
      <c r="C120" t="s">
        <v>1134</v>
      </c>
    </row>
    <row r="121" spans="1:3" x14ac:dyDescent="0.25">
      <c r="A121" t="s">
        <v>1135</v>
      </c>
      <c r="B121" t="s">
        <v>845</v>
      </c>
      <c r="C121" t="s">
        <v>1136</v>
      </c>
    </row>
    <row r="122" spans="1:3" x14ac:dyDescent="0.25">
      <c r="A122" t="s">
        <v>1137</v>
      </c>
      <c r="B122" t="s">
        <v>845</v>
      </c>
      <c r="C122" t="s">
        <v>1138</v>
      </c>
    </row>
    <row r="123" spans="1:3" x14ac:dyDescent="0.25">
      <c r="A123" t="s">
        <v>1139</v>
      </c>
      <c r="B123" t="s">
        <v>846</v>
      </c>
      <c r="C123" t="s">
        <v>1140</v>
      </c>
    </row>
    <row r="124" spans="1:3" x14ac:dyDescent="0.25">
      <c r="A124" t="s">
        <v>1141</v>
      </c>
      <c r="B124" t="s">
        <v>845</v>
      </c>
      <c r="C124" t="s">
        <v>1142</v>
      </c>
    </row>
    <row r="125" spans="1:3" x14ac:dyDescent="0.25">
      <c r="A125" t="s">
        <v>1143</v>
      </c>
      <c r="B125" t="s">
        <v>845</v>
      </c>
      <c r="C125" t="s">
        <v>1144</v>
      </c>
    </row>
    <row r="126" spans="1:3" x14ac:dyDescent="0.25">
      <c r="A126" t="s">
        <v>1145</v>
      </c>
      <c r="B126" t="s">
        <v>846</v>
      </c>
      <c r="C126" t="s">
        <v>1146</v>
      </c>
    </row>
    <row r="127" spans="1:3" x14ac:dyDescent="0.25">
      <c r="A127" t="s">
        <v>1147</v>
      </c>
      <c r="B127" t="s">
        <v>845</v>
      </c>
      <c r="C127" t="s">
        <v>1148</v>
      </c>
    </row>
    <row r="128" spans="1:3" x14ac:dyDescent="0.25">
      <c r="A128" t="s">
        <v>1149</v>
      </c>
      <c r="B128" t="s">
        <v>845</v>
      </c>
      <c r="C128" t="s">
        <v>1150</v>
      </c>
    </row>
    <row r="129" spans="1:3" x14ac:dyDescent="0.25">
      <c r="A129" t="s">
        <v>1151</v>
      </c>
      <c r="B129" t="s">
        <v>845</v>
      </c>
      <c r="C129" t="s">
        <v>1152</v>
      </c>
    </row>
    <row r="130" spans="1:3" x14ac:dyDescent="0.25">
      <c r="A130" t="s">
        <v>1153</v>
      </c>
      <c r="B130" t="s">
        <v>845</v>
      </c>
      <c r="C130" t="s">
        <v>1154</v>
      </c>
    </row>
    <row r="131" spans="1:3" x14ac:dyDescent="0.25">
      <c r="A131" t="s">
        <v>1155</v>
      </c>
      <c r="B131" t="s">
        <v>846</v>
      </c>
      <c r="C131" t="s">
        <v>1156</v>
      </c>
    </row>
    <row r="132" spans="1:3" x14ac:dyDescent="0.25">
      <c r="A132" t="s">
        <v>1157</v>
      </c>
      <c r="B132" t="s">
        <v>846</v>
      </c>
      <c r="C132" t="s">
        <v>1158</v>
      </c>
    </row>
    <row r="133" spans="1:3" x14ac:dyDescent="0.25">
      <c r="A133" t="s">
        <v>1159</v>
      </c>
      <c r="B133" t="s">
        <v>846</v>
      </c>
      <c r="C133" t="s">
        <v>1160</v>
      </c>
    </row>
    <row r="134" spans="1:3" x14ac:dyDescent="0.25">
      <c r="A134" t="s">
        <v>1161</v>
      </c>
      <c r="B134" t="s">
        <v>845</v>
      </c>
      <c r="C134" t="s">
        <v>1162</v>
      </c>
    </row>
    <row r="135" spans="1:3" x14ac:dyDescent="0.25">
      <c r="A135" t="s">
        <v>1163</v>
      </c>
      <c r="B135" t="s">
        <v>845</v>
      </c>
      <c r="C135" t="s">
        <v>1164</v>
      </c>
    </row>
    <row r="136" spans="1:3" x14ac:dyDescent="0.25">
      <c r="A136" t="s">
        <v>1165</v>
      </c>
      <c r="B136" t="s">
        <v>845</v>
      </c>
      <c r="C136" t="s">
        <v>1166</v>
      </c>
    </row>
    <row r="137" spans="1:3" x14ac:dyDescent="0.25">
      <c r="A137" t="s">
        <v>1167</v>
      </c>
      <c r="B137" t="s">
        <v>845</v>
      </c>
      <c r="C137" t="s">
        <v>1168</v>
      </c>
    </row>
    <row r="138" spans="1:3" x14ac:dyDescent="0.25">
      <c r="A138" t="s">
        <v>1169</v>
      </c>
      <c r="B138" t="s">
        <v>845</v>
      </c>
      <c r="C138" t="s">
        <v>1170</v>
      </c>
    </row>
    <row r="139" spans="1:3" x14ac:dyDescent="0.25">
      <c r="A139" t="s">
        <v>1171</v>
      </c>
      <c r="B139" t="s">
        <v>846</v>
      </c>
      <c r="C139" t="s">
        <v>1172</v>
      </c>
    </row>
    <row r="140" spans="1:3" x14ac:dyDescent="0.25">
      <c r="A140" t="s">
        <v>1173</v>
      </c>
      <c r="B140" t="s">
        <v>845</v>
      </c>
      <c r="C140" t="s">
        <v>1174</v>
      </c>
    </row>
    <row r="141" spans="1:3" x14ac:dyDescent="0.25">
      <c r="A141" t="s">
        <v>1175</v>
      </c>
      <c r="B141" t="s">
        <v>845</v>
      </c>
      <c r="C141" t="s">
        <v>1176</v>
      </c>
    </row>
    <row r="142" spans="1:3" x14ac:dyDescent="0.25">
      <c r="A142" t="s">
        <v>1177</v>
      </c>
      <c r="B142" t="s">
        <v>845</v>
      </c>
      <c r="C142" t="s">
        <v>1178</v>
      </c>
    </row>
    <row r="143" spans="1:3" x14ac:dyDescent="0.25">
      <c r="A143" t="s">
        <v>1179</v>
      </c>
      <c r="B143" t="s">
        <v>845</v>
      </c>
      <c r="C143" t="s">
        <v>1180</v>
      </c>
    </row>
    <row r="144" spans="1:3" x14ac:dyDescent="0.25">
      <c r="A144" t="s">
        <v>1181</v>
      </c>
      <c r="B144" t="s">
        <v>845</v>
      </c>
      <c r="C144" t="s">
        <v>1182</v>
      </c>
    </row>
    <row r="145" spans="1:3" x14ac:dyDescent="0.25">
      <c r="A145" t="s">
        <v>1183</v>
      </c>
      <c r="B145" t="s">
        <v>845</v>
      </c>
      <c r="C145" t="s">
        <v>1184</v>
      </c>
    </row>
    <row r="146" spans="1:3" x14ac:dyDescent="0.25">
      <c r="A146" t="s">
        <v>1185</v>
      </c>
      <c r="B146" t="s">
        <v>845</v>
      </c>
      <c r="C146" t="s">
        <v>1186</v>
      </c>
    </row>
    <row r="147" spans="1:3" x14ac:dyDescent="0.25">
      <c r="A147" t="s">
        <v>1187</v>
      </c>
      <c r="B147" t="s">
        <v>845</v>
      </c>
      <c r="C147" t="s">
        <v>1188</v>
      </c>
    </row>
    <row r="148" spans="1:3" x14ac:dyDescent="0.25">
      <c r="A148" t="s">
        <v>1189</v>
      </c>
      <c r="B148" t="s">
        <v>846</v>
      </c>
      <c r="C148" t="s">
        <v>1190</v>
      </c>
    </row>
    <row r="149" spans="1:3" x14ac:dyDescent="0.25">
      <c r="A149" t="s">
        <v>1191</v>
      </c>
      <c r="B149" t="s">
        <v>845</v>
      </c>
      <c r="C149" t="s">
        <v>1192</v>
      </c>
    </row>
    <row r="150" spans="1:3" x14ac:dyDescent="0.25">
      <c r="A150" t="s">
        <v>1193</v>
      </c>
      <c r="B150" t="s">
        <v>845</v>
      </c>
      <c r="C150" t="s">
        <v>1194</v>
      </c>
    </row>
    <row r="151" spans="1:3" x14ac:dyDescent="0.25">
      <c r="A151" t="s">
        <v>1195</v>
      </c>
      <c r="B151" t="s">
        <v>845</v>
      </c>
      <c r="C151" t="s">
        <v>1196</v>
      </c>
    </row>
    <row r="152" spans="1:3" x14ac:dyDescent="0.25">
      <c r="A152" t="s">
        <v>1197</v>
      </c>
      <c r="B152" t="s">
        <v>846</v>
      </c>
      <c r="C152" t="s">
        <v>1198</v>
      </c>
    </row>
    <row r="153" spans="1:3" x14ac:dyDescent="0.25">
      <c r="A153" t="s">
        <v>1199</v>
      </c>
      <c r="B153" t="s">
        <v>845</v>
      </c>
      <c r="C153" t="s">
        <v>1200</v>
      </c>
    </row>
    <row r="154" spans="1:3" x14ac:dyDescent="0.25">
      <c r="A154" t="s">
        <v>1201</v>
      </c>
      <c r="B154" t="s">
        <v>846</v>
      </c>
      <c r="C154" t="s">
        <v>1202</v>
      </c>
    </row>
    <row r="155" spans="1:3" x14ac:dyDescent="0.25">
      <c r="A155" t="s">
        <v>1203</v>
      </c>
      <c r="B155" t="s">
        <v>846</v>
      </c>
      <c r="C155" t="s">
        <v>1204</v>
      </c>
    </row>
    <row r="156" spans="1:3" x14ac:dyDescent="0.25">
      <c r="A156" t="s">
        <v>1205</v>
      </c>
      <c r="B156" t="s">
        <v>845</v>
      </c>
      <c r="C156" t="s">
        <v>1206</v>
      </c>
    </row>
    <row r="157" spans="1:3" x14ac:dyDescent="0.25">
      <c r="A157" t="s">
        <v>1207</v>
      </c>
      <c r="B157" t="s">
        <v>845</v>
      </c>
      <c r="C157" t="s">
        <v>1208</v>
      </c>
    </row>
    <row r="158" spans="1:3" x14ac:dyDescent="0.25">
      <c r="A158" t="s">
        <v>1209</v>
      </c>
      <c r="B158" t="s">
        <v>845</v>
      </c>
      <c r="C158" t="s">
        <v>1210</v>
      </c>
    </row>
    <row r="159" spans="1:3" x14ac:dyDescent="0.25">
      <c r="A159" t="s">
        <v>1211</v>
      </c>
      <c r="B159" t="s">
        <v>845</v>
      </c>
      <c r="C159" t="s">
        <v>1212</v>
      </c>
    </row>
    <row r="160" spans="1:3" x14ac:dyDescent="0.25">
      <c r="A160" t="s">
        <v>1213</v>
      </c>
      <c r="B160" t="s">
        <v>845</v>
      </c>
      <c r="C160" t="s">
        <v>1214</v>
      </c>
    </row>
    <row r="161" spans="1:3" x14ac:dyDescent="0.25">
      <c r="A161" t="s">
        <v>1215</v>
      </c>
      <c r="B161" t="s">
        <v>845</v>
      </c>
      <c r="C161" t="s">
        <v>1216</v>
      </c>
    </row>
    <row r="162" spans="1:3" x14ac:dyDescent="0.25">
      <c r="A162" t="s">
        <v>1217</v>
      </c>
      <c r="B162" t="s">
        <v>845</v>
      </c>
      <c r="C162" t="s">
        <v>1218</v>
      </c>
    </row>
    <row r="163" spans="1:3" x14ac:dyDescent="0.25">
      <c r="A163" t="s">
        <v>1219</v>
      </c>
      <c r="B163" t="s">
        <v>845</v>
      </c>
      <c r="C163" t="s">
        <v>1220</v>
      </c>
    </row>
    <row r="164" spans="1:3" x14ac:dyDescent="0.25">
      <c r="A164" t="s">
        <v>1221</v>
      </c>
      <c r="B164" t="s">
        <v>845</v>
      </c>
      <c r="C164" t="s">
        <v>1222</v>
      </c>
    </row>
    <row r="165" spans="1:3" x14ac:dyDescent="0.25">
      <c r="A165" t="s">
        <v>1223</v>
      </c>
      <c r="B165" t="s">
        <v>846</v>
      </c>
      <c r="C165" t="s">
        <v>1224</v>
      </c>
    </row>
    <row r="166" spans="1:3" x14ac:dyDescent="0.25">
      <c r="A166" t="s">
        <v>1225</v>
      </c>
      <c r="B166" t="s">
        <v>845</v>
      </c>
      <c r="C166" t="s">
        <v>1226</v>
      </c>
    </row>
    <row r="167" spans="1:3" x14ac:dyDescent="0.25">
      <c r="A167" t="s">
        <v>1227</v>
      </c>
      <c r="B167" t="s">
        <v>845</v>
      </c>
      <c r="C167" t="s">
        <v>1228</v>
      </c>
    </row>
    <row r="168" spans="1:3" x14ac:dyDescent="0.25">
      <c r="A168" t="s">
        <v>1229</v>
      </c>
      <c r="B168" t="s">
        <v>845</v>
      </c>
      <c r="C168" t="s">
        <v>1230</v>
      </c>
    </row>
    <row r="169" spans="1:3" x14ac:dyDescent="0.25">
      <c r="A169" t="s">
        <v>1231</v>
      </c>
      <c r="B169" t="s">
        <v>845</v>
      </c>
      <c r="C169" t="s">
        <v>1232</v>
      </c>
    </row>
    <row r="170" spans="1:3" x14ac:dyDescent="0.25">
      <c r="A170" t="s">
        <v>1233</v>
      </c>
      <c r="B170" t="s">
        <v>845</v>
      </c>
      <c r="C170" t="s">
        <v>1234</v>
      </c>
    </row>
    <row r="171" spans="1:3" x14ac:dyDescent="0.25">
      <c r="A171" t="s">
        <v>1235</v>
      </c>
      <c r="B171" t="s">
        <v>846</v>
      </c>
      <c r="C171" t="s">
        <v>1236</v>
      </c>
    </row>
    <row r="172" spans="1:3" x14ac:dyDescent="0.25">
      <c r="A172" t="s">
        <v>1237</v>
      </c>
      <c r="B172" t="s">
        <v>845</v>
      </c>
      <c r="C172" t="s">
        <v>1238</v>
      </c>
    </row>
    <row r="173" spans="1:3" x14ac:dyDescent="0.25">
      <c r="A173" t="s">
        <v>1239</v>
      </c>
      <c r="B173" t="s">
        <v>846</v>
      </c>
      <c r="C173" t="s">
        <v>1240</v>
      </c>
    </row>
    <row r="174" spans="1:3" x14ac:dyDescent="0.25">
      <c r="A174" t="s">
        <v>1241</v>
      </c>
      <c r="B174" t="s">
        <v>846</v>
      </c>
      <c r="C174" t="s">
        <v>1242</v>
      </c>
    </row>
    <row r="175" spans="1:3" x14ac:dyDescent="0.25">
      <c r="A175" t="s">
        <v>1243</v>
      </c>
      <c r="B175" t="s">
        <v>845</v>
      </c>
      <c r="C175" t="s">
        <v>1244</v>
      </c>
    </row>
    <row r="176" spans="1:3" x14ac:dyDescent="0.25">
      <c r="A176" t="s">
        <v>1245</v>
      </c>
      <c r="B176" t="s">
        <v>845</v>
      </c>
      <c r="C176" t="s">
        <v>1246</v>
      </c>
    </row>
    <row r="177" spans="1:3" x14ac:dyDescent="0.25">
      <c r="A177" t="s">
        <v>1247</v>
      </c>
      <c r="B177" t="s">
        <v>845</v>
      </c>
      <c r="C177" t="s">
        <v>1248</v>
      </c>
    </row>
    <row r="178" spans="1:3" x14ac:dyDescent="0.25">
      <c r="A178" t="s">
        <v>1249</v>
      </c>
      <c r="B178" t="s">
        <v>845</v>
      </c>
      <c r="C178" t="s">
        <v>1250</v>
      </c>
    </row>
    <row r="179" spans="1:3" x14ac:dyDescent="0.25">
      <c r="A179" t="s">
        <v>1251</v>
      </c>
      <c r="B179" t="s">
        <v>845</v>
      </c>
      <c r="C179" t="s">
        <v>1252</v>
      </c>
    </row>
    <row r="180" spans="1:3" x14ac:dyDescent="0.25">
      <c r="A180" t="s">
        <v>1253</v>
      </c>
      <c r="B180" t="s">
        <v>845</v>
      </c>
      <c r="C180" t="s">
        <v>1254</v>
      </c>
    </row>
    <row r="181" spans="1:3" x14ac:dyDescent="0.25">
      <c r="A181" t="s">
        <v>1255</v>
      </c>
      <c r="B181" t="s">
        <v>845</v>
      </c>
      <c r="C181" t="s">
        <v>1256</v>
      </c>
    </row>
    <row r="182" spans="1:3" x14ac:dyDescent="0.25">
      <c r="A182" t="s">
        <v>1257</v>
      </c>
      <c r="B182" t="s">
        <v>846</v>
      </c>
      <c r="C182" t="s">
        <v>1258</v>
      </c>
    </row>
    <row r="183" spans="1:3" x14ac:dyDescent="0.25">
      <c r="A183" t="s">
        <v>1259</v>
      </c>
      <c r="B183" t="s">
        <v>845</v>
      </c>
      <c r="C183" t="s">
        <v>1260</v>
      </c>
    </row>
    <row r="184" spans="1:3" x14ac:dyDescent="0.25">
      <c r="A184" t="s">
        <v>1261</v>
      </c>
      <c r="B184" t="s">
        <v>846</v>
      </c>
      <c r="C184" t="s">
        <v>1262</v>
      </c>
    </row>
    <row r="185" spans="1:3" x14ac:dyDescent="0.25">
      <c r="A185" t="s">
        <v>1263</v>
      </c>
      <c r="B185" t="s">
        <v>845</v>
      </c>
      <c r="C185" t="s">
        <v>1264</v>
      </c>
    </row>
    <row r="186" spans="1:3" x14ac:dyDescent="0.25">
      <c r="A186" t="s">
        <v>1265</v>
      </c>
      <c r="B186" t="s">
        <v>845</v>
      </c>
      <c r="C186" t="s">
        <v>1266</v>
      </c>
    </row>
    <row r="187" spans="1:3" x14ac:dyDescent="0.25">
      <c r="A187" t="s">
        <v>1267</v>
      </c>
      <c r="B187" t="s">
        <v>845</v>
      </c>
      <c r="C187" t="s">
        <v>1268</v>
      </c>
    </row>
    <row r="188" spans="1:3" x14ac:dyDescent="0.25">
      <c r="A188" t="s">
        <v>1269</v>
      </c>
      <c r="B188" t="s">
        <v>846</v>
      </c>
      <c r="C188" t="s">
        <v>1270</v>
      </c>
    </row>
    <row r="189" spans="1:3" x14ac:dyDescent="0.25">
      <c r="A189" t="s">
        <v>1271</v>
      </c>
      <c r="B189" t="s">
        <v>846</v>
      </c>
      <c r="C189" t="s">
        <v>1272</v>
      </c>
    </row>
    <row r="190" spans="1:3" x14ac:dyDescent="0.25">
      <c r="A190" t="s">
        <v>1273</v>
      </c>
      <c r="B190" t="s">
        <v>845</v>
      </c>
      <c r="C190" t="s">
        <v>1274</v>
      </c>
    </row>
    <row r="191" spans="1:3" x14ac:dyDescent="0.25">
      <c r="A191" t="s">
        <v>1275</v>
      </c>
      <c r="B191" t="s">
        <v>845</v>
      </c>
      <c r="C191" t="s">
        <v>1276</v>
      </c>
    </row>
    <row r="192" spans="1:3" x14ac:dyDescent="0.25">
      <c r="A192" t="s">
        <v>1277</v>
      </c>
      <c r="B192" t="s">
        <v>846</v>
      </c>
      <c r="C192" t="s">
        <v>1278</v>
      </c>
    </row>
    <row r="193" spans="1:3" x14ac:dyDescent="0.25">
      <c r="A193" t="s">
        <v>1279</v>
      </c>
      <c r="B193" t="s">
        <v>845</v>
      </c>
      <c r="C193" t="s">
        <v>1280</v>
      </c>
    </row>
    <row r="194" spans="1:3" x14ac:dyDescent="0.25">
      <c r="A194" t="s">
        <v>1281</v>
      </c>
      <c r="B194" t="s">
        <v>845</v>
      </c>
      <c r="C194" t="s">
        <v>1282</v>
      </c>
    </row>
    <row r="195" spans="1:3" x14ac:dyDescent="0.25">
      <c r="A195" t="s">
        <v>1283</v>
      </c>
      <c r="B195" t="s">
        <v>846</v>
      </c>
      <c r="C195" t="s">
        <v>1284</v>
      </c>
    </row>
    <row r="196" spans="1:3" x14ac:dyDescent="0.25">
      <c r="A196" t="s">
        <v>1285</v>
      </c>
      <c r="B196" t="s">
        <v>845</v>
      </c>
      <c r="C196" t="s">
        <v>1286</v>
      </c>
    </row>
    <row r="197" spans="1:3" x14ac:dyDescent="0.25">
      <c r="A197" t="s">
        <v>1287</v>
      </c>
      <c r="B197" t="s">
        <v>845</v>
      </c>
      <c r="C197" t="s">
        <v>1288</v>
      </c>
    </row>
    <row r="198" spans="1:3" x14ac:dyDescent="0.25">
      <c r="A198" t="s">
        <v>1289</v>
      </c>
      <c r="B198" t="s">
        <v>845</v>
      </c>
      <c r="C198" t="s">
        <v>1290</v>
      </c>
    </row>
    <row r="199" spans="1:3" x14ac:dyDescent="0.25">
      <c r="A199" t="s">
        <v>1291</v>
      </c>
      <c r="B199" t="s">
        <v>846</v>
      </c>
      <c r="C199" t="s">
        <v>1292</v>
      </c>
    </row>
    <row r="200" spans="1:3" x14ac:dyDescent="0.25">
      <c r="A200" t="s">
        <v>1293</v>
      </c>
      <c r="B200" t="s">
        <v>845</v>
      </c>
      <c r="C200" t="s">
        <v>1294</v>
      </c>
    </row>
    <row r="201" spans="1:3" x14ac:dyDescent="0.25">
      <c r="A201" t="s">
        <v>1295</v>
      </c>
      <c r="B201" t="s">
        <v>845</v>
      </c>
      <c r="C201" t="s">
        <v>1296</v>
      </c>
    </row>
    <row r="202" spans="1:3" x14ac:dyDescent="0.25">
      <c r="A202" t="s">
        <v>1297</v>
      </c>
      <c r="B202" t="s">
        <v>845</v>
      </c>
      <c r="C202" t="s">
        <v>1298</v>
      </c>
    </row>
    <row r="203" spans="1:3" x14ac:dyDescent="0.25">
      <c r="A203" t="s">
        <v>1299</v>
      </c>
      <c r="B203" t="s">
        <v>845</v>
      </c>
      <c r="C203" t="s">
        <v>1300</v>
      </c>
    </row>
    <row r="204" spans="1:3" x14ac:dyDescent="0.25">
      <c r="A204" t="s">
        <v>1301</v>
      </c>
      <c r="B204" t="s">
        <v>845</v>
      </c>
      <c r="C204" t="s">
        <v>1302</v>
      </c>
    </row>
    <row r="205" spans="1:3" x14ac:dyDescent="0.25">
      <c r="A205" t="s">
        <v>1303</v>
      </c>
      <c r="B205" t="s">
        <v>845</v>
      </c>
      <c r="C205" t="s">
        <v>1304</v>
      </c>
    </row>
    <row r="206" spans="1:3" x14ac:dyDescent="0.25">
      <c r="A206" t="s">
        <v>1305</v>
      </c>
      <c r="B206" t="s">
        <v>845</v>
      </c>
      <c r="C206" t="s">
        <v>1306</v>
      </c>
    </row>
    <row r="207" spans="1:3" x14ac:dyDescent="0.25">
      <c r="A207" t="s">
        <v>1307</v>
      </c>
      <c r="B207" t="s">
        <v>845</v>
      </c>
      <c r="C207" t="s">
        <v>1308</v>
      </c>
    </row>
    <row r="208" spans="1:3" x14ac:dyDescent="0.25">
      <c r="A208" t="s">
        <v>1309</v>
      </c>
      <c r="B208" t="s">
        <v>845</v>
      </c>
      <c r="C208" t="s">
        <v>1310</v>
      </c>
    </row>
    <row r="209" spans="1:3" x14ac:dyDescent="0.25">
      <c r="A209" t="s">
        <v>1311</v>
      </c>
      <c r="B209" t="s">
        <v>845</v>
      </c>
      <c r="C209" t="s">
        <v>1312</v>
      </c>
    </row>
    <row r="210" spans="1:3" x14ac:dyDescent="0.25">
      <c r="A210" t="s">
        <v>1313</v>
      </c>
      <c r="B210" t="s">
        <v>845</v>
      </c>
      <c r="C210" t="s">
        <v>1314</v>
      </c>
    </row>
    <row r="211" spans="1:3" x14ac:dyDescent="0.25">
      <c r="A211" t="s">
        <v>1315</v>
      </c>
      <c r="B211" t="s">
        <v>845</v>
      </c>
      <c r="C211" t="s">
        <v>1316</v>
      </c>
    </row>
    <row r="212" spans="1:3" x14ac:dyDescent="0.25">
      <c r="A212" t="s">
        <v>1317</v>
      </c>
      <c r="B212" t="s">
        <v>845</v>
      </c>
      <c r="C212" t="s">
        <v>1318</v>
      </c>
    </row>
    <row r="213" spans="1:3" x14ac:dyDescent="0.25">
      <c r="A213" t="s">
        <v>1319</v>
      </c>
      <c r="B213" t="s">
        <v>845</v>
      </c>
      <c r="C213" t="s">
        <v>1320</v>
      </c>
    </row>
    <row r="214" spans="1:3" x14ac:dyDescent="0.25">
      <c r="A214" t="s">
        <v>1321</v>
      </c>
      <c r="B214" t="s">
        <v>845</v>
      </c>
      <c r="C214" t="s">
        <v>1322</v>
      </c>
    </row>
    <row r="215" spans="1:3" x14ac:dyDescent="0.25">
      <c r="A215" t="s">
        <v>1323</v>
      </c>
      <c r="B215" t="s">
        <v>845</v>
      </c>
      <c r="C215" t="s">
        <v>1324</v>
      </c>
    </row>
    <row r="216" spans="1:3" x14ac:dyDescent="0.25">
      <c r="A216" t="s">
        <v>1325</v>
      </c>
      <c r="B216" t="s">
        <v>845</v>
      </c>
      <c r="C216" t="s">
        <v>1326</v>
      </c>
    </row>
    <row r="217" spans="1:3" x14ac:dyDescent="0.25">
      <c r="A217" t="s">
        <v>1327</v>
      </c>
      <c r="B217" t="s">
        <v>846</v>
      </c>
      <c r="C217" t="s">
        <v>1328</v>
      </c>
    </row>
    <row r="218" spans="1:3" x14ac:dyDescent="0.25">
      <c r="A218" t="s">
        <v>1329</v>
      </c>
      <c r="B218" t="s">
        <v>846</v>
      </c>
      <c r="C218" t="s">
        <v>1330</v>
      </c>
    </row>
    <row r="219" spans="1:3" x14ac:dyDescent="0.25">
      <c r="A219" t="s">
        <v>1331</v>
      </c>
      <c r="B219" t="s">
        <v>846</v>
      </c>
      <c r="C219" t="s">
        <v>1332</v>
      </c>
    </row>
    <row r="220" spans="1:3" x14ac:dyDescent="0.25">
      <c r="A220" t="s">
        <v>1333</v>
      </c>
      <c r="B220" t="s">
        <v>846</v>
      </c>
      <c r="C220" t="s">
        <v>1334</v>
      </c>
    </row>
    <row r="221" spans="1:3" x14ac:dyDescent="0.25">
      <c r="A221" t="s">
        <v>1335</v>
      </c>
      <c r="B221" t="s">
        <v>845</v>
      </c>
      <c r="C221" t="s">
        <v>1336</v>
      </c>
    </row>
    <row r="222" spans="1:3" x14ac:dyDescent="0.25">
      <c r="A222" t="s">
        <v>1337</v>
      </c>
      <c r="B222" t="s">
        <v>846</v>
      </c>
      <c r="C222" t="s">
        <v>1338</v>
      </c>
    </row>
    <row r="223" spans="1:3" x14ac:dyDescent="0.25">
      <c r="A223" t="s">
        <v>1339</v>
      </c>
      <c r="B223" t="s">
        <v>845</v>
      </c>
      <c r="C223" t="s">
        <v>1340</v>
      </c>
    </row>
    <row r="224" spans="1:3" x14ac:dyDescent="0.25">
      <c r="A224" t="s">
        <v>1341</v>
      </c>
      <c r="B224" t="s">
        <v>845</v>
      </c>
      <c r="C224" t="s">
        <v>1342</v>
      </c>
    </row>
    <row r="225" spans="1:3" x14ac:dyDescent="0.25">
      <c r="A225" t="s">
        <v>1343</v>
      </c>
      <c r="B225" t="s">
        <v>845</v>
      </c>
      <c r="C225" t="s">
        <v>1344</v>
      </c>
    </row>
    <row r="226" spans="1:3" x14ac:dyDescent="0.25">
      <c r="A226" t="s">
        <v>1345</v>
      </c>
      <c r="B226" t="s">
        <v>845</v>
      </c>
      <c r="C226" t="s">
        <v>1346</v>
      </c>
    </row>
    <row r="227" spans="1:3" x14ac:dyDescent="0.25">
      <c r="A227" t="s">
        <v>1347</v>
      </c>
      <c r="B227" t="s">
        <v>845</v>
      </c>
      <c r="C227" t="s">
        <v>1348</v>
      </c>
    </row>
    <row r="228" spans="1:3" x14ac:dyDescent="0.25">
      <c r="A228" t="s">
        <v>1349</v>
      </c>
      <c r="B228" t="s">
        <v>846</v>
      </c>
      <c r="C228" t="s">
        <v>1350</v>
      </c>
    </row>
    <row r="229" spans="1:3" x14ac:dyDescent="0.25">
      <c r="A229" t="s">
        <v>1351</v>
      </c>
      <c r="B229" t="s">
        <v>845</v>
      </c>
      <c r="C229" t="s">
        <v>1352</v>
      </c>
    </row>
    <row r="230" spans="1:3" x14ac:dyDescent="0.25">
      <c r="A230" t="s">
        <v>1353</v>
      </c>
      <c r="B230" t="s">
        <v>845</v>
      </c>
      <c r="C230" t="s">
        <v>1354</v>
      </c>
    </row>
    <row r="231" spans="1:3" x14ac:dyDescent="0.25">
      <c r="A231" t="s">
        <v>1355</v>
      </c>
      <c r="B231" t="s">
        <v>845</v>
      </c>
      <c r="C231" t="s">
        <v>1356</v>
      </c>
    </row>
    <row r="232" spans="1:3" x14ac:dyDescent="0.25">
      <c r="A232" t="s">
        <v>1357</v>
      </c>
      <c r="B232" t="s">
        <v>845</v>
      </c>
      <c r="C232" t="s">
        <v>1358</v>
      </c>
    </row>
    <row r="233" spans="1:3" x14ac:dyDescent="0.25">
      <c r="A233" t="s">
        <v>1359</v>
      </c>
      <c r="B233" t="s">
        <v>845</v>
      </c>
      <c r="C233" t="s">
        <v>1360</v>
      </c>
    </row>
    <row r="234" spans="1:3" x14ac:dyDescent="0.25">
      <c r="A234" t="s">
        <v>1361</v>
      </c>
      <c r="B234" t="s">
        <v>846</v>
      </c>
      <c r="C234" t="s">
        <v>1362</v>
      </c>
    </row>
    <row r="235" spans="1:3" x14ac:dyDescent="0.25">
      <c r="A235" t="s">
        <v>1363</v>
      </c>
      <c r="B235" t="s">
        <v>845</v>
      </c>
      <c r="C235" t="s">
        <v>1364</v>
      </c>
    </row>
    <row r="236" spans="1:3" x14ac:dyDescent="0.25">
      <c r="A236" t="s">
        <v>1365</v>
      </c>
      <c r="B236" t="s">
        <v>846</v>
      </c>
      <c r="C236" t="s">
        <v>1366</v>
      </c>
    </row>
    <row r="237" spans="1:3" x14ac:dyDescent="0.25">
      <c r="A237" t="s">
        <v>1367</v>
      </c>
      <c r="B237" t="s">
        <v>845</v>
      </c>
      <c r="C237" t="s">
        <v>1368</v>
      </c>
    </row>
    <row r="238" spans="1:3" x14ac:dyDescent="0.25">
      <c r="A238" t="s">
        <v>1369</v>
      </c>
      <c r="B238" t="s">
        <v>845</v>
      </c>
      <c r="C238" t="s">
        <v>1370</v>
      </c>
    </row>
    <row r="239" spans="1:3" x14ac:dyDescent="0.25">
      <c r="A239" t="s">
        <v>1371</v>
      </c>
      <c r="B239" t="s">
        <v>845</v>
      </c>
      <c r="C239" t="s">
        <v>1372</v>
      </c>
    </row>
    <row r="240" spans="1:3" x14ac:dyDescent="0.25">
      <c r="A240" t="s">
        <v>1373</v>
      </c>
      <c r="B240" t="s">
        <v>846</v>
      </c>
      <c r="C240" t="s">
        <v>1374</v>
      </c>
    </row>
    <row r="241" spans="1:3" x14ac:dyDescent="0.25">
      <c r="A241" t="s">
        <v>1375</v>
      </c>
      <c r="B241" t="s">
        <v>846</v>
      </c>
      <c r="C241" t="s">
        <v>1376</v>
      </c>
    </row>
    <row r="242" spans="1:3" x14ac:dyDescent="0.25">
      <c r="A242" t="s">
        <v>1377</v>
      </c>
      <c r="B242" t="s">
        <v>845</v>
      </c>
      <c r="C242" t="s">
        <v>1378</v>
      </c>
    </row>
    <row r="243" spans="1:3" x14ac:dyDescent="0.25">
      <c r="A243" t="s">
        <v>1379</v>
      </c>
      <c r="B243" t="s">
        <v>846</v>
      </c>
      <c r="C243" t="s">
        <v>1380</v>
      </c>
    </row>
    <row r="244" spans="1:3" x14ac:dyDescent="0.25">
      <c r="A244" t="s">
        <v>1381</v>
      </c>
      <c r="B244" t="s">
        <v>845</v>
      </c>
      <c r="C244" t="s">
        <v>1382</v>
      </c>
    </row>
    <row r="245" spans="1:3" x14ac:dyDescent="0.25">
      <c r="A245" t="s">
        <v>1383</v>
      </c>
      <c r="B245" t="s">
        <v>845</v>
      </c>
      <c r="C245" t="s">
        <v>1384</v>
      </c>
    </row>
    <row r="246" spans="1:3" x14ac:dyDescent="0.25">
      <c r="A246" t="s">
        <v>1385</v>
      </c>
      <c r="B246" t="s">
        <v>846</v>
      </c>
      <c r="C246" t="s">
        <v>1386</v>
      </c>
    </row>
    <row r="247" spans="1:3" x14ac:dyDescent="0.25">
      <c r="A247" t="s">
        <v>1387</v>
      </c>
      <c r="B247" t="s">
        <v>845</v>
      </c>
      <c r="C247" t="s">
        <v>1388</v>
      </c>
    </row>
    <row r="248" spans="1:3" x14ac:dyDescent="0.25">
      <c r="A248" t="s">
        <v>1389</v>
      </c>
      <c r="B248" t="s">
        <v>846</v>
      </c>
      <c r="C248" t="s">
        <v>1390</v>
      </c>
    </row>
    <row r="249" spans="1:3" x14ac:dyDescent="0.25">
      <c r="A249" t="s">
        <v>1391</v>
      </c>
      <c r="B249" t="s">
        <v>845</v>
      </c>
      <c r="C249" t="s">
        <v>1392</v>
      </c>
    </row>
    <row r="250" spans="1:3" x14ac:dyDescent="0.25">
      <c r="A250" t="s">
        <v>1393</v>
      </c>
      <c r="B250" t="s">
        <v>845</v>
      </c>
      <c r="C250" t="s">
        <v>1394</v>
      </c>
    </row>
    <row r="251" spans="1:3" x14ac:dyDescent="0.25">
      <c r="A251" t="s">
        <v>1395</v>
      </c>
      <c r="B251" t="s">
        <v>846</v>
      </c>
      <c r="C251" t="s">
        <v>1396</v>
      </c>
    </row>
    <row r="252" spans="1:3" x14ac:dyDescent="0.25">
      <c r="A252" t="s">
        <v>1397</v>
      </c>
      <c r="B252" t="s">
        <v>845</v>
      </c>
      <c r="C252" t="s">
        <v>1398</v>
      </c>
    </row>
    <row r="253" spans="1:3" x14ac:dyDescent="0.25">
      <c r="A253" t="s">
        <v>1399</v>
      </c>
      <c r="B253" t="s">
        <v>845</v>
      </c>
      <c r="C253" t="s">
        <v>1400</v>
      </c>
    </row>
    <row r="254" spans="1:3" x14ac:dyDescent="0.25">
      <c r="A254" t="s">
        <v>1401</v>
      </c>
      <c r="B254" t="s">
        <v>845</v>
      </c>
      <c r="C254" t="s">
        <v>1402</v>
      </c>
    </row>
    <row r="255" spans="1:3" x14ac:dyDescent="0.25">
      <c r="A255" t="s">
        <v>1403</v>
      </c>
      <c r="B255" t="s">
        <v>846</v>
      </c>
      <c r="C255" t="s">
        <v>1404</v>
      </c>
    </row>
    <row r="256" spans="1:3" x14ac:dyDescent="0.25">
      <c r="A256" t="s">
        <v>1405</v>
      </c>
      <c r="B256" t="s">
        <v>845</v>
      </c>
      <c r="C256" t="s">
        <v>1406</v>
      </c>
    </row>
    <row r="257" spans="1:3" x14ac:dyDescent="0.25">
      <c r="A257" t="s">
        <v>1407</v>
      </c>
      <c r="B257" t="s">
        <v>846</v>
      </c>
      <c r="C257" t="s">
        <v>1408</v>
      </c>
    </row>
    <row r="258" spans="1:3" x14ac:dyDescent="0.25">
      <c r="A258" t="s">
        <v>1409</v>
      </c>
      <c r="B258" t="s">
        <v>845</v>
      </c>
      <c r="C258" t="s">
        <v>1410</v>
      </c>
    </row>
    <row r="259" spans="1:3" x14ac:dyDescent="0.25">
      <c r="A259" t="s">
        <v>1411</v>
      </c>
      <c r="B259" t="s">
        <v>846</v>
      </c>
      <c r="C259" t="s">
        <v>1412</v>
      </c>
    </row>
    <row r="260" spans="1:3" x14ac:dyDescent="0.25">
      <c r="A260" t="s">
        <v>1413</v>
      </c>
      <c r="B260" t="s">
        <v>845</v>
      </c>
      <c r="C260" t="s">
        <v>1414</v>
      </c>
    </row>
    <row r="261" spans="1:3" x14ac:dyDescent="0.25">
      <c r="A261" t="s">
        <v>1415</v>
      </c>
      <c r="B261" t="s">
        <v>846</v>
      </c>
      <c r="C261" t="s">
        <v>1416</v>
      </c>
    </row>
    <row r="262" spans="1:3" x14ac:dyDescent="0.25">
      <c r="A262" t="s">
        <v>1417</v>
      </c>
      <c r="B262" t="s">
        <v>845</v>
      </c>
      <c r="C262" t="s">
        <v>1418</v>
      </c>
    </row>
    <row r="263" spans="1:3" x14ac:dyDescent="0.25">
      <c r="A263" t="s">
        <v>1419</v>
      </c>
      <c r="B263" t="s">
        <v>845</v>
      </c>
      <c r="C263" t="s">
        <v>1420</v>
      </c>
    </row>
    <row r="264" spans="1:3" x14ac:dyDescent="0.25">
      <c r="A264" t="s">
        <v>1421</v>
      </c>
      <c r="B264" t="s">
        <v>846</v>
      </c>
      <c r="C264" t="s">
        <v>1422</v>
      </c>
    </row>
    <row r="265" spans="1:3" x14ac:dyDescent="0.25">
      <c r="A265" t="s">
        <v>1423</v>
      </c>
      <c r="B265" t="s">
        <v>845</v>
      </c>
      <c r="C265" t="s">
        <v>1424</v>
      </c>
    </row>
    <row r="266" spans="1:3" x14ac:dyDescent="0.25">
      <c r="A266" t="s">
        <v>1425</v>
      </c>
      <c r="B266" t="s">
        <v>846</v>
      </c>
      <c r="C266" t="s">
        <v>1426</v>
      </c>
    </row>
    <row r="267" spans="1:3" x14ac:dyDescent="0.25">
      <c r="A267" t="s">
        <v>1427</v>
      </c>
      <c r="B267" t="s">
        <v>846</v>
      </c>
      <c r="C267" t="s">
        <v>1428</v>
      </c>
    </row>
    <row r="268" spans="1:3" x14ac:dyDescent="0.25">
      <c r="A268" t="s">
        <v>1429</v>
      </c>
      <c r="B268" t="s">
        <v>845</v>
      </c>
      <c r="C268" t="s">
        <v>1430</v>
      </c>
    </row>
    <row r="269" spans="1:3" x14ac:dyDescent="0.25">
      <c r="A269" t="s">
        <v>1431</v>
      </c>
      <c r="B269" t="s">
        <v>845</v>
      </c>
      <c r="C269" t="s">
        <v>1432</v>
      </c>
    </row>
    <row r="270" spans="1:3" x14ac:dyDescent="0.25">
      <c r="A270" t="s">
        <v>1433</v>
      </c>
      <c r="B270" t="s">
        <v>845</v>
      </c>
      <c r="C270" t="s">
        <v>1434</v>
      </c>
    </row>
    <row r="271" spans="1:3" x14ac:dyDescent="0.25">
      <c r="A271" t="s">
        <v>1435</v>
      </c>
      <c r="B271" t="s">
        <v>846</v>
      </c>
      <c r="C271" t="s">
        <v>1436</v>
      </c>
    </row>
    <row r="272" spans="1:3" x14ac:dyDescent="0.25">
      <c r="A272" t="s">
        <v>1437</v>
      </c>
      <c r="B272" t="s">
        <v>845</v>
      </c>
      <c r="C272" t="s">
        <v>1438</v>
      </c>
    </row>
    <row r="273" spans="1:3" x14ac:dyDescent="0.25">
      <c r="A273" t="s">
        <v>1439</v>
      </c>
      <c r="B273" t="s">
        <v>846</v>
      </c>
      <c r="C273" t="s">
        <v>1440</v>
      </c>
    </row>
    <row r="274" spans="1:3" x14ac:dyDescent="0.25">
      <c r="A274" t="s">
        <v>1441</v>
      </c>
      <c r="B274" t="s">
        <v>845</v>
      </c>
      <c r="C274" t="s">
        <v>1442</v>
      </c>
    </row>
    <row r="275" spans="1:3" x14ac:dyDescent="0.25">
      <c r="A275" t="s">
        <v>1443</v>
      </c>
      <c r="B275" t="s">
        <v>846</v>
      </c>
      <c r="C275" t="s">
        <v>1444</v>
      </c>
    </row>
    <row r="276" spans="1:3" x14ac:dyDescent="0.25">
      <c r="A276" t="s">
        <v>1445</v>
      </c>
      <c r="B276" t="s">
        <v>845</v>
      </c>
      <c r="C276" t="s">
        <v>1446</v>
      </c>
    </row>
    <row r="277" spans="1:3" x14ac:dyDescent="0.25">
      <c r="A277" t="s">
        <v>1447</v>
      </c>
      <c r="B277" t="s">
        <v>845</v>
      </c>
      <c r="C277" t="s">
        <v>1448</v>
      </c>
    </row>
    <row r="278" spans="1:3" x14ac:dyDescent="0.25">
      <c r="A278" t="s">
        <v>1449</v>
      </c>
      <c r="B278" t="s">
        <v>845</v>
      </c>
      <c r="C278" t="s">
        <v>1450</v>
      </c>
    </row>
    <row r="279" spans="1:3" x14ac:dyDescent="0.25">
      <c r="A279" t="s">
        <v>1451</v>
      </c>
      <c r="B279" t="s">
        <v>845</v>
      </c>
      <c r="C279" t="s">
        <v>1452</v>
      </c>
    </row>
    <row r="280" spans="1:3" x14ac:dyDescent="0.25">
      <c r="A280" t="s">
        <v>1453</v>
      </c>
      <c r="B280" t="s">
        <v>846</v>
      </c>
      <c r="C280" t="s">
        <v>1454</v>
      </c>
    </row>
    <row r="281" spans="1:3" x14ac:dyDescent="0.25">
      <c r="A281" t="s">
        <v>1455</v>
      </c>
      <c r="B281" t="s">
        <v>845</v>
      </c>
      <c r="C281" t="s">
        <v>1456</v>
      </c>
    </row>
    <row r="282" spans="1:3" x14ac:dyDescent="0.25">
      <c r="A282" t="s">
        <v>1457</v>
      </c>
      <c r="B282" t="s">
        <v>846</v>
      </c>
      <c r="C282" t="s">
        <v>1458</v>
      </c>
    </row>
    <row r="283" spans="1:3" x14ac:dyDescent="0.25">
      <c r="A283" t="s">
        <v>1459</v>
      </c>
      <c r="B283" t="s">
        <v>845</v>
      </c>
      <c r="C283" t="s">
        <v>1460</v>
      </c>
    </row>
    <row r="284" spans="1:3" x14ac:dyDescent="0.25">
      <c r="A284" t="s">
        <v>1461</v>
      </c>
      <c r="B284" t="s">
        <v>846</v>
      </c>
      <c r="C284" t="s">
        <v>1462</v>
      </c>
    </row>
    <row r="285" spans="1:3" x14ac:dyDescent="0.25">
      <c r="A285" t="s">
        <v>1463</v>
      </c>
      <c r="B285" t="s">
        <v>846</v>
      </c>
      <c r="C285" t="s">
        <v>1464</v>
      </c>
    </row>
    <row r="286" spans="1:3" x14ac:dyDescent="0.25">
      <c r="A286" t="s">
        <v>1465</v>
      </c>
      <c r="B286" t="s">
        <v>845</v>
      </c>
      <c r="C286" t="s">
        <v>1466</v>
      </c>
    </row>
    <row r="287" spans="1:3" x14ac:dyDescent="0.25">
      <c r="A287" t="s">
        <v>1467</v>
      </c>
      <c r="B287" t="s">
        <v>845</v>
      </c>
      <c r="C287" t="s">
        <v>1468</v>
      </c>
    </row>
    <row r="288" spans="1:3" x14ac:dyDescent="0.25">
      <c r="A288" t="s">
        <v>1469</v>
      </c>
      <c r="B288" t="s">
        <v>845</v>
      </c>
      <c r="C288" t="s">
        <v>1470</v>
      </c>
    </row>
    <row r="289" spans="1:3" x14ac:dyDescent="0.25">
      <c r="A289" t="s">
        <v>1471</v>
      </c>
      <c r="B289" t="s">
        <v>845</v>
      </c>
      <c r="C289" t="s">
        <v>1472</v>
      </c>
    </row>
    <row r="290" spans="1:3" x14ac:dyDescent="0.25">
      <c r="A290" t="s">
        <v>1473</v>
      </c>
      <c r="B290" t="s">
        <v>845</v>
      </c>
      <c r="C290" t="s">
        <v>1474</v>
      </c>
    </row>
    <row r="291" spans="1:3" x14ac:dyDescent="0.25">
      <c r="A291" t="s">
        <v>1475</v>
      </c>
      <c r="B291" t="s">
        <v>845</v>
      </c>
      <c r="C291" t="s">
        <v>1476</v>
      </c>
    </row>
    <row r="292" spans="1:3" x14ac:dyDescent="0.25">
      <c r="A292" t="s">
        <v>1477</v>
      </c>
      <c r="B292" t="s">
        <v>845</v>
      </c>
      <c r="C292" t="s">
        <v>1478</v>
      </c>
    </row>
    <row r="293" spans="1:3" x14ac:dyDescent="0.25">
      <c r="A293" t="s">
        <v>1479</v>
      </c>
      <c r="B293" t="s">
        <v>845</v>
      </c>
      <c r="C293" t="s">
        <v>1480</v>
      </c>
    </row>
    <row r="294" spans="1:3" x14ac:dyDescent="0.25">
      <c r="A294" t="s">
        <v>1481</v>
      </c>
      <c r="B294" t="s">
        <v>845</v>
      </c>
      <c r="C294" t="s">
        <v>1482</v>
      </c>
    </row>
    <row r="295" spans="1:3" x14ac:dyDescent="0.25">
      <c r="A295" t="s">
        <v>1483</v>
      </c>
      <c r="B295" t="s">
        <v>845</v>
      </c>
      <c r="C295" t="s">
        <v>1484</v>
      </c>
    </row>
    <row r="296" spans="1:3" x14ac:dyDescent="0.25">
      <c r="A296" t="s">
        <v>1485</v>
      </c>
      <c r="B296" t="s">
        <v>845</v>
      </c>
      <c r="C296" t="s">
        <v>1486</v>
      </c>
    </row>
    <row r="297" spans="1:3" x14ac:dyDescent="0.25">
      <c r="A297" t="s">
        <v>1487</v>
      </c>
      <c r="B297" t="s">
        <v>845</v>
      </c>
      <c r="C297" t="s">
        <v>1488</v>
      </c>
    </row>
    <row r="298" spans="1:3" x14ac:dyDescent="0.25">
      <c r="A298" t="s">
        <v>1489</v>
      </c>
      <c r="B298" t="s">
        <v>845</v>
      </c>
      <c r="C298" t="s">
        <v>1490</v>
      </c>
    </row>
    <row r="299" spans="1:3" x14ac:dyDescent="0.25">
      <c r="A299" t="s">
        <v>1491</v>
      </c>
      <c r="B299" t="s">
        <v>845</v>
      </c>
      <c r="C299" t="s">
        <v>1492</v>
      </c>
    </row>
    <row r="300" spans="1:3" x14ac:dyDescent="0.25">
      <c r="A300" t="s">
        <v>1493</v>
      </c>
      <c r="B300" t="s">
        <v>846</v>
      </c>
      <c r="C300" t="s">
        <v>1494</v>
      </c>
    </row>
    <row r="301" spans="1:3" x14ac:dyDescent="0.25">
      <c r="A301" t="s">
        <v>1495</v>
      </c>
      <c r="B301" t="s">
        <v>845</v>
      </c>
      <c r="C301" t="s">
        <v>1496</v>
      </c>
    </row>
    <row r="302" spans="1:3" x14ac:dyDescent="0.25">
      <c r="A302" t="s">
        <v>1497</v>
      </c>
      <c r="B302" t="s">
        <v>845</v>
      </c>
      <c r="C302" t="s">
        <v>1498</v>
      </c>
    </row>
    <row r="303" spans="1:3" x14ac:dyDescent="0.25">
      <c r="A303" t="s">
        <v>1499</v>
      </c>
      <c r="B303" t="s">
        <v>846</v>
      </c>
      <c r="C303" t="s">
        <v>1500</v>
      </c>
    </row>
    <row r="304" spans="1:3" x14ac:dyDescent="0.25">
      <c r="A304" t="s">
        <v>1501</v>
      </c>
      <c r="B304" t="s">
        <v>846</v>
      </c>
      <c r="C304" t="s">
        <v>1502</v>
      </c>
    </row>
    <row r="305" spans="1:3" x14ac:dyDescent="0.25">
      <c r="A305" t="s">
        <v>1503</v>
      </c>
      <c r="B305" t="s">
        <v>846</v>
      </c>
      <c r="C305" t="s">
        <v>1504</v>
      </c>
    </row>
    <row r="306" spans="1:3" x14ac:dyDescent="0.25">
      <c r="A306" t="s">
        <v>1505</v>
      </c>
      <c r="B306" t="s">
        <v>845</v>
      </c>
      <c r="C306" t="s">
        <v>1506</v>
      </c>
    </row>
    <row r="307" spans="1:3" x14ac:dyDescent="0.25">
      <c r="A307" t="s">
        <v>1507</v>
      </c>
      <c r="B307" t="s">
        <v>845</v>
      </c>
      <c r="C307" t="s">
        <v>1508</v>
      </c>
    </row>
    <row r="308" spans="1:3" x14ac:dyDescent="0.25">
      <c r="A308" t="s">
        <v>1509</v>
      </c>
      <c r="B308" t="s">
        <v>846</v>
      </c>
      <c r="C308" t="s">
        <v>1510</v>
      </c>
    </row>
    <row r="309" spans="1:3" x14ac:dyDescent="0.25">
      <c r="A309" t="s">
        <v>1511</v>
      </c>
      <c r="B309" t="s">
        <v>846</v>
      </c>
      <c r="C309" t="s">
        <v>1512</v>
      </c>
    </row>
    <row r="310" spans="1:3" x14ac:dyDescent="0.25">
      <c r="A310" t="s">
        <v>1511</v>
      </c>
      <c r="B310" t="s">
        <v>845</v>
      </c>
      <c r="C310" t="s">
        <v>1513</v>
      </c>
    </row>
    <row r="311" spans="1:3" x14ac:dyDescent="0.25">
      <c r="A311" t="s">
        <v>1514</v>
      </c>
      <c r="B311" t="s">
        <v>845</v>
      </c>
      <c r="C311" t="s">
        <v>1515</v>
      </c>
    </row>
    <row r="312" spans="1:3" x14ac:dyDescent="0.25">
      <c r="A312" t="s">
        <v>1516</v>
      </c>
      <c r="B312" t="s">
        <v>845</v>
      </c>
      <c r="C312" t="s">
        <v>1517</v>
      </c>
    </row>
    <row r="313" spans="1:3" x14ac:dyDescent="0.25">
      <c r="A313" t="s">
        <v>1518</v>
      </c>
      <c r="B313" t="s">
        <v>845</v>
      </c>
      <c r="C313" t="s">
        <v>1519</v>
      </c>
    </row>
    <row r="314" spans="1:3" x14ac:dyDescent="0.25">
      <c r="A314" t="s">
        <v>1520</v>
      </c>
      <c r="B314" t="s">
        <v>846</v>
      </c>
      <c r="C314" t="s">
        <v>1521</v>
      </c>
    </row>
    <row r="315" spans="1:3" x14ac:dyDescent="0.25">
      <c r="A315" t="s">
        <v>1522</v>
      </c>
      <c r="B315" t="s">
        <v>846</v>
      </c>
      <c r="C315" t="s">
        <v>1523</v>
      </c>
    </row>
    <row r="316" spans="1:3" x14ac:dyDescent="0.25">
      <c r="A316" t="s">
        <v>1524</v>
      </c>
      <c r="B316" t="s">
        <v>845</v>
      </c>
      <c r="C316" t="s">
        <v>1525</v>
      </c>
    </row>
    <row r="317" spans="1:3" x14ac:dyDescent="0.25">
      <c r="A317" t="s">
        <v>1526</v>
      </c>
      <c r="B317" t="s">
        <v>846</v>
      </c>
      <c r="C317" t="s">
        <v>1527</v>
      </c>
    </row>
    <row r="318" spans="1:3" x14ac:dyDescent="0.25">
      <c r="A318" t="s">
        <v>1528</v>
      </c>
      <c r="B318" t="s">
        <v>845</v>
      </c>
      <c r="C318" t="s">
        <v>1529</v>
      </c>
    </row>
    <row r="319" spans="1:3" x14ac:dyDescent="0.25">
      <c r="A319" t="s">
        <v>1530</v>
      </c>
      <c r="B319" t="s">
        <v>846</v>
      </c>
      <c r="C319" t="s">
        <v>1531</v>
      </c>
    </row>
    <row r="320" spans="1:3" x14ac:dyDescent="0.25">
      <c r="A320" t="s">
        <v>1532</v>
      </c>
      <c r="B320" t="s">
        <v>845</v>
      </c>
      <c r="C320" t="s">
        <v>1533</v>
      </c>
    </row>
    <row r="321" spans="1:3" x14ac:dyDescent="0.25">
      <c r="A321" t="s">
        <v>1534</v>
      </c>
      <c r="B321" t="s">
        <v>845</v>
      </c>
      <c r="C321" t="s">
        <v>1535</v>
      </c>
    </row>
    <row r="322" spans="1:3" x14ac:dyDescent="0.25">
      <c r="A322" t="s">
        <v>1536</v>
      </c>
      <c r="B322" t="s">
        <v>846</v>
      </c>
      <c r="C322" t="s">
        <v>1537</v>
      </c>
    </row>
    <row r="323" spans="1:3" x14ac:dyDescent="0.25">
      <c r="A323" t="s">
        <v>1538</v>
      </c>
      <c r="B323" t="s">
        <v>845</v>
      </c>
      <c r="C323" t="s">
        <v>1539</v>
      </c>
    </row>
    <row r="324" spans="1:3" x14ac:dyDescent="0.25">
      <c r="A324" t="s">
        <v>1540</v>
      </c>
      <c r="B324" t="s">
        <v>845</v>
      </c>
      <c r="C324" t="s">
        <v>1541</v>
      </c>
    </row>
    <row r="325" spans="1:3" x14ac:dyDescent="0.25">
      <c r="A325" t="s">
        <v>1542</v>
      </c>
      <c r="B325" t="s">
        <v>845</v>
      </c>
      <c r="C325" t="s">
        <v>1543</v>
      </c>
    </row>
    <row r="326" spans="1:3" x14ac:dyDescent="0.25">
      <c r="A326" t="s">
        <v>1544</v>
      </c>
      <c r="B326" t="s">
        <v>845</v>
      </c>
      <c r="C326" t="s">
        <v>1545</v>
      </c>
    </row>
    <row r="327" spans="1:3" x14ac:dyDescent="0.25">
      <c r="A327" t="s">
        <v>1546</v>
      </c>
      <c r="B327" t="s">
        <v>845</v>
      </c>
      <c r="C327" t="s">
        <v>1547</v>
      </c>
    </row>
    <row r="328" spans="1:3" x14ac:dyDescent="0.25">
      <c r="A328" t="s">
        <v>1548</v>
      </c>
      <c r="B328" t="s">
        <v>845</v>
      </c>
      <c r="C328" t="s">
        <v>1549</v>
      </c>
    </row>
    <row r="329" spans="1:3" x14ac:dyDescent="0.25">
      <c r="A329" t="s">
        <v>1550</v>
      </c>
      <c r="B329" t="s">
        <v>845</v>
      </c>
      <c r="C329" t="s">
        <v>1551</v>
      </c>
    </row>
    <row r="330" spans="1:3" x14ac:dyDescent="0.25">
      <c r="A330" t="s">
        <v>1552</v>
      </c>
      <c r="B330" t="s">
        <v>845</v>
      </c>
      <c r="C330" t="s">
        <v>1553</v>
      </c>
    </row>
    <row r="331" spans="1:3" x14ac:dyDescent="0.25">
      <c r="A331" t="s">
        <v>1554</v>
      </c>
      <c r="B331" t="s">
        <v>845</v>
      </c>
      <c r="C331" t="s">
        <v>1555</v>
      </c>
    </row>
    <row r="332" spans="1:3" x14ac:dyDescent="0.25">
      <c r="A332" t="s">
        <v>1556</v>
      </c>
      <c r="B332" t="s">
        <v>845</v>
      </c>
      <c r="C332" t="s">
        <v>1557</v>
      </c>
    </row>
    <row r="333" spans="1:3" x14ac:dyDescent="0.25">
      <c r="A333" t="s">
        <v>1558</v>
      </c>
      <c r="B333" t="s">
        <v>846</v>
      </c>
      <c r="C333" t="s">
        <v>1559</v>
      </c>
    </row>
    <row r="334" spans="1:3" x14ac:dyDescent="0.25">
      <c r="A334" t="s">
        <v>1560</v>
      </c>
      <c r="B334" t="s">
        <v>846</v>
      </c>
      <c r="C334" t="s">
        <v>1561</v>
      </c>
    </row>
    <row r="335" spans="1:3" x14ac:dyDescent="0.25">
      <c r="A335" t="s">
        <v>1562</v>
      </c>
      <c r="B335" t="s">
        <v>846</v>
      </c>
      <c r="C335" t="s">
        <v>1563</v>
      </c>
    </row>
    <row r="336" spans="1:3" x14ac:dyDescent="0.25">
      <c r="A336" t="s">
        <v>1564</v>
      </c>
      <c r="B336" t="s">
        <v>845</v>
      </c>
      <c r="C336" t="s">
        <v>1565</v>
      </c>
    </row>
    <row r="337" spans="1:3" x14ac:dyDescent="0.25">
      <c r="A337" t="s">
        <v>1566</v>
      </c>
      <c r="B337" t="s">
        <v>845</v>
      </c>
      <c r="C337" t="s">
        <v>1567</v>
      </c>
    </row>
    <row r="338" spans="1:3" x14ac:dyDescent="0.25">
      <c r="A338" t="s">
        <v>1568</v>
      </c>
      <c r="B338" t="s">
        <v>845</v>
      </c>
      <c r="C338" t="s">
        <v>1569</v>
      </c>
    </row>
    <row r="339" spans="1:3" x14ac:dyDescent="0.25">
      <c r="A339" t="s">
        <v>1570</v>
      </c>
      <c r="B339" t="s">
        <v>845</v>
      </c>
      <c r="C339" t="s">
        <v>1571</v>
      </c>
    </row>
    <row r="340" spans="1:3" x14ac:dyDescent="0.25">
      <c r="A340" t="s">
        <v>1572</v>
      </c>
      <c r="B340" t="s">
        <v>845</v>
      </c>
      <c r="C340" t="s">
        <v>1573</v>
      </c>
    </row>
    <row r="341" spans="1:3" x14ac:dyDescent="0.25">
      <c r="A341" t="s">
        <v>1574</v>
      </c>
      <c r="B341" t="s">
        <v>845</v>
      </c>
      <c r="C341" t="s">
        <v>1575</v>
      </c>
    </row>
    <row r="342" spans="1:3" x14ac:dyDescent="0.25">
      <c r="A342" t="s">
        <v>1576</v>
      </c>
      <c r="B342" t="s">
        <v>845</v>
      </c>
      <c r="C342" t="s">
        <v>1577</v>
      </c>
    </row>
    <row r="343" spans="1:3" x14ac:dyDescent="0.25">
      <c r="A343" t="s">
        <v>1578</v>
      </c>
      <c r="B343" t="s">
        <v>845</v>
      </c>
      <c r="C343" t="s">
        <v>1579</v>
      </c>
    </row>
    <row r="344" spans="1:3" x14ac:dyDescent="0.25">
      <c r="A344" t="s">
        <v>1580</v>
      </c>
      <c r="B344" t="s">
        <v>845</v>
      </c>
      <c r="C344" t="s">
        <v>1581</v>
      </c>
    </row>
    <row r="345" spans="1:3" x14ac:dyDescent="0.25">
      <c r="A345" t="s">
        <v>1582</v>
      </c>
      <c r="B345" t="s">
        <v>845</v>
      </c>
      <c r="C345" t="s">
        <v>1583</v>
      </c>
    </row>
    <row r="346" spans="1:3" x14ac:dyDescent="0.25">
      <c r="A346" t="s">
        <v>1584</v>
      </c>
      <c r="B346" t="s">
        <v>845</v>
      </c>
      <c r="C346" t="s">
        <v>1585</v>
      </c>
    </row>
    <row r="347" spans="1:3" x14ac:dyDescent="0.25">
      <c r="A347" t="s">
        <v>1586</v>
      </c>
      <c r="B347" t="s">
        <v>845</v>
      </c>
      <c r="C347" t="s">
        <v>1587</v>
      </c>
    </row>
    <row r="348" spans="1:3" x14ac:dyDescent="0.25">
      <c r="A348" t="s">
        <v>1588</v>
      </c>
      <c r="B348" t="s">
        <v>845</v>
      </c>
      <c r="C348" t="s">
        <v>1589</v>
      </c>
    </row>
    <row r="349" spans="1:3" x14ac:dyDescent="0.25">
      <c r="A349" t="s">
        <v>1590</v>
      </c>
      <c r="B349" t="s">
        <v>845</v>
      </c>
      <c r="C349" t="s">
        <v>1591</v>
      </c>
    </row>
    <row r="350" spans="1:3" x14ac:dyDescent="0.25">
      <c r="A350" t="s">
        <v>1592</v>
      </c>
      <c r="B350" t="s">
        <v>845</v>
      </c>
      <c r="C350" t="s">
        <v>1593</v>
      </c>
    </row>
    <row r="351" spans="1:3" x14ac:dyDescent="0.25">
      <c r="A351" t="s">
        <v>1594</v>
      </c>
      <c r="B351" t="s">
        <v>845</v>
      </c>
      <c r="C351" t="s">
        <v>1595</v>
      </c>
    </row>
    <row r="352" spans="1:3" x14ac:dyDescent="0.25">
      <c r="A352" t="s">
        <v>1596</v>
      </c>
      <c r="B352" t="s">
        <v>845</v>
      </c>
      <c r="C352" t="s">
        <v>1597</v>
      </c>
    </row>
    <row r="353" spans="1:3" x14ac:dyDescent="0.25">
      <c r="A353" t="s">
        <v>1598</v>
      </c>
      <c r="B353" t="s">
        <v>846</v>
      </c>
      <c r="C353" t="s">
        <v>1599</v>
      </c>
    </row>
    <row r="354" spans="1:3" x14ac:dyDescent="0.25">
      <c r="A354" t="s">
        <v>1600</v>
      </c>
      <c r="B354" t="s">
        <v>846</v>
      </c>
      <c r="C354" t="s">
        <v>1601</v>
      </c>
    </row>
    <row r="355" spans="1:3" x14ac:dyDescent="0.25">
      <c r="A355" t="s">
        <v>1602</v>
      </c>
      <c r="B355" t="s">
        <v>845</v>
      </c>
      <c r="C355" t="s">
        <v>1603</v>
      </c>
    </row>
    <row r="356" spans="1:3" x14ac:dyDescent="0.25">
      <c r="A356" t="s">
        <v>1604</v>
      </c>
      <c r="B356" t="s">
        <v>845</v>
      </c>
      <c r="C356" t="s">
        <v>1605</v>
      </c>
    </row>
    <row r="357" spans="1:3" x14ac:dyDescent="0.25">
      <c r="A357" t="s">
        <v>1606</v>
      </c>
      <c r="B357" t="s">
        <v>845</v>
      </c>
      <c r="C357" t="s">
        <v>1607</v>
      </c>
    </row>
    <row r="358" spans="1:3" x14ac:dyDescent="0.25">
      <c r="A358" t="s">
        <v>1608</v>
      </c>
      <c r="B358" t="s">
        <v>845</v>
      </c>
      <c r="C358" t="s">
        <v>1609</v>
      </c>
    </row>
    <row r="359" spans="1:3" x14ac:dyDescent="0.25">
      <c r="A359" t="s">
        <v>1610</v>
      </c>
      <c r="B359" t="s">
        <v>846</v>
      </c>
      <c r="C359" t="s">
        <v>1611</v>
      </c>
    </row>
    <row r="360" spans="1:3" x14ac:dyDescent="0.25">
      <c r="A360" t="s">
        <v>1612</v>
      </c>
      <c r="B360" t="s">
        <v>845</v>
      </c>
      <c r="C360" t="s">
        <v>1613</v>
      </c>
    </row>
    <row r="361" spans="1:3" x14ac:dyDescent="0.25">
      <c r="A361" t="s">
        <v>1614</v>
      </c>
      <c r="B361" t="s">
        <v>845</v>
      </c>
      <c r="C361" t="s">
        <v>1615</v>
      </c>
    </row>
    <row r="362" spans="1:3" x14ac:dyDescent="0.25">
      <c r="A362" t="s">
        <v>1616</v>
      </c>
      <c r="B362" t="s">
        <v>845</v>
      </c>
      <c r="C362" t="s">
        <v>1617</v>
      </c>
    </row>
    <row r="363" spans="1:3" x14ac:dyDescent="0.25">
      <c r="A363" t="s">
        <v>1618</v>
      </c>
      <c r="B363" t="s">
        <v>846</v>
      </c>
      <c r="C363" t="s">
        <v>1619</v>
      </c>
    </row>
    <row r="364" spans="1:3" x14ac:dyDescent="0.25">
      <c r="A364" t="s">
        <v>1620</v>
      </c>
      <c r="B364" t="s">
        <v>845</v>
      </c>
      <c r="C364" t="s">
        <v>1621</v>
      </c>
    </row>
    <row r="365" spans="1:3" x14ac:dyDescent="0.25">
      <c r="A365" t="s">
        <v>1622</v>
      </c>
      <c r="B365" t="s">
        <v>846</v>
      </c>
      <c r="C365" t="s">
        <v>1623</v>
      </c>
    </row>
    <row r="366" spans="1:3" x14ac:dyDescent="0.25">
      <c r="A366" t="s">
        <v>1624</v>
      </c>
      <c r="B366" t="s">
        <v>846</v>
      </c>
      <c r="C366" t="s">
        <v>1625</v>
      </c>
    </row>
    <row r="367" spans="1:3" x14ac:dyDescent="0.25">
      <c r="A367" t="s">
        <v>1626</v>
      </c>
      <c r="B367" t="s">
        <v>846</v>
      </c>
      <c r="C367" t="s">
        <v>1627</v>
      </c>
    </row>
    <row r="368" spans="1:3" x14ac:dyDescent="0.25">
      <c r="A368" t="s">
        <v>1628</v>
      </c>
      <c r="B368" t="s">
        <v>846</v>
      </c>
      <c r="C368" t="s">
        <v>1629</v>
      </c>
    </row>
    <row r="369" spans="1:3" x14ac:dyDescent="0.25">
      <c r="A369" t="s">
        <v>1630</v>
      </c>
      <c r="B369" t="s">
        <v>846</v>
      </c>
      <c r="C369" t="s">
        <v>1631</v>
      </c>
    </row>
    <row r="370" spans="1:3" x14ac:dyDescent="0.25">
      <c r="A370" t="s">
        <v>1632</v>
      </c>
      <c r="B370" t="s">
        <v>845</v>
      </c>
      <c r="C370" t="s">
        <v>1633</v>
      </c>
    </row>
    <row r="371" spans="1:3" x14ac:dyDescent="0.25">
      <c r="A371" t="s">
        <v>1634</v>
      </c>
      <c r="B371" t="s">
        <v>845</v>
      </c>
      <c r="C371" t="s">
        <v>1635</v>
      </c>
    </row>
    <row r="372" spans="1:3" x14ac:dyDescent="0.25">
      <c r="A372" t="s">
        <v>1636</v>
      </c>
      <c r="B372" t="s">
        <v>845</v>
      </c>
      <c r="C372" t="s">
        <v>1637</v>
      </c>
    </row>
    <row r="373" spans="1:3" x14ac:dyDescent="0.25">
      <c r="A373" t="s">
        <v>1638</v>
      </c>
      <c r="B373" t="s">
        <v>845</v>
      </c>
      <c r="C373" t="s">
        <v>1639</v>
      </c>
    </row>
    <row r="374" spans="1:3" x14ac:dyDescent="0.25">
      <c r="A374" t="s">
        <v>1640</v>
      </c>
      <c r="B374" t="s">
        <v>845</v>
      </c>
      <c r="C374" t="s">
        <v>1641</v>
      </c>
    </row>
    <row r="375" spans="1:3" x14ac:dyDescent="0.25">
      <c r="A375" t="s">
        <v>1642</v>
      </c>
      <c r="B375" t="s">
        <v>846</v>
      </c>
      <c r="C375" t="s">
        <v>1643</v>
      </c>
    </row>
    <row r="376" spans="1:3" x14ac:dyDescent="0.25">
      <c r="A376" t="s">
        <v>1644</v>
      </c>
      <c r="B376" t="s">
        <v>846</v>
      </c>
      <c r="C376" t="s">
        <v>1645</v>
      </c>
    </row>
    <row r="377" spans="1:3" x14ac:dyDescent="0.25">
      <c r="A377" t="s">
        <v>1646</v>
      </c>
      <c r="B377" t="s">
        <v>846</v>
      </c>
      <c r="C377" t="s">
        <v>1647</v>
      </c>
    </row>
    <row r="378" spans="1:3" x14ac:dyDescent="0.25">
      <c r="A378" t="s">
        <v>1648</v>
      </c>
      <c r="B378" t="s">
        <v>846</v>
      </c>
      <c r="C378" t="s">
        <v>1649</v>
      </c>
    </row>
    <row r="379" spans="1:3" x14ac:dyDescent="0.25">
      <c r="A379" t="s">
        <v>1650</v>
      </c>
      <c r="B379" t="s">
        <v>846</v>
      </c>
      <c r="C379" t="s">
        <v>1651</v>
      </c>
    </row>
    <row r="380" spans="1:3" x14ac:dyDescent="0.25">
      <c r="A380" t="s">
        <v>1652</v>
      </c>
      <c r="B380" t="s">
        <v>845</v>
      </c>
      <c r="C380" t="s">
        <v>1653</v>
      </c>
    </row>
    <row r="381" spans="1:3" x14ac:dyDescent="0.25">
      <c r="A381" t="s">
        <v>1654</v>
      </c>
      <c r="B381" t="s">
        <v>845</v>
      </c>
      <c r="C381" t="s">
        <v>1655</v>
      </c>
    </row>
    <row r="382" spans="1:3" x14ac:dyDescent="0.25">
      <c r="A382" t="s">
        <v>1656</v>
      </c>
      <c r="B382" t="s">
        <v>845</v>
      </c>
      <c r="C382" t="s">
        <v>1657</v>
      </c>
    </row>
    <row r="383" spans="1:3" x14ac:dyDescent="0.25">
      <c r="A383" t="s">
        <v>1658</v>
      </c>
      <c r="B383" t="s">
        <v>845</v>
      </c>
      <c r="C383" t="s">
        <v>1659</v>
      </c>
    </row>
    <row r="384" spans="1:3" x14ac:dyDescent="0.25">
      <c r="A384" t="s">
        <v>1660</v>
      </c>
      <c r="B384" t="s">
        <v>845</v>
      </c>
      <c r="C384" t="s">
        <v>1661</v>
      </c>
    </row>
    <row r="385" spans="1:3" x14ac:dyDescent="0.25">
      <c r="A385" t="s">
        <v>1662</v>
      </c>
      <c r="B385" t="s">
        <v>845</v>
      </c>
      <c r="C385" t="s">
        <v>1663</v>
      </c>
    </row>
    <row r="386" spans="1:3" x14ac:dyDescent="0.25">
      <c r="A386" t="s">
        <v>1664</v>
      </c>
      <c r="B386" t="s">
        <v>846</v>
      </c>
      <c r="C386" t="s">
        <v>1665</v>
      </c>
    </row>
    <row r="387" spans="1:3" x14ac:dyDescent="0.25">
      <c r="A387" t="s">
        <v>1666</v>
      </c>
      <c r="B387" t="s">
        <v>846</v>
      </c>
      <c r="C387" t="s">
        <v>1667</v>
      </c>
    </row>
    <row r="388" spans="1:3" x14ac:dyDescent="0.25">
      <c r="A388" t="s">
        <v>1668</v>
      </c>
      <c r="B388" t="s">
        <v>846</v>
      </c>
      <c r="C388" t="s">
        <v>1669</v>
      </c>
    </row>
    <row r="389" spans="1:3" x14ac:dyDescent="0.25">
      <c r="A389" t="s">
        <v>1670</v>
      </c>
      <c r="B389" t="s">
        <v>846</v>
      </c>
      <c r="C389" t="s">
        <v>1671</v>
      </c>
    </row>
    <row r="390" spans="1:3" x14ac:dyDescent="0.25">
      <c r="A390" t="s">
        <v>1672</v>
      </c>
      <c r="B390" t="s">
        <v>845</v>
      </c>
      <c r="C390" t="s">
        <v>1673</v>
      </c>
    </row>
    <row r="391" spans="1:3" x14ac:dyDescent="0.25">
      <c r="A391" t="s">
        <v>1674</v>
      </c>
      <c r="B391" t="s">
        <v>845</v>
      </c>
      <c r="C391" t="s">
        <v>1675</v>
      </c>
    </row>
    <row r="392" spans="1:3" x14ac:dyDescent="0.25">
      <c r="A392" t="s">
        <v>1676</v>
      </c>
      <c r="B392" t="s">
        <v>845</v>
      </c>
      <c r="C392" t="s">
        <v>1677</v>
      </c>
    </row>
    <row r="393" spans="1:3" x14ac:dyDescent="0.25">
      <c r="A393" t="s">
        <v>1678</v>
      </c>
      <c r="B393" t="s">
        <v>845</v>
      </c>
      <c r="C393" t="s">
        <v>1679</v>
      </c>
    </row>
    <row r="394" spans="1:3" x14ac:dyDescent="0.25">
      <c r="A394" t="s">
        <v>1680</v>
      </c>
      <c r="B394" t="s">
        <v>845</v>
      </c>
      <c r="C394" t="s">
        <v>1681</v>
      </c>
    </row>
    <row r="395" spans="1:3" x14ac:dyDescent="0.25">
      <c r="A395" t="s">
        <v>1682</v>
      </c>
      <c r="B395" t="s">
        <v>845</v>
      </c>
      <c r="C395" t="s">
        <v>1683</v>
      </c>
    </row>
    <row r="396" spans="1:3" x14ac:dyDescent="0.25">
      <c r="A396" t="s">
        <v>1684</v>
      </c>
      <c r="B396" t="s">
        <v>846</v>
      </c>
      <c r="C396" t="s">
        <v>1685</v>
      </c>
    </row>
    <row r="397" spans="1:3" x14ac:dyDescent="0.25">
      <c r="A397" t="s">
        <v>1686</v>
      </c>
      <c r="B397" t="s">
        <v>845</v>
      </c>
      <c r="C397" t="s">
        <v>1687</v>
      </c>
    </row>
    <row r="398" spans="1:3" x14ac:dyDescent="0.25">
      <c r="A398" t="s">
        <v>1688</v>
      </c>
      <c r="B398" t="s">
        <v>845</v>
      </c>
      <c r="C398" t="s">
        <v>1689</v>
      </c>
    </row>
    <row r="399" spans="1:3" x14ac:dyDescent="0.25">
      <c r="A399" t="s">
        <v>1690</v>
      </c>
      <c r="B399" t="s">
        <v>846</v>
      </c>
      <c r="C399" t="s">
        <v>1691</v>
      </c>
    </row>
    <row r="400" spans="1:3" x14ac:dyDescent="0.25">
      <c r="A400" t="s">
        <v>1692</v>
      </c>
      <c r="B400" t="s">
        <v>845</v>
      </c>
      <c r="C400" t="s">
        <v>1693</v>
      </c>
    </row>
    <row r="401" spans="1:3" x14ac:dyDescent="0.25">
      <c r="A401" t="s">
        <v>1694</v>
      </c>
      <c r="B401" t="s">
        <v>845</v>
      </c>
      <c r="C401" t="s">
        <v>1695</v>
      </c>
    </row>
    <row r="402" spans="1:3" x14ac:dyDescent="0.25">
      <c r="A402" t="s">
        <v>1696</v>
      </c>
      <c r="B402" t="s">
        <v>845</v>
      </c>
      <c r="C402" t="s">
        <v>1697</v>
      </c>
    </row>
    <row r="403" spans="1:3" x14ac:dyDescent="0.25">
      <c r="A403" t="s">
        <v>1698</v>
      </c>
      <c r="B403" t="s">
        <v>845</v>
      </c>
      <c r="C403" t="s">
        <v>1699</v>
      </c>
    </row>
    <row r="404" spans="1:3" x14ac:dyDescent="0.25">
      <c r="A404" t="s">
        <v>1700</v>
      </c>
      <c r="B404" t="s">
        <v>845</v>
      </c>
      <c r="C404" t="s">
        <v>1701</v>
      </c>
    </row>
    <row r="405" spans="1:3" x14ac:dyDescent="0.25">
      <c r="A405" t="s">
        <v>1702</v>
      </c>
      <c r="B405" t="s">
        <v>846</v>
      </c>
      <c r="C405" t="s">
        <v>1703</v>
      </c>
    </row>
    <row r="406" spans="1:3" x14ac:dyDescent="0.25">
      <c r="A406" t="s">
        <v>1704</v>
      </c>
      <c r="B406" t="s">
        <v>845</v>
      </c>
      <c r="C406" t="s">
        <v>1705</v>
      </c>
    </row>
    <row r="407" spans="1:3" x14ac:dyDescent="0.25">
      <c r="A407" t="s">
        <v>1706</v>
      </c>
      <c r="B407" t="s">
        <v>846</v>
      </c>
      <c r="C407" t="s">
        <v>1707</v>
      </c>
    </row>
    <row r="408" spans="1:3" x14ac:dyDescent="0.25">
      <c r="A408" t="s">
        <v>1708</v>
      </c>
      <c r="B408" t="s">
        <v>845</v>
      </c>
      <c r="C408" t="s">
        <v>1709</v>
      </c>
    </row>
    <row r="409" spans="1:3" x14ac:dyDescent="0.25">
      <c r="A409" t="s">
        <v>1710</v>
      </c>
      <c r="B409" t="s">
        <v>845</v>
      </c>
      <c r="C409" t="s">
        <v>1711</v>
      </c>
    </row>
    <row r="410" spans="1:3" x14ac:dyDescent="0.25">
      <c r="A410" t="s">
        <v>1712</v>
      </c>
      <c r="B410" t="s">
        <v>845</v>
      </c>
      <c r="C410" t="s">
        <v>1713</v>
      </c>
    </row>
    <row r="411" spans="1:3" x14ac:dyDescent="0.25">
      <c r="A411" t="s">
        <v>1714</v>
      </c>
      <c r="B411" t="s">
        <v>845</v>
      </c>
      <c r="C411" t="s">
        <v>1715</v>
      </c>
    </row>
    <row r="412" spans="1:3" x14ac:dyDescent="0.25">
      <c r="A412" t="s">
        <v>1716</v>
      </c>
      <c r="B412" t="s">
        <v>845</v>
      </c>
      <c r="C412" t="s">
        <v>1717</v>
      </c>
    </row>
    <row r="413" spans="1:3" x14ac:dyDescent="0.25">
      <c r="A413" t="s">
        <v>1718</v>
      </c>
      <c r="B413" t="s">
        <v>846</v>
      </c>
      <c r="C413" t="s">
        <v>1719</v>
      </c>
    </row>
    <row r="414" spans="1:3" x14ac:dyDescent="0.25">
      <c r="A414" t="s">
        <v>1720</v>
      </c>
      <c r="B414" t="s">
        <v>845</v>
      </c>
      <c r="C414" t="s">
        <v>1721</v>
      </c>
    </row>
    <row r="415" spans="1:3" x14ac:dyDescent="0.25">
      <c r="A415" t="s">
        <v>1722</v>
      </c>
      <c r="B415" t="s">
        <v>846</v>
      </c>
      <c r="C415" t="s">
        <v>1723</v>
      </c>
    </row>
    <row r="416" spans="1:3" x14ac:dyDescent="0.25">
      <c r="A416" t="s">
        <v>1724</v>
      </c>
      <c r="B416" t="s">
        <v>846</v>
      </c>
      <c r="C416" t="s">
        <v>1725</v>
      </c>
    </row>
    <row r="417" spans="1:3" x14ac:dyDescent="0.25">
      <c r="A417" t="s">
        <v>1726</v>
      </c>
      <c r="B417" t="s">
        <v>846</v>
      </c>
      <c r="C417" t="s">
        <v>1727</v>
      </c>
    </row>
    <row r="418" spans="1:3" x14ac:dyDescent="0.25">
      <c r="A418" t="s">
        <v>1728</v>
      </c>
      <c r="B418" t="s">
        <v>845</v>
      </c>
      <c r="C418" t="s">
        <v>1729</v>
      </c>
    </row>
    <row r="419" spans="1:3" x14ac:dyDescent="0.25">
      <c r="A419" t="s">
        <v>1730</v>
      </c>
      <c r="B419" t="s">
        <v>846</v>
      </c>
      <c r="C419" t="s">
        <v>1731</v>
      </c>
    </row>
    <row r="420" spans="1:3" x14ac:dyDescent="0.25">
      <c r="A420" t="s">
        <v>1732</v>
      </c>
      <c r="B420" t="s">
        <v>845</v>
      </c>
      <c r="C420" t="s">
        <v>1733</v>
      </c>
    </row>
    <row r="421" spans="1:3" x14ac:dyDescent="0.25">
      <c r="A421" t="s">
        <v>1734</v>
      </c>
      <c r="B421" t="s">
        <v>846</v>
      </c>
      <c r="C421" t="s">
        <v>1735</v>
      </c>
    </row>
    <row r="422" spans="1:3" x14ac:dyDescent="0.25">
      <c r="A422" t="s">
        <v>1736</v>
      </c>
      <c r="B422" t="s">
        <v>845</v>
      </c>
      <c r="C422" t="s">
        <v>1737</v>
      </c>
    </row>
    <row r="423" spans="1:3" x14ac:dyDescent="0.25">
      <c r="A423" t="s">
        <v>1738</v>
      </c>
      <c r="B423" t="s">
        <v>845</v>
      </c>
      <c r="C423" t="s">
        <v>1739</v>
      </c>
    </row>
    <row r="424" spans="1:3" x14ac:dyDescent="0.25">
      <c r="A424" t="s">
        <v>1740</v>
      </c>
      <c r="B424" t="s">
        <v>845</v>
      </c>
      <c r="C424" t="s">
        <v>1741</v>
      </c>
    </row>
    <row r="425" spans="1:3" x14ac:dyDescent="0.25">
      <c r="A425" t="s">
        <v>1742</v>
      </c>
      <c r="B425" t="s">
        <v>845</v>
      </c>
      <c r="C425" t="s">
        <v>1743</v>
      </c>
    </row>
    <row r="426" spans="1:3" x14ac:dyDescent="0.25">
      <c r="A426" t="s">
        <v>1744</v>
      </c>
      <c r="B426" t="s">
        <v>845</v>
      </c>
      <c r="C426" t="s">
        <v>1745</v>
      </c>
    </row>
    <row r="427" spans="1:3" x14ac:dyDescent="0.25">
      <c r="A427" t="s">
        <v>1746</v>
      </c>
      <c r="B427" t="s">
        <v>845</v>
      </c>
      <c r="C427" t="s">
        <v>1747</v>
      </c>
    </row>
    <row r="428" spans="1:3" x14ac:dyDescent="0.25">
      <c r="A428" t="s">
        <v>1748</v>
      </c>
      <c r="B428" t="s">
        <v>846</v>
      </c>
      <c r="C428" t="s">
        <v>1749</v>
      </c>
    </row>
    <row r="429" spans="1:3" x14ac:dyDescent="0.25">
      <c r="A429" t="s">
        <v>1750</v>
      </c>
      <c r="B429" t="s">
        <v>845</v>
      </c>
      <c r="C429" t="s">
        <v>1751</v>
      </c>
    </row>
    <row r="430" spans="1:3" x14ac:dyDescent="0.25">
      <c r="A430" t="s">
        <v>1752</v>
      </c>
      <c r="B430" t="s">
        <v>845</v>
      </c>
      <c r="C430" t="s">
        <v>1753</v>
      </c>
    </row>
    <row r="431" spans="1:3" x14ac:dyDescent="0.25">
      <c r="A431" t="s">
        <v>1754</v>
      </c>
      <c r="B431" t="s">
        <v>845</v>
      </c>
      <c r="C431" t="s">
        <v>1755</v>
      </c>
    </row>
    <row r="432" spans="1:3" x14ac:dyDescent="0.25">
      <c r="A432" t="s">
        <v>1756</v>
      </c>
      <c r="B432" t="s">
        <v>845</v>
      </c>
      <c r="C432" t="s">
        <v>1757</v>
      </c>
    </row>
    <row r="433" spans="1:3" x14ac:dyDescent="0.25">
      <c r="A433" t="s">
        <v>1758</v>
      </c>
      <c r="B433" t="s">
        <v>845</v>
      </c>
      <c r="C433" t="s">
        <v>1759</v>
      </c>
    </row>
    <row r="434" spans="1:3" x14ac:dyDescent="0.25">
      <c r="A434" t="s">
        <v>1760</v>
      </c>
      <c r="B434" t="s">
        <v>846</v>
      </c>
      <c r="C434" t="s">
        <v>1761</v>
      </c>
    </row>
    <row r="435" spans="1:3" x14ac:dyDescent="0.25">
      <c r="A435" t="s">
        <v>1762</v>
      </c>
      <c r="B435" t="s">
        <v>845</v>
      </c>
      <c r="C435" t="s">
        <v>1763</v>
      </c>
    </row>
    <row r="436" spans="1:3" x14ac:dyDescent="0.25">
      <c r="A436" t="s">
        <v>1764</v>
      </c>
      <c r="B436" t="s">
        <v>845</v>
      </c>
      <c r="C436" t="s">
        <v>1765</v>
      </c>
    </row>
    <row r="437" spans="1:3" x14ac:dyDescent="0.25">
      <c r="A437" t="s">
        <v>1766</v>
      </c>
      <c r="B437" t="s">
        <v>845</v>
      </c>
      <c r="C437" t="s">
        <v>1767</v>
      </c>
    </row>
    <row r="438" spans="1:3" x14ac:dyDescent="0.25">
      <c r="A438" t="s">
        <v>1768</v>
      </c>
      <c r="B438" t="s">
        <v>846</v>
      </c>
      <c r="C438" t="s">
        <v>1769</v>
      </c>
    </row>
    <row r="439" spans="1:3" x14ac:dyDescent="0.25">
      <c r="A439" t="s">
        <v>1770</v>
      </c>
      <c r="B439" t="s">
        <v>845</v>
      </c>
      <c r="C439" t="s">
        <v>1771</v>
      </c>
    </row>
    <row r="440" spans="1:3" x14ac:dyDescent="0.25">
      <c r="A440" t="s">
        <v>1772</v>
      </c>
      <c r="B440" t="s">
        <v>845</v>
      </c>
      <c r="C440" t="s">
        <v>1773</v>
      </c>
    </row>
    <row r="441" spans="1:3" x14ac:dyDescent="0.25">
      <c r="A441" t="s">
        <v>1774</v>
      </c>
      <c r="B441" t="s">
        <v>846</v>
      </c>
      <c r="C441" t="s">
        <v>1775</v>
      </c>
    </row>
    <row r="442" spans="1:3" x14ac:dyDescent="0.25">
      <c r="A442" t="s">
        <v>1776</v>
      </c>
      <c r="B442" t="s">
        <v>845</v>
      </c>
      <c r="C442" t="s">
        <v>1777</v>
      </c>
    </row>
    <row r="443" spans="1:3" x14ac:dyDescent="0.25">
      <c r="A443" t="s">
        <v>1778</v>
      </c>
      <c r="B443" t="s">
        <v>845</v>
      </c>
      <c r="C443" t="s">
        <v>1779</v>
      </c>
    </row>
    <row r="444" spans="1:3" x14ac:dyDescent="0.25">
      <c r="A444" t="s">
        <v>1780</v>
      </c>
      <c r="B444" t="s">
        <v>846</v>
      </c>
      <c r="C444" t="s">
        <v>1781</v>
      </c>
    </row>
    <row r="445" spans="1:3" x14ac:dyDescent="0.25">
      <c r="A445" t="s">
        <v>1782</v>
      </c>
      <c r="B445" t="s">
        <v>845</v>
      </c>
      <c r="C445" t="s">
        <v>1783</v>
      </c>
    </row>
    <row r="446" spans="1:3" x14ac:dyDescent="0.25">
      <c r="A446" t="s">
        <v>1784</v>
      </c>
      <c r="B446" t="s">
        <v>846</v>
      </c>
      <c r="C446" t="s">
        <v>1785</v>
      </c>
    </row>
    <row r="447" spans="1:3" x14ac:dyDescent="0.25">
      <c r="A447" t="s">
        <v>1786</v>
      </c>
      <c r="B447" t="s">
        <v>846</v>
      </c>
      <c r="C447" t="s">
        <v>1787</v>
      </c>
    </row>
    <row r="448" spans="1:3" x14ac:dyDescent="0.25">
      <c r="A448" t="s">
        <v>1788</v>
      </c>
      <c r="B448" t="s">
        <v>846</v>
      </c>
      <c r="C448" t="s">
        <v>1789</v>
      </c>
    </row>
    <row r="449" spans="1:3" x14ac:dyDescent="0.25">
      <c r="A449" t="s">
        <v>1790</v>
      </c>
      <c r="B449" t="s">
        <v>845</v>
      </c>
      <c r="C449" t="s">
        <v>1791</v>
      </c>
    </row>
    <row r="450" spans="1:3" x14ac:dyDescent="0.25">
      <c r="A450" t="s">
        <v>1792</v>
      </c>
      <c r="B450" t="s">
        <v>846</v>
      </c>
      <c r="C450" t="s">
        <v>1793</v>
      </c>
    </row>
    <row r="451" spans="1:3" x14ac:dyDescent="0.25">
      <c r="A451" t="s">
        <v>1794</v>
      </c>
      <c r="B451" t="s">
        <v>846</v>
      </c>
      <c r="C451" t="s">
        <v>1795</v>
      </c>
    </row>
    <row r="452" spans="1:3" x14ac:dyDescent="0.25">
      <c r="A452" t="s">
        <v>1796</v>
      </c>
      <c r="B452" t="s">
        <v>845</v>
      </c>
      <c r="C452" t="s">
        <v>1797</v>
      </c>
    </row>
    <row r="453" spans="1:3" x14ac:dyDescent="0.25">
      <c r="A453" t="s">
        <v>1798</v>
      </c>
      <c r="B453" t="s">
        <v>846</v>
      </c>
      <c r="C453" t="s">
        <v>1799</v>
      </c>
    </row>
    <row r="454" spans="1:3" x14ac:dyDescent="0.25">
      <c r="A454" t="s">
        <v>1800</v>
      </c>
      <c r="B454" t="s">
        <v>845</v>
      </c>
      <c r="C454" t="s">
        <v>1801</v>
      </c>
    </row>
    <row r="455" spans="1:3" x14ac:dyDescent="0.25">
      <c r="A455" t="s">
        <v>1802</v>
      </c>
      <c r="B455" t="s">
        <v>846</v>
      </c>
      <c r="C455" t="s">
        <v>1803</v>
      </c>
    </row>
    <row r="456" spans="1:3" x14ac:dyDescent="0.25">
      <c r="A456" t="s">
        <v>1804</v>
      </c>
      <c r="B456" t="s">
        <v>846</v>
      </c>
      <c r="C456" t="s">
        <v>1805</v>
      </c>
    </row>
    <row r="457" spans="1:3" x14ac:dyDescent="0.25">
      <c r="A457" t="s">
        <v>1806</v>
      </c>
      <c r="B457" t="s">
        <v>845</v>
      </c>
      <c r="C457" t="s">
        <v>1807</v>
      </c>
    </row>
    <row r="458" spans="1:3" x14ac:dyDescent="0.25">
      <c r="A458" t="s">
        <v>1808</v>
      </c>
      <c r="B458" t="s">
        <v>845</v>
      </c>
      <c r="C458" t="s">
        <v>1809</v>
      </c>
    </row>
    <row r="459" spans="1:3" x14ac:dyDescent="0.25">
      <c r="A459" t="s">
        <v>1810</v>
      </c>
      <c r="B459" t="s">
        <v>846</v>
      </c>
      <c r="C459" t="s">
        <v>1811</v>
      </c>
    </row>
    <row r="460" spans="1:3" x14ac:dyDescent="0.25">
      <c r="A460" t="s">
        <v>1812</v>
      </c>
      <c r="B460" t="s">
        <v>845</v>
      </c>
      <c r="C460" t="s">
        <v>1813</v>
      </c>
    </row>
    <row r="461" spans="1:3" x14ac:dyDescent="0.25">
      <c r="A461" t="s">
        <v>1814</v>
      </c>
      <c r="B461" t="s">
        <v>845</v>
      </c>
      <c r="C461" t="s">
        <v>1815</v>
      </c>
    </row>
    <row r="462" spans="1:3" x14ac:dyDescent="0.25">
      <c r="A462" t="s">
        <v>1816</v>
      </c>
      <c r="B462" t="s">
        <v>845</v>
      </c>
      <c r="C462" t="s">
        <v>1817</v>
      </c>
    </row>
    <row r="463" spans="1:3" x14ac:dyDescent="0.25">
      <c r="A463" t="s">
        <v>1818</v>
      </c>
      <c r="B463" t="s">
        <v>845</v>
      </c>
      <c r="C463" t="s">
        <v>1819</v>
      </c>
    </row>
    <row r="464" spans="1:3" x14ac:dyDescent="0.25">
      <c r="A464" t="s">
        <v>1820</v>
      </c>
      <c r="B464" t="s">
        <v>845</v>
      </c>
      <c r="C464" t="s">
        <v>1821</v>
      </c>
    </row>
    <row r="465" spans="1:3" x14ac:dyDescent="0.25">
      <c r="A465" t="s">
        <v>1822</v>
      </c>
      <c r="B465" t="s">
        <v>845</v>
      </c>
      <c r="C465" t="s">
        <v>1823</v>
      </c>
    </row>
    <row r="466" spans="1:3" x14ac:dyDescent="0.25">
      <c r="A466" t="s">
        <v>1824</v>
      </c>
      <c r="B466" t="s">
        <v>845</v>
      </c>
      <c r="C466" t="s">
        <v>1825</v>
      </c>
    </row>
    <row r="467" spans="1:3" x14ac:dyDescent="0.25">
      <c r="A467" t="s">
        <v>1826</v>
      </c>
      <c r="B467" t="s">
        <v>845</v>
      </c>
      <c r="C467" t="s">
        <v>1827</v>
      </c>
    </row>
    <row r="468" spans="1:3" x14ac:dyDescent="0.25">
      <c r="A468" t="s">
        <v>1828</v>
      </c>
      <c r="B468" t="s">
        <v>845</v>
      </c>
      <c r="C468" t="s">
        <v>1829</v>
      </c>
    </row>
    <row r="469" spans="1:3" x14ac:dyDescent="0.25">
      <c r="A469" t="s">
        <v>1830</v>
      </c>
      <c r="B469" t="s">
        <v>846</v>
      </c>
      <c r="C469" t="s">
        <v>1831</v>
      </c>
    </row>
    <row r="470" spans="1:3" x14ac:dyDescent="0.25">
      <c r="A470" t="s">
        <v>1832</v>
      </c>
      <c r="B470" t="s">
        <v>846</v>
      </c>
      <c r="C470" t="s">
        <v>1833</v>
      </c>
    </row>
    <row r="471" spans="1:3" x14ac:dyDescent="0.25">
      <c r="A471" t="s">
        <v>1834</v>
      </c>
      <c r="B471" t="s">
        <v>846</v>
      </c>
      <c r="C471" t="s">
        <v>1835</v>
      </c>
    </row>
    <row r="472" spans="1:3" x14ac:dyDescent="0.25">
      <c r="A472" t="s">
        <v>1836</v>
      </c>
      <c r="B472" t="s">
        <v>846</v>
      </c>
      <c r="C472" t="s">
        <v>1837</v>
      </c>
    </row>
    <row r="473" spans="1:3" x14ac:dyDescent="0.25">
      <c r="A473" t="s">
        <v>1838</v>
      </c>
      <c r="B473" t="s">
        <v>846</v>
      </c>
      <c r="C473" t="s">
        <v>1839</v>
      </c>
    </row>
    <row r="474" spans="1:3" x14ac:dyDescent="0.25">
      <c r="A474" t="s">
        <v>1840</v>
      </c>
      <c r="B474" t="s">
        <v>845</v>
      </c>
      <c r="C474" t="s">
        <v>1841</v>
      </c>
    </row>
    <row r="475" spans="1:3" x14ac:dyDescent="0.25">
      <c r="A475" t="s">
        <v>1842</v>
      </c>
      <c r="B475" t="s">
        <v>846</v>
      </c>
      <c r="C475" t="s">
        <v>1843</v>
      </c>
    </row>
    <row r="476" spans="1:3" x14ac:dyDescent="0.25">
      <c r="A476" t="s">
        <v>1844</v>
      </c>
      <c r="B476" t="s">
        <v>846</v>
      </c>
      <c r="C476" t="s">
        <v>1845</v>
      </c>
    </row>
    <row r="477" spans="1:3" x14ac:dyDescent="0.25">
      <c r="A477" t="s">
        <v>1846</v>
      </c>
      <c r="B477" t="s">
        <v>845</v>
      </c>
      <c r="C477" t="s">
        <v>1847</v>
      </c>
    </row>
    <row r="478" spans="1:3" x14ac:dyDescent="0.25">
      <c r="A478" t="s">
        <v>1848</v>
      </c>
      <c r="B478" t="s">
        <v>846</v>
      </c>
      <c r="C478" t="s">
        <v>1849</v>
      </c>
    </row>
    <row r="479" spans="1:3" x14ac:dyDescent="0.25">
      <c r="A479" t="s">
        <v>1850</v>
      </c>
      <c r="B479" t="s">
        <v>845</v>
      </c>
      <c r="C479" t="s">
        <v>1851</v>
      </c>
    </row>
    <row r="480" spans="1:3" x14ac:dyDescent="0.25">
      <c r="A480" t="s">
        <v>1852</v>
      </c>
      <c r="B480" t="s">
        <v>845</v>
      </c>
      <c r="C480" t="s">
        <v>1853</v>
      </c>
    </row>
    <row r="481" spans="1:3" x14ac:dyDescent="0.25">
      <c r="A481" t="s">
        <v>1854</v>
      </c>
      <c r="B481" t="s">
        <v>845</v>
      </c>
      <c r="C481" t="s">
        <v>1855</v>
      </c>
    </row>
    <row r="482" spans="1:3" x14ac:dyDescent="0.25">
      <c r="A482" t="s">
        <v>1856</v>
      </c>
      <c r="B482" t="s">
        <v>846</v>
      </c>
      <c r="C482" t="s">
        <v>1857</v>
      </c>
    </row>
    <row r="483" spans="1:3" x14ac:dyDescent="0.25">
      <c r="A483" t="s">
        <v>1858</v>
      </c>
      <c r="B483" t="s">
        <v>845</v>
      </c>
      <c r="C483" t="s">
        <v>1859</v>
      </c>
    </row>
    <row r="484" spans="1:3" x14ac:dyDescent="0.25">
      <c r="A484" t="s">
        <v>1860</v>
      </c>
      <c r="B484" t="s">
        <v>845</v>
      </c>
      <c r="C484" t="s">
        <v>1861</v>
      </c>
    </row>
    <row r="485" spans="1:3" x14ac:dyDescent="0.25">
      <c r="A485" t="s">
        <v>1862</v>
      </c>
      <c r="B485" t="s">
        <v>845</v>
      </c>
      <c r="C485" t="s">
        <v>1863</v>
      </c>
    </row>
    <row r="486" spans="1:3" x14ac:dyDescent="0.25">
      <c r="A486" t="s">
        <v>1864</v>
      </c>
      <c r="B486" t="s">
        <v>846</v>
      </c>
      <c r="C486" t="s">
        <v>1865</v>
      </c>
    </row>
    <row r="487" spans="1:3" x14ac:dyDescent="0.25">
      <c r="A487" t="s">
        <v>1866</v>
      </c>
      <c r="B487" t="s">
        <v>845</v>
      </c>
      <c r="C487" t="s">
        <v>1867</v>
      </c>
    </row>
    <row r="488" spans="1:3" x14ac:dyDescent="0.25">
      <c r="A488" t="s">
        <v>1868</v>
      </c>
      <c r="B488" t="s">
        <v>845</v>
      </c>
      <c r="C488" t="s">
        <v>1869</v>
      </c>
    </row>
    <row r="489" spans="1:3" x14ac:dyDescent="0.25">
      <c r="A489" t="s">
        <v>1870</v>
      </c>
      <c r="B489" t="s">
        <v>846</v>
      </c>
      <c r="C489" t="s">
        <v>1871</v>
      </c>
    </row>
    <row r="490" spans="1:3" x14ac:dyDescent="0.25">
      <c r="A490" t="s">
        <v>1872</v>
      </c>
      <c r="B490" t="s">
        <v>845</v>
      </c>
      <c r="C490" t="s">
        <v>1873</v>
      </c>
    </row>
    <row r="491" spans="1:3" x14ac:dyDescent="0.25">
      <c r="A491" t="s">
        <v>1874</v>
      </c>
      <c r="B491" t="s">
        <v>846</v>
      </c>
      <c r="C491" t="s">
        <v>1875</v>
      </c>
    </row>
    <row r="492" spans="1:3" x14ac:dyDescent="0.25">
      <c r="A492" t="s">
        <v>1876</v>
      </c>
      <c r="B492" t="s">
        <v>845</v>
      </c>
      <c r="C492" t="s">
        <v>1877</v>
      </c>
    </row>
    <row r="493" spans="1:3" x14ac:dyDescent="0.25">
      <c r="A493" t="s">
        <v>1878</v>
      </c>
      <c r="B493" t="s">
        <v>846</v>
      </c>
      <c r="C493" t="s">
        <v>1879</v>
      </c>
    </row>
    <row r="494" spans="1:3" x14ac:dyDescent="0.25">
      <c r="A494" t="s">
        <v>1880</v>
      </c>
      <c r="B494" t="s">
        <v>845</v>
      </c>
      <c r="C494" t="s">
        <v>1881</v>
      </c>
    </row>
    <row r="495" spans="1:3" x14ac:dyDescent="0.25">
      <c r="A495" t="s">
        <v>1882</v>
      </c>
      <c r="B495" t="s">
        <v>845</v>
      </c>
      <c r="C495" t="s">
        <v>1883</v>
      </c>
    </row>
    <row r="496" spans="1:3" x14ac:dyDescent="0.25">
      <c r="A496" t="s">
        <v>1884</v>
      </c>
      <c r="B496" t="s">
        <v>845</v>
      </c>
      <c r="C496" t="s">
        <v>1885</v>
      </c>
    </row>
    <row r="497" spans="1:3" x14ac:dyDescent="0.25">
      <c r="A497" t="s">
        <v>1886</v>
      </c>
      <c r="B497" t="s">
        <v>845</v>
      </c>
      <c r="C497" t="s">
        <v>1887</v>
      </c>
    </row>
    <row r="498" spans="1:3" x14ac:dyDescent="0.25">
      <c r="A498" t="s">
        <v>1888</v>
      </c>
      <c r="B498" t="s">
        <v>845</v>
      </c>
      <c r="C498" t="s">
        <v>1889</v>
      </c>
    </row>
    <row r="499" spans="1:3" x14ac:dyDescent="0.25">
      <c r="A499" t="s">
        <v>1890</v>
      </c>
      <c r="B499" t="s">
        <v>845</v>
      </c>
      <c r="C499" t="s">
        <v>1891</v>
      </c>
    </row>
    <row r="500" spans="1:3" x14ac:dyDescent="0.25">
      <c r="A500" t="s">
        <v>1892</v>
      </c>
      <c r="B500" t="s">
        <v>845</v>
      </c>
      <c r="C500" t="s">
        <v>1893</v>
      </c>
    </row>
    <row r="501" spans="1:3" x14ac:dyDescent="0.25">
      <c r="A501" t="s">
        <v>1894</v>
      </c>
      <c r="B501" t="s">
        <v>845</v>
      </c>
      <c r="C501" t="s">
        <v>1895</v>
      </c>
    </row>
    <row r="502" spans="1:3" x14ac:dyDescent="0.25">
      <c r="A502" t="s">
        <v>1896</v>
      </c>
      <c r="B502" t="s">
        <v>845</v>
      </c>
      <c r="C502" t="s">
        <v>1897</v>
      </c>
    </row>
    <row r="503" spans="1:3" x14ac:dyDescent="0.25">
      <c r="A503" t="s">
        <v>1898</v>
      </c>
      <c r="B503" t="s">
        <v>845</v>
      </c>
      <c r="C503" t="s">
        <v>1899</v>
      </c>
    </row>
    <row r="504" spans="1:3" x14ac:dyDescent="0.25">
      <c r="A504" t="s">
        <v>1900</v>
      </c>
      <c r="B504" t="s">
        <v>845</v>
      </c>
      <c r="C504" t="s">
        <v>1901</v>
      </c>
    </row>
    <row r="505" spans="1:3" x14ac:dyDescent="0.25">
      <c r="A505" t="s">
        <v>1902</v>
      </c>
      <c r="B505" t="s">
        <v>845</v>
      </c>
      <c r="C505" t="s">
        <v>1903</v>
      </c>
    </row>
    <row r="506" spans="1:3" x14ac:dyDescent="0.25">
      <c r="A506" t="s">
        <v>1904</v>
      </c>
      <c r="B506" t="s">
        <v>845</v>
      </c>
      <c r="C506" t="s">
        <v>1905</v>
      </c>
    </row>
    <row r="507" spans="1:3" x14ac:dyDescent="0.25">
      <c r="A507" t="s">
        <v>1906</v>
      </c>
      <c r="B507" t="s">
        <v>845</v>
      </c>
      <c r="C507" t="s">
        <v>1907</v>
      </c>
    </row>
    <row r="508" spans="1:3" x14ac:dyDescent="0.25">
      <c r="A508" t="s">
        <v>1908</v>
      </c>
      <c r="B508" t="s">
        <v>845</v>
      </c>
      <c r="C508" t="s">
        <v>1909</v>
      </c>
    </row>
    <row r="509" spans="1:3" x14ac:dyDescent="0.25">
      <c r="A509" t="s">
        <v>1910</v>
      </c>
      <c r="B509" t="s">
        <v>845</v>
      </c>
      <c r="C509" t="s">
        <v>1911</v>
      </c>
    </row>
    <row r="510" spans="1:3" x14ac:dyDescent="0.25">
      <c r="A510" t="s">
        <v>1912</v>
      </c>
      <c r="B510" t="s">
        <v>845</v>
      </c>
      <c r="C510" t="s">
        <v>1913</v>
      </c>
    </row>
    <row r="511" spans="1:3" x14ac:dyDescent="0.25">
      <c r="A511" t="s">
        <v>1914</v>
      </c>
      <c r="B511" t="s">
        <v>845</v>
      </c>
      <c r="C511" t="s">
        <v>1915</v>
      </c>
    </row>
    <row r="512" spans="1:3" x14ac:dyDescent="0.25">
      <c r="A512" t="s">
        <v>1916</v>
      </c>
      <c r="B512" t="s">
        <v>845</v>
      </c>
      <c r="C512" t="s">
        <v>1917</v>
      </c>
    </row>
    <row r="513" spans="1:3" x14ac:dyDescent="0.25">
      <c r="A513" t="s">
        <v>1918</v>
      </c>
      <c r="B513" t="s">
        <v>845</v>
      </c>
      <c r="C513" t="s">
        <v>1919</v>
      </c>
    </row>
    <row r="514" spans="1:3" x14ac:dyDescent="0.25">
      <c r="A514" t="s">
        <v>1920</v>
      </c>
      <c r="B514" t="s">
        <v>846</v>
      </c>
      <c r="C514" t="s">
        <v>1921</v>
      </c>
    </row>
    <row r="515" spans="1:3" x14ac:dyDescent="0.25">
      <c r="A515" t="s">
        <v>1922</v>
      </c>
      <c r="B515" t="s">
        <v>845</v>
      </c>
      <c r="C515" t="s">
        <v>1923</v>
      </c>
    </row>
    <row r="516" spans="1:3" x14ac:dyDescent="0.25">
      <c r="A516" t="s">
        <v>1924</v>
      </c>
      <c r="B516" t="s">
        <v>845</v>
      </c>
      <c r="C516" t="s">
        <v>1925</v>
      </c>
    </row>
    <row r="517" spans="1:3" x14ac:dyDescent="0.25">
      <c r="A517" t="s">
        <v>1926</v>
      </c>
      <c r="B517" t="s">
        <v>845</v>
      </c>
      <c r="C517" t="s">
        <v>1927</v>
      </c>
    </row>
    <row r="518" spans="1:3" x14ac:dyDescent="0.25">
      <c r="A518" t="s">
        <v>1928</v>
      </c>
      <c r="B518" t="s">
        <v>845</v>
      </c>
      <c r="C518" t="s">
        <v>1929</v>
      </c>
    </row>
    <row r="519" spans="1:3" x14ac:dyDescent="0.25">
      <c r="A519" t="s">
        <v>1930</v>
      </c>
      <c r="B519" t="s">
        <v>845</v>
      </c>
      <c r="C519" t="s">
        <v>1931</v>
      </c>
    </row>
    <row r="520" spans="1:3" x14ac:dyDescent="0.25">
      <c r="A520" t="s">
        <v>1932</v>
      </c>
      <c r="B520" t="s">
        <v>845</v>
      </c>
      <c r="C520" t="s">
        <v>1933</v>
      </c>
    </row>
    <row r="521" spans="1:3" x14ac:dyDescent="0.25">
      <c r="A521" t="s">
        <v>1934</v>
      </c>
      <c r="B521" t="s">
        <v>845</v>
      </c>
      <c r="C521" t="s">
        <v>1935</v>
      </c>
    </row>
    <row r="522" spans="1:3" x14ac:dyDescent="0.25">
      <c r="A522" t="s">
        <v>1936</v>
      </c>
      <c r="B522" t="s">
        <v>846</v>
      </c>
      <c r="C522" t="s">
        <v>1937</v>
      </c>
    </row>
    <row r="523" spans="1:3" x14ac:dyDescent="0.25">
      <c r="A523" t="s">
        <v>1938</v>
      </c>
      <c r="B523" t="s">
        <v>845</v>
      </c>
      <c r="C523" t="s">
        <v>1939</v>
      </c>
    </row>
    <row r="524" spans="1:3" x14ac:dyDescent="0.25">
      <c r="A524" t="s">
        <v>1940</v>
      </c>
      <c r="B524" t="s">
        <v>846</v>
      </c>
      <c r="C524" t="s">
        <v>1941</v>
      </c>
    </row>
    <row r="525" spans="1:3" x14ac:dyDescent="0.25">
      <c r="A525" t="s">
        <v>1942</v>
      </c>
      <c r="B525" t="s">
        <v>845</v>
      </c>
      <c r="C525" t="s">
        <v>1943</v>
      </c>
    </row>
    <row r="526" spans="1:3" x14ac:dyDescent="0.25">
      <c r="A526" t="s">
        <v>1944</v>
      </c>
      <c r="B526" t="s">
        <v>845</v>
      </c>
      <c r="C526" t="s">
        <v>1945</v>
      </c>
    </row>
    <row r="527" spans="1:3" x14ac:dyDescent="0.25">
      <c r="A527" t="s">
        <v>1946</v>
      </c>
      <c r="B527" t="s">
        <v>846</v>
      </c>
      <c r="C527" t="s">
        <v>1947</v>
      </c>
    </row>
    <row r="528" spans="1:3" x14ac:dyDescent="0.25">
      <c r="A528" t="s">
        <v>1948</v>
      </c>
      <c r="B528" t="s">
        <v>845</v>
      </c>
      <c r="C528" t="s">
        <v>1949</v>
      </c>
    </row>
    <row r="529" spans="1:3" x14ac:dyDescent="0.25">
      <c r="A529" t="s">
        <v>1950</v>
      </c>
      <c r="B529" t="s">
        <v>845</v>
      </c>
      <c r="C529" t="s">
        <v>1951</v>
      </c>
    </row>
    <row r="530" spans="1:3" x14ac:dyDescent="0.25">
      <c r="A530" t="s">
        <v>1952</v>
      </c>
      <c r="B530" t="s">
        <v>845</v>
      </c>
      <c r="C530" t="s">
        <v>1953</v>
      </c>
    </row>
    <row r="531" spans="1:3" x14ac:dyDescent="0.25">
      <c r="A531" t="s">
        <v>1954</v>
      </c>
      <c r="B531" t="s">
        <v>845</v>
      </c>
      <c r="C531" t="s">
        <v>1955</v>
      </c>
    </row>
    <row r="532" spans="1:3" x14ac:dyDescent="0.25">
      <c r="A532" t="s">
        <v>1956</v>
      </c>
      <c r="B532" t="s">
        <v>845</v>
      </c>
      <c r="C532" t="s">
        <v>1957</v>
      </c>
    </row>
    <row r="533" spans="1:3" x14ac:dyDescent="0.25">
      <c r="A533" t="s">
        <v>1958</v>
      </c>
      <c r="B533" t="s">
        <v>845</v>
      </c>
      <c r="C533" t="s">
        <v>1959</v>
      </c>
    </row>
    <row r="534" spans="1:3" x14ac:dyDescent="0.25">
      <c r="A534" t="s">
        <v>1960</v>
      </c>
      <c r="B534" t="s">
        <v>845</v>
      </c>
      <c r="C534" t="s">
        <v>1961</v>
      </c>
    </row>
    <row r="535" spans="1:3" x14ac:dyDescent="0.25">
      <c r="A535" t="s">
        <v>1962</v>
      </c>
      <c r="B535" t="s">
        <v>845</v>
      </c>
      <c r="C535" t="s">
        <v>1963</v>
      </c>
    </row>
    <row r="536" spans="1:3" x14ac:dyDescent="0.25">
      <c r="A536" t="s">
        <v>1964</v>
      </c>
      <c r="B536" t="s">
        <v>845</v>
      </c>
      <c r="C536" t="s">
        <v>1965</v>
      </c>
    </row>
    <row r="537" spans="1:3" x14ac:dyDescent="0.25">
      <c r="A537" t="s">
        <v>1966</v>
      </c>
      <c r="B537" t="s">
        <v>845</v>
      </c>
      <c r="C537" t="s">
        <v>1967</v>
      </c>
    </row>
    <row r="538" spans="1:3" x14ac:dyDescent="0.25">
      <c r="A538" t="s">
        <v>1968</v>
      </c>
      <c r="B538" t="s">
        <v>845</v>
      </c>
      <c r="C538" t="s">
        <v>1969</v>
      </c>
    </row>
    <row r="539" spans="1:3" x14ac:dyDescent="0.25">
      <c r="A539" t="s">
        <v>1970</v>
      </c>
      <c r="B539" t="s">
        <v>845</v>
      </c>
      <c r="C539" t="s">
        <v>1971</v>
      </c>
    </row>
    <row r="540" spans="1:3" x14ac:dyDescent="0.25">
      <c r="A540" t="s">
        <v>1972</v>
      </c>
      <c r="B540" t="s">
        <v>845</v>
      </c>
      <c r="C540" t="s">
        <v>1973</v>
      </c>
    </row>
    <row r="541" spans="1:3" x14ac:dyDescent="0.25">
      <c r="A541" t="s">
        <v>1974</v>
      </c>
      <c r="B541" t="s">
        <v>845</v>
      </c>
      <c r="C541" t="s">
        <v>1975</v>
      </c>
    </row>
    <row r="542" spans="1:3" x14ac:dyDescent="0.25">
      <c r="A542" t="s">
        <v>1976</v>
      </c>
      <c r="B542" t="s">
        <v>845</v>
      </c>
      <c r="C542" t="s">
        <v>1977</v>
      </c>
    </row>
    <row r="543" spans="1:3" x14ac:dyDescent="0.25">
      <c r="A543" t="s">
        <v>1978</v>
      </c>
      <c r="B543" t="s">
        <v>845</v>
      </c>
      <c r="C543" t="s">
        <v>1979</v>
      </c>
    </row>
    <row r="544" spans="1:3" x14ac:dyDescent="0.25">
      <c r="A544" t="s">
        <v>1980</v>
      </c>
      <c r="B544" t="s">
        <v>845</v>
      </c>
      <c r="C544" t="s">
        <v>1981</v>
      </c>
    </row>
    <row r="545" spans="1:3" x14ac:dyDescent="0.25">
      <c r="A545" t="s">
        <v>1982</v>
      </c>
      <c r="B545" t="s">
        <v>845</v>
      </c>
      <c r="C545" t="s">
        <v>1983</v>
      </c>
    </row>
    <row r="546" spans="1:3" x14ac:dyDescent="0.25">
      <c r="A546" t="s">
        <v>1984</v>
      </c>
      <c r="B546" t="s">
        <v>845</v>
      </c>
      <c r="C546" t="s">
        <v>1985</v>
      </c>
    </row>
    <row r="547" spans="1:3" x14ac:dyDescent="0.25">
      <c r="A547" t="s">
        <v>1986</v>
      </c>
      <c r="B547" t="s">
        <v>846</v>
      </c>
      <c r="C547" t="s">
        <v>1987</v>
      </c>
    </row>
    <row r="548" spans="1:3" x14ac:dyDescent="0.25">
      <c r="A548" t="s">
        <v>1988</v>
      </c>
      <c r="B548" t="s">
        <v>845</v>
      </c>
      <c r="C548" t="s">
        <v>1989</v>
      </c>
    </row>
    <row r="549" spans="1:3" x14ac:dyDescent="0.25">
      <c r="A549" t="s">
        <v>1990</v>
      </c>
      <c r="B549" t="s">
        <v>845</v>
      </c>
      <c r="C549" t="s">
        <v>1991</v>
      </c>
    </row>
    <row r="550" spans="1:3" x14ac:dyDescent="0.25">
      <c r="A550" t="s">
        <v>1992</v>
      </c>
      <c r="B550" t="s">
        <v>845</v>
      </c>
      <c r="C550" t="s">
        <v>1993</v>
      </c>
    </row>
    <row r="551" spans="1:3" x14ac:dyDescent="0.25">
      <c r="A551" t="s">
        <v>1994</v>
      </c>
      <c r="B551" t="s">
        <v>845</v>
      </c>
      <c r="C551" t="s">
        <v>1995</v>
      </c>
    </row>
    <row r="552" spans="1:3" x14ac:dyDescent="0.25">
      <c r="A552" t="s">
        <v>1996</v>
      </c>
      <c r="B552" t="s">
        <v>845</v>
      </c>
      <c r="C552" t="s">
        <v>1997</v>
      </c>
    </row>
    <row r="553" spans="1:3" x14ac:dyDescent="0.25">
      <c r="A553" t="s">
        <v>1998</v>
      </c>
      <c r="B553" t="s">
        <v>845</v>
      </c>
      <c r="C553" t="s">
        <v>1999</v>
      </c>
    </row>
    <row r="554" spans="1:3" x14ac:dyDescent="0.25">
      <c r="A554" t="s">
        <v>2000</v>
      </c>
      <c r="B554" t="s">
        <v>846</v>
      </c>
      <c r="C554" t="s">
        <v>2001</v>
      </c>
    </row>
    <row r="555" spans="1:3" x14ac:dyDescent="0.25">
      <c r="A555" t="s">
        <v>2002</v>
      </c>
      <c r="B555" t="s">
        <v>845</v>
      </c>
      <c r="C555" t="s">
        <v>2003</v>
      </c>
    </row>
    <row r="556" spans="1:3" x14ac:dyDescent="0.25">
      <c r="A556" t="s">
        <v>2004</v>
      </c>
      <c r="B556" t="s">
        <v>845</v>
      </c>
      <c r="C556" t="s">
        <v>2005</v>
      </c>
    </row>
    <row r="557" spans="1:3" x14ac:dyDescent="0.25">
      <c r="A557" t="s">
        <v>2006</v>
      </c>
      <c r="B557" t="s">
        <v>845</v>
      </c>
      <c r="C557" t="s">
        <v>2007</v>
      </c>
    </row>
    <row r="558" spans="1:3" x14ac:dyDescent="0.25">
      <c r="A558" t="s">
        <v>2008</v>
      </c>
      <c r="B558" t="s">
        <v>845</v>
      </c>
      <c r="C558" t="s">
        <v>2009</v>
      </c>
    </row>
    <row r="559" spans="1:3" x14ac:dyDescent="0.25">
      <c r="A559" t="s">
        <v>2010</v>
      </c>
      <c r="B559" t="s">
        <v>845</v>
      </c>
      <c r="C559" t="s">
        <v>2011</v>
      </c>
    </row>
    <row r="560" spans="1:3" x14ac:dyDescent="0.25">
      <c r="A560" t="s">
        <v>2012</v>
      </c>
      <c r="B560" t="s">
        <v>846</v>
      </c>
      <c r="C560" t="s">
        <v>2013</v>
      </c>
    </row>
    <row r="561" spans="1:3" x14ac:dyDescent="0.25">
      <c r="A561" t="s">
        <v>2014</v>
      </c>
      <c r="B561" t="s">
        <v>845</v>
      </c>
      <c r="C561" t="s">
        <v>2015</v>
      </c>
    </row>
    <row r="562" spans="1:3" x14ac:dyDescent="0.25">
      <c r="A562" t="s">
        <v>2016</v>
      </c>
      <c r="B562" t="s">
        <v>845</v>
      </c>
      <c r="C562" t="s">
        <v>2017</v>
      </c>
    </row>
    <row r="563" spans="1:3" x14ac:dyDescent="0.25">
      <c r="A563" t="s">
        <v>2018</v>
      </c>
      <c r="B563" t="s">
        <v>845</v>
      </c>
      <c r="C563" t="s">
        <v>2019</v>
      </c>
    </row>
    <row r="564" spans="1:3" x14ac:dyDescent="0.25">
      <c r="A564" t="s">
        <v>2020</v>
      </c>
      <c r="B564" t="s">
        <v>845</v>
      </c>
      <c r="C564" t="s">
        <v>2021</v>
      </c>
    </row>
    <row r="565" spans="1:3" x14ac:dyDescent="0.25">
      <c r="A565" t="s">
        <v>2022</v>
      </c>
      <c r="B565" t="s">
        <v>846</v>
      </c>
      <c r="C565" t="s">
        <v>2023</v>
      </c>
    </row>
    <row r="566" spans="1:3" x14ac:dyDescent="0.25">
      <c r="A566" t="s">
        <v>2024</v>
      </c>
      <c r="B566" t="s">
        <v>846</v>
      </c>
      <c r="C566" t="s">
        <v>2025</v>
      </c>
    </row>
    <row r="567" spans="1:3" x14ac:dyDescent="0.25">
      <c r="A567" t="s">
        <v>2026</v>
      </c>
      <c r="B567" t="s">
        <v>845</v>
      </c>
      <c r="C567" t="s">
        <v>2027</v>
      </c>
    </row>
    <row r="568" spans="1:3" x14ac:dyDescent="0.25">
      <c r="A568" t="s">
        <v>2028</v>
      </c>
      <c r="B568" t="s">
        <v>846</v>
      </c>
      <c r="C568" t="s">
        <v>2029</v>
      </c>
    </row>
    <row r="569" spans="1:3" x14ac:dyDescent="0.25">
      <c r="A569" t="s">
        <v>2030</v>
      </c>
      <c r="B569" t="s">
        <v>846</v>
      </c>
      <c r="C569" t="s">
        <v>2031</v>
      </c>
    </row>
    <row r="570" spans="1:3" x14ac:dyDescent="0.25">
      <c r="A570" t="s">
        <v>2032</v>
      </c>
      <c r="B570" t="s">
        <v>846</v>
      </c>
      <c r="C570" t="s">
        <v>2033</v>
      </c>
    </row>
    <row r="571" spans="1:3" x14ac:dyDescent="0.25">
      <c r="A571" t="s">
        <v>2034</v>
      </c>
      <c r="B571" t="s">
        <v>845</v>
      </c>
      <c r="C571" t="s">
        <v>2035</v>
      </c>
    </row>
    <row r="572" spans="1:3" x14ac:dyDescent="0.25">
      <c r="A572" t="s">
        <v>2036</v>
      </c>
      <c r="B572" t="s">
        <v>845</v>
      </c>
      <c r="C572" t="s">
        <v>2037</v>
      </c>
    </row>
    <row r="573" spans="1:3" x14ac:dyDescent="0.25">
      <c r="A573" t="s">
        <v>2038</v>
      </c>
      <c r="B573" t="s">
        <v>845</v>
      </c>
      <c r="C573" t="s">
        <v>2039</v>
      </c>
    </row>
    <row r="574" spans="1:3" x14ac:dyDescent="0.25">
      <c r="A574" t="s">
        <v>2040</v>
      </c>
      <c r="B574" t="s">
        <v>845</v>
      </c>
      <c r="C574" t="s">
        <v>2041</v>
      </c>
    </row>
    <row r="575" spans="1:3" x14ac:dyDescent="0.25">
      <c r="A575" t="s">
        <v>2042</v>
      </c>
      <c r="B575" t="s">
        <v>846</v>
      </c>
      <c r="C575" t="s">
        <v>2043</v>
      </c>
    </row>
    <row r="576" spans="1:3" x14ac:dyDescent="0.25">
      <c r="A576" t="s">
        <v>2044</v>
      </c>
      <c r="B576" t="s">
        <v>845</v>
      </c>
      <c r="C576" t="s">
        <v>2045</v>
      </c>
    </row>
    <row r="577" spans="1:3" x14ac:dyDescent="0.25">
      <c r="A577" t="s">
        <v>2046</v>
      </c>
      <c r="B577" t="s">
        <v>845</v>
      </c>
      <c r="C577" t="s">
        <v>2047</v>
      </c>
    </row>
    <row r="578" spans="1:3" x14ac:dyDescent="0.25">
      <c r="A578" t="s">
        <v>2048</v>
      </c>
      <c r="B578" t="s">
        <v>846</v>
      </c>
      <c r="C578" t="s">
        <v>2049</v>
      </c>
    </row>
    <row r="579" spans="1:3" x14ac:dyDescent="0.25">
      <c r="A579" t="s">
        <v>2050</v>
      </c>
      <c r="B579" t="s">
        <v>846</v>
      </c>
      <c r="C579" t="s">
        <v>2051</v>
      </c>
    </row>
    <row r="580" spans="1:3" x14ac:dyDescent="0.25">
      <c r="A580" t="s">
        <v>2052</v>
      </c>
      <c r="B580" t="s">
        <v>845</v>
      </c>
      <c r="C580" t="s">
        <v>2053</v>
      </c>
    </row>
    <row r="581" spans="1:3" x14ac:dyDescent="0.25">
      <c r="A581" t="s">
        <v>2054</v>
      </c>
      <c r="B581" t="s">
        <v>846</v>
      </c>
      <c r="C581" t="s">
        <v>2055</v>
      </c>
    </row>
    <row r="582" spans="1:3" x14ac:dyDescent="0.25">
      <c r="A582" t="s">
        <v>2056</v>
      </c>
      <c r="B582" t="s">
        <v>845</v>
      </c>
      <c r="C582" t="s">
        <v>2057</v>
      </c>
    </row>
    <row r="583" spans="1:3" x14ac:dyDescent="0.25">
      <c r="A583" t="s">
        <v>2058</v>
      </c>
      <c r="B583" t="s">
        <v>845</v>
      </c>
      <c r="C583" t="s">
        <v>2059</v>
      </c>
    </row>
    <row r="584" spans="1:3" x14ac:dyDescent="0.25">
      <c r="A584" t="s">
        <v>2060</v>
      </c>
      <c r="B584" t="s">
        <v>845</v>
      </c>
      <c r="C584" t="s">
        <v>2061</v>
      </c>
    </row>
    <row r="585" spans="1:3" x14ac:dyDescent="0.25">
      <c r="A585" t="s">
        <v>2062</v>
      </c>
      <c r="B585" t="s">
        <v>846</v>
      </c>
      <c r="C585" t="s">
        <v>2063</v>
      </c>
    </row>
    <row r="586" spans="1:3" x14ac:dyDescent="0.25">
      <c r="A586" t="s">
        <v>2064</v>
      </c>
      <c r="B586" t="s">
        <v>845</v>
      </c>
      <c r="C586" t="s">
        <v>2065</v>
      </c>
    </row>
    <row r="587" spans="1:3" x14ac:dyDescent="0.25">
      <c r="A587" t="s">
        <v>2066</v>
      </c>
      <c r="B587" t="s">
        <v>845</v>
      </c>
      <c r="C587" t="s">
        <v>2067</v>
      </c>
    </row>
    <row r="588" spans="1:3" x14ac:dyDescent="0.25">
      <c r="A588" t="s">
        <v>2068</v>
      </c>
      <c r="B588" t="s">
        <v>845</v>
      </c>
      <c r="C588" t="s">
        <v>2069</v>
      </c>
    </row>
    <row r="589" spans="1:3" x14ac:dyDescent="0.25">
      <c r="A589" t="s">
        <v>2070</v>
      </c>
      <c r="B589" t="s">
        <v>845</v>
      </c>
      <c r="C589" t="s">
        <v>2071</v>
      </c>
    </row>
    <row r="590" spans="1:3" x14ac:dyDescent="0.25">
      <c r="A590" t="s">
        <v>2072</v>
      </c>
      <c r="B590" t="s">
        <v>845</v>
      </c>
      <c r="C590" t="s">
        <v>2073</v>
      </c>
    </row>
    <row r="591" spans="1:3" x14ac:dyDescent="0.25">
      <c r="A591" t="s">
        <v>2074</v>
      </c>
      <c r="B591" t="s">
        <v>845</v>
      </c>
      <c r="C591" t="s">
        <v>2075</v>
      </c>
    </row>
    <row r="592" spans="1:3" x14ac:dyDescent="0.25">
      <c r="A592" t="s">
        <v>2076</v>
      </c>
      <c r="B592" t="s">
        <v>845</v>
      </c>
      <c r="C592" t="s">
        <v>2077</v>
      </c>
    </row>
    <row r="593" spans="1:3" x14ac:dyDescent="0.25">
      <c r="A593" t="s">
        <v>2078</v>
      </c>
      <c r="B593" t="s">
        <v>846</v>
      </c>
      <c r="C593" t="s">
        <v>2079</v>
      </c>
    </row>
    <row r="594" spans="1:3" x14ac:dyDescent="0.25">
      <c r="A594" t="s">
        <v>2080</v>
      </c>
      <c r="B594" t="s">
        <v>846</v>
      </c>
      <c r="C594" t="s">
        <v>2081</v>
      </c>
    </row>
    <row r="595" spans="1:3" x14ac:dyDescent="0.25">
      <c r="A595" t="s">
        <v>2082</v>
      </c>
      <c r="B595" t="s">
        <v>845</v>
      </c>
      <c r="C595" t="s">
        <v>2083</v>
      </c>
    </row>
    <row r="596" spans="1:3" x14ac:dyDescent="0.25">
      <c r="A596" t="s">
        <v>2084</v>
      </c>
      <c r="B596" t="s">
        <v>845</v>
      </c>
      <c r="C596" t="s">
        <v>2085</v>
      </c>
    </row>
    <row r="597" spans="1:3" x14ac:dyDescent="0.25">
      <c r="A597" t="s">
        <v>2086</v>
      </c>
      <c r="B597" t="s">
        <v>845</v>
      </c>
      <c r="C597" t="s">
        <v>2087</v>
      </c>
    </row>
    <row r="598" spans="1:3" x14ac:dyDescent="0.25">
      <c r="A598" t="s">
        <v>2088</v>
      </c>
      <c r="B598" t="s">
        <v>846</v>
      </c>
      <c r="C598" t="s">
        <v>2089</v>
      </c>
    </row>
    <row r="599" spans="1:3" x14ac:dyDescent="0.25">
      <c r="A599" t="s">
        <v>2090</v>
      </c>
      <c r="B599" t="s">
        <v>845</v>
      </c>
      <c r="C599" t="s">
        <v>2091</v>
      </c>
    </row>
    <row r="600" spans="1:3" x14ac:dyDescent="0.25">
      <c r="A600" t="s">
        <v>2092</v>
      </c>
      <c r="B600" t="s">
        <v>845</v>
      </c>
      <c r="C600" t="s">
        <v>2093</v>
      </c>
    </row>
    <row r="601" spans="1:3" x14ac:dyDescent="0.25">
      <c r="A601" t="s">
        <v>2094</v>
      </c>
      <c r="B601" t="s">
        <v>846</v>
      </c>
      <c r="C601" t="s">
        <v>2095</v>
      </c>
    </row>
    <row r="602" spans="1:3" x14ac:dyDescent="0.25">
      <c r="A602" t="s">
        <v>2096</v>
      </c>
      <c r="B602" t="s">
        <v>845</v>
      </c>
      <c r="C602" t="s">
        <v>2097</v>
      </c>
    </row>
    <row r="603" spans="1:3" x14ac:dyDescent="0.25">
      <c r="A603" t="s">
        <v>2098</v>
      </c>
      <c r="B603" t="s">
        <v>845</v>
      </c>
      <c r="C603" t="s">
        <v>2099</v>
      </c>
    </row>
    <row r="604" spans="1:3" x14ac:dyDescent="0.25">
      <c r="A604" t="s">
        <v>2100</v>
      </c>
      <c r="B604" t="s">
        <v>845</v>
      </c>
      <c r="C604" t="s">
        <v>2101</v>
      </c>
    </row>
    <row r="605" spans="1:3" x14ac:dyDescent="0.25">
      <c r="A605" t="s">
        <v>2102</v>
      </c>
      <c r="B605" t="s">
        <v>845</v>
      </c>
      <c r="C605" t="s">
        <v>2103</v>
      </c>
    </row>
    <row r="606" spans="1:3" x14ac:dyDescent="0.25">
      <c r="A606" t="s">
        <v>2104</v>
      </c>
      <c r="B606" t="s">
        <v>845</v>
      </c>
      <c r="C606" t="s">
        <v>2105</v>
      </c>
    </row>
    <row r="607" spans="1:3" x14ac:dyDescent="0.25">
      <c r="A607" t="s">
        <v>2106</v>
      </c>
      <c r="B607" t="s">
        <v>845</v>
      </c>
      <c r="C607" t="s">
        <v>2107</v>
      </c>
    </row>
    <row r="608" spans="1:3" x14ac:dyDescent="0.25">
      <c r="A608" t="s">
        <v>2108</v>
      </c>
      <c r="B608" t="s">
        <v>846</v>
      </c>
      <c r="C608" t="s">
        <v>2109</v>
      </c>
    </row>
    <row r="609" spans="1:3" x14ac:dyDescent="0.25">
      <c r="A609" t="s">
        <v>2110</v>
      </c>
      <c r="B609" t="s">
        <v>845</v>
      </c>
      <c r="C609" t="s">
        <v>2111</v>
      </c>
    </row>
    <row r="610" spans="1:3" x14ac:dyDescent="0.25">
      <c r="A610" t="s">
        <v>2112</v>
      </c>
      <c r="B610" t="s">
        <v>845</v>
      </c>
      <c r="C610" t="s">
        <v>2113</v>
      </c>
    </row>
    <row r="611" spans="1:3" x14ac:dyDescent="0.25">
      <c r="A611" t="s">
        <v>2114</v>
      </c>
      <c r="B611" t="s">
        <v>845</v>
      </c>
      <c r="C611" t="s">
        <v>2115</v>
      </c>
    </row>
    <row r="612" spans="1:3" x14ac:dyDescent="0.25">
      <c r="A612" t="s">
        <v>2116</v>
      </c>
      <c r="B612" t="s">
        <v>845</v>
      </c>
      <c r="C612" t="s">
        <v>2117</v>
      </c>
    </row>
    <row r="613" spans="1:3" x14ac:dyDescent="0.25">
      <c r="A613" t="s">
        <v>2118</v>
      </c>
      <c r="B613" t="s">
        <v>845</v>
      </c>
      <c r="C613" t="s">
        <v>2119</v>
      </c>
    </row>
    <row r="614" spans="1:3" x14ac:dyDescent="0.25">
      <c r="A614" t="s">
        <v>2120</v>
      </c>
      <c r="B614" t="s">
        <v>845</v>
      </c>
      <c r="C614" t="s">
        <v>2121</v>
      </c>
    </row>
    <row r="615" spans="1:3" x14ac:dyDescent="0.25">
      <c r="A615" t="s">
        <v>2122</v>
      </c>
      <c r="B615" t="s">
        <v>845</v>
      </c>
      <c r="C615" t="s">
        <v>2123</v>
      </c>
    </row>
    <row r="616" spans="1:3" x14ac:dyDescent="0.25">
      <c r="A616" t="s">
        <v>2124</v>
      </c>
      <c r="B616" t="s">
        <v>845</v>
      </c>
      <c r="C616" t="s">
        <v>2125</v>
      </c>
    </row>
    <row r="617" spans="1:3" x14ac:dyDescent="0.25">
      <c r="A617" t="s">
        <v>2126</v>
      </c>
      <c r="B617" t="s">
        <v>845</v>
      </c>
      <c r="C617" t="s">
        <v>2127</v>
      </c>
    </row>
    <row r="618" spans="1:3" x14ac:dyDescent="0.25">
      <c r="A618" t="s">
        <v>2128</v>
      </c>
      <c r="B618" t="s">
        <v>846</v>
      </c>
      <c r="C618" t="s">
        <v>2129</v>
      </c>
    </row>
    <row r="619" spans="1:3" x14ac:dyDescent="0.25">
      <c r="A619" t="s">
        <v>2130</v>
      </c>
      <c r="B619" t="s">
        <v>846</v>
      </c>
      <c r="C619" t="s">
        <v>2131</v>
      </c>
    </row>
    <row r="620" spans="1:3" x14ac:dyDescent="0.25">
      <c r="A620" t="s">
        <v>2132</v>
      </c>
      <c r="B620" t="s">
        <v>846</v>
      </c>
      <c r="C620" t="s">
        <v>2133</v>
      </c>
    </row>
    <row r="621" spans="1:3" x14ac:dyDescent="0.25">
      <c r="A621" t="s">
        <v>2134</v>
      </c>
      <c r="B621" t="s">
        <v>846</v>
      </c>
      <c r="C621" t="s">
        <v>2135</v>
      </c>
    </row>
    <row r="622" spans="1:3" x14ac:dyDescent="0.25">
      <c r="A622" t="s">
        <v>2136</v>
      </c>
      <c r="B622" t="s">
        <v>845</v>
      </c>
      <c r="C622" t="s">
        <v>2137</v>
      </c>
    </row>
    <row r="623" spans="1:3" x14ac:dyDescent="0.25">
      <c r="A623" t="s">
        <v>2138</v>
      </c>
      <c r="B623" t="s">
        <v>846</v>
      </c>
      <c r="C623" t="s">
        <v>2139</v>
      </c>
    </row>
    <row r="624" spans="1:3" x14ac:dyDescent="0.25">
      <c r="A624" t="s">
        <v>2140</v>
      </c>
      <c r="B624" t="s">
        <v>846</v>
      </c>
      <c r="C624" t="s">
        <v>2141</v>
      </c>
    </row>
    <row r="625" spans="1:3" x14ac:dyDescent="0.25">
      <c r="A625" t="s">
        <v>2142</v>
      </c>
      <c r="B625" t="s">
        <v>846</v>
      </c>
      <c r="C625" t="s">
        <v>2143</v>
      </c>
    </row>
    <row r="626" spans="1:3" x14ac:dyDescent="0.25">
      <c r="A626" t="s">
        <v>2144</v>
      </c>
      <c r="B626" t="s">
        <v>845</v>
      </c>
      <c r="C626" t="s">
        <v>2145</v>
      </c>
    </row>
    <row r="627" spans="1:3" x14ac:dyDescent="0.25">
      <c r="A627" t="s">
        <v>2146</v>
      </c>
      <c r="B627" t="s">
        <v>845</v>
      </c>
      <c r="C627" t="s">
        <v>2147</v>
      </c>
    </row>
    <row r="628" spans="1:3" x14ac:dyDescent="0.25">
      <c r="A628" t="s">
        <v>2148</v>
      </c>
      <c r="B628" t="s">
        <v>845</v>
      </c>
      <c r="C628" t="s">
        <v>2149</v>
      </c>
    </row>
    <row r="629" spans="1:3" x14ac:dyDescent="0.25">
      <c r="A629" t="s">
        <v>2150</v>
      </c>
      <c r="B629" t="s">
        <v>845</v>
      </c>
      <c r="C629" t="s">
        <v>2151</v>
      </c>
    </row>
    <row r="630" spans="1:3" x14ac:dyDescent="0.25">
      <c r="A630" t="s">
        <v>2152</v>
      </c>
      <c r="B630" t="s">
        <v>845</v>
      </c>
      <c r="C630" t="s">
        <v>2153</v>
      </c>
    </row>
    <row r="631" spans="1:3" x14ac:dyDescent="0.25">
      <c r="A631" t="s">
        <v>2154</v>
      </c>
      <c r="B631" t="s">
        <v>845</v>
      </c>
      <c r="C631" t="s">
        <v>2155</v>
      </c>
    </row>
    <row r="632" spans="1:3" x14ac:dyDescent="0.25">
      <c r="A632" t="s">
        <v>2156</v>
      </c>
      <c r="B632" t="s">
        <v>845</v>
      </c>
      <c r="C632" t="s">
        <v>2157</v>
      </c>
    </row>
    <row r="633" spans="1:3" x14ac:dyDescent="0.25">
      <c r="A633" t="s">
        <v>2158</v>
      </c>
      <c r="B633" t="s">
        <v>845</v>
      </c>
      <c r="C633" t="s">
        <v>2159</v>
      </c>
    </row>
    <row r="634" spans="1:3" x14ac:dyDescent="0.25">
      <c r="A634" t="s">
        <v>2160</v>
      </c>
      <c r="B634" t="s">
        <v>845</v>
      </c>
      <c r="C634" t="s">
        <v>2161</v>
      </c>
    </row>
    <row r="635" spans="1:3" x14ac:dyDescent="0.25">
      <c r="A635" t="s">
        <v>2162</v>
      </c>
      <c r="B635" t="s">
        <v>846</v>
      </c>
      <c r="C635" t="s">
        <v>2163</v>
      </c>
    </row>
    <row r="636" spans="1:3" x14ac:dyDescent="0.25">
      <c r="A636" t="s">
        <v>2164</v>
      </c>
      <c r="B636" t="s">
        <v>845</v>
      </c>
      <c r="C636" t="s">
        <v>2165</v>
      </c>
    </row>
    <row r="637" spans="1:3" x14ac:dyDescent="0.25">
      <c r="A637" t="s">
        <v>2166</v>
      </c>
      <c r="B637" t="s">
        <v>845</v>
      </c>
      <c r="C637" t="s">
        <v>2167</v>
      </c>
    </row>
    <row r="638" spans="1:3" x14ac:dyDescent="0.25">
      <c r="A638" t="s">
        <v>2168</v>
      </c>
      <c r="B638" t="s">
        <v>845</v>
      </c>
      <c r="C638" t="s">
        <v>2169</v>
      </c>
    </row>
    <row r="639" spans="1:3" x14ac:dyDescent="0.25">
      <c r="A639" t="s">
        <v>2170</v>
      </c>
      <c r="B639" t="s">
        <v>845</v>
      </c>
      <c r="C639" t="s">
        <v>2171</v>
      </c>
    </row>
    <row r="640" spans="1:3" x14ac:dyDescent="0.25">
      <c r="A640" t="s">
        <v>2172</v>
      </c>
      <c r="B640" t="s">
        <v>846</v>
      </c>
      <c r="C640" t="s">
        <v>2173</v>
      </c>
    </row>
    <row r="641" spans="1:3" x14ac:dyDescent="0.25">
      <c r="A641" t="s">
        <v>2174</v>
      </c>
      <c r="B641" t="s">
        <v>846</v>
      </c>
      <c r="C641" t="s">
        <v>2175</v>
      </c>
    </row>
    <row r="642" spans="1:3" x14ac:dyDescent="0.25">
      <c r="A642" t="s">
        <v>2176</v>
      </c>
      <c r="B642" t="s">
        <v>845</v>
      </c>
      <c r="C642" t="s">
        <v>2177</v>
      </c>
    </row>
    <row r="643" spans="1:3" x14ac:dyDescent="0.25">
      <c r="A643" t="s">
        <v>2178</v>
      </c>
      <c r="B643" t="s">
        <v>845</v>
      </c>
      <c r="C643" t="s">
        <v>2179</v>
      </c>
    </row>
    <row r="644" spans="1:3" x14ac:dyDescent="0.25">
      <c r="A644" t="s">
        <v>2180</v>
      </c>
      <c r="B644" t="s">
        <v>845</v>
      </c>
      <c r="C644" t="s">
        <v>2181</v>
      </c>
    </row>
    <row r="645" spans="1:3" x14ac:dyDescent="0.25">
      <c r="A645" t="s">
        <v>2182</v>
      </c>
      <c r="B645" t="s">
        <v>846</v>
      </c>
      <c r="C645" t="s">
        <v>2183</v>
      </c>
    </row>
    <row r="646" spans="1:3" x14ac:dyDescent="0.25">
      <c r="A646" t="s">
        <v>2184</v>
      </c>
      <c r="B646" t="s">
        <v>845</v>
      </c>
      <c r="C646" t="s">
        <v>2185</v>
      </c>
    </row>
    <row r="647" spans="1:3" x14ac:dyDescent="0.25">
      <c r="A647" t="s">
        <v>2186</v>
      </c>
      <c r="B647" t="s">
        <v>845</v>
      </c>
      <c r="C647" t="s">
        <v>2187</v>
      </c>
    </row>
    <row r="648" spans="1:3" x14ac:dyDescent="0.25">
      <c r="A648" t="s">
        <v>2188</v>
      </c>
      <c r="B648" t="s">
        <v>846</v>
      </c>
      <c r="C648" t="s">
        <v>2189</v>
      </c>
    </row>
    <row r="649" spans="1:3" x14ac:dyDescent="0.25">
      <c r="A649" t="s">
        <v>2190</v>
      </c>
      <c r="B649" t="s">
        <v>846</v>
      </c>
      <c r="C649" t="s">
        <v>2191</v>
      </c>
    </row>
    <row r="650" spans="1:3" x14ac:dyDescent="0.25">
      <c r="A650" t="s">
        <v>2192</v>
      </c>
      <c r="B650" t="s">
        <v>845</v>
      </c>
      <c r="C650" t="s">
        <v>2193</v>
      </c>
    </row>
    <row r="651" spans="1:3" x14ac:dyDescent="0.25">
      <c r="A651" t="s">
        <v>2194</v>
      </c>
      <c r="B651" t="s">
        <v>846</v>
      </c>
      <c r="C651" t="s">
        <v>2195</v>
      </c>
    </row>
    <row r="652" spans="1:3" x14ac:dyDescent="0.25">
      <c r="A652" t="s">
        <v>2196</v>
      </c>
      <c r="B652" t="s">
        <v>845</v>
      </c>
      <c r="C652" t="s">
        <v>2197</v>
      </c>
    </row>
    <row r="653" spans="1:3" x14ac:dyDescent="0.25">
      <c r="A653" t="s">
        <v>2198</v>
      </c>
      <c r="B653" t="s">
        <v>845</v>
      </c>
      <c r="C653" t="s">
        <v>2199</v>
      </c>
    </row>
    <row r="654" spans="1:3" x14ac:dyDescent="0.25">
      <c r="A654" t="s">
        <v>2200</v>
      </c>
      <c r="B654" t="s">
        <v>845</v>
      </c>
      <c r="C654" t="s">
        <v>2201</v>
      </c>
    </row>
    <row r="655" spans="1:3" x14ac:dyDescent="0.25">
      <c r="A655" t="s">
        <v>2202</v>
      </c>
      <c r="B655" t="s">
        <v>845</v>
      </c>
      <c r="C655" t="s">
        <v>2203</v>
      </c>
    </row>
    <row r="656" spans="1:3" x14ac:dyDescent="0.25">
      <c r="A656" t="s">
        <v>2204</v>
      </c>
      <c r="B656" t="s">
        <v>845</v>
      </c>
      <c r="C656" t="s">
        <v>2205</v>
      </c>
    </row>
    <row r="657" spans="1:3" x14ac:dyDescent="0.25">
      <c r="A657" t="s">
        <v>2206</v>
      </c>
      <c r="B657" t="s">
        <v>845</v>
      </c>
      <c r="C657" t="s">
        <v>2207</v>
      </c>
    </row>
    <row r="658" spans="1:3" x14ac:dyDescent="0.25">
      <c r="A658" t="s">
        <v>2208</v>
      </c>
      <c r="B658" t="s">
        <v>846</v>
      </c>
      <c r="C658" t="s">
        <v>2209</v>
      </c>
    </row>
    <row r="659" spans="1:3" x14ac:dyDescent="0.25">
      <c r="A659" t="s">
        <v>2210</v>
      </c>
      <c r="B659" t="s">
        <v>845</v>
      </c>
      <c r="C659" t="s">
        <v>2211</v>
      </c>
    </row>
    <row r="660" spans="1:3" x14ac:dyDescent="0.25">
      <c r="A660" t="s">
        <v>2212</v>
      </c>
      <c r="B660" t="s">
        <v>845</v>
      </c>
      <c r="C660" t="s">
        <v>2213</v>
      </c>
    </row>
    <row r="661" spans="1:3" x14ac:dyDescent="0.25">
      <c r="A661" t="s">
        <v>2214</v>
      </c>
      <c r="B661" t="s">
        <v>845</v>
      </c>
      <c r="C661" t="s">
        <v>2215</v>
      </c>
    </row>
    <row r="662" spans="1:3" x14ac:dyDescent="0.25">
      <c r="A662" t="s">
        <v>2216</v>
      </c>
      <c r="B662" t="s">
        <v>846</v>
      </c>
      <c r="C662" t="s">
        <v>2217</v>
      </c>
    </row>
    <row r="663" spans="1:3" x14ac:dyDescent="0.25">
      <c r="A663" t="s">
        <v>2218</v>
      </c>
      <c r="B663" t="s">
        <v>845</v>
      </c>
      <c r="C663" t="s">
        <v>2219</v>
      </c>
    </row>
    <row r="664" spans="1:3" x14ac:dyDescent="0.25">
      <c r="A664" t="s">
        <v>2220</v>
      </c>
      <c r="B664" t="s">
        <v>846</v>
      </c>
      <c r="C664" t="s">
        <v>2221</v>
      </c>
    </row>
    <row r="665" spans="1:3" x14ac:dyDescent="0.25">
      <c r="A665" t="s">
        <v>2222</v>
      </c>
      <c r="B665" t="s">
        <v>845</v>
      </c>
      <c r="C665" t="s">
        <v>2223</v>
      </c>
    </row>
    <row r="666" spans="1:3" x14ac:dyDescent="0.25">
      <c r="A666" t="s">
        <v>2224</v>
      </c>
      <c r="B666" t="s">
        <v>846</v>
      </c>
      <c r="C666" t="s">
        <v>2225</v>
      </c>
    </row>
    <row r="667" spans="1:3" x14ac:dyDescent="0.25">
      <c r="A667" t="s">
        <v>2226</v>
      </c>
      <c r="B667" t="s">
        <v>846</v>
      </c>
      <c r="C667" t="s">
        <v>2227</v>
      </c>
    </row>
    <row r="668" spans="1:3" x14ac:dyDescent="0.25">
      <c r="A668" t="s">
        <v>2228</v>
      </c>
      <c r="B668" t="s">
        <v>845</v>
      </c>
      <c r="C668" t="s">
        <v>2229</v>
      </c>
    </row>
    <row r="669" spans="1:3" x14ac:dyDescent="0.25">
      <c r="A669" t="s">
        <v>2230</v>
      </c>
      <c r="B669" t="s">
        <v>845</v>
      </c>
      <c r="C669" t="s">
        <v>2231</v>
      </c>
    </row>
    <row r="670" spans="1:3" x14ac:dyDescent="0.25">
      <c r="A670" t="s">
        <v>2232</v>
      </c>
      <c r="B670" t="s">
        <v>845</v>
      </c>
      <c r="C670" t="s">
        <v>2233</v>
      </c>
    </row>
    <row r="671" spans="1:3" x14ac:dyDescent="0.25">
      <c r="A671" t="s">
        <v>2234</v>
      </c>
      <c r="B671" t="s">
        <v>845</v>
      </c>
      <c r="C671" t="s">
        <v>2235</v>
      </c>
    </row>
    <row r="672" spans="1:3" x14ac:dyDescent="0.25">
      <c r="A672" t="s">
        <v>2236</v>
      </c>
      <c r="B672" t="s">
        <v>846</v>
      </c>
      <c r="C672" t="s">
        <v>2237</v>
      </c>
    </row>
    <row r="673" spans="1:3" x14ac:dyDescent="0.25">
      <c r="A673" t="s">
        <v>2238</v>
      </c>
      <c r="B673" t="s">
        <v>846</v>
      </c>
      <c r="C673" t="s">
        <v>2239</v>
      </c>
    </row>
    <row r="674" spans="1:3" x14ac:dyDescent="0.25">
      <c r="A674" t="s">
        <v>2240</v>
      </c>
      <c r="B674" t="s">
        <v>845</v>
      </c>
      <c r="C674" t="s">
        <v>2241</v>
      </c>
    </row>
    <row r="675" spans="1:3" x14ac:dyDescent="0.25">
      <c r="A675" t="s">
        <v>2242</v>
      </c>
      <c r="B675" t="s">
        <v>846</v>
      </c>
      <c r="C675" t="s">
        <v>2243</v>
      </c>
    </row>
    <row r="676" spans="1:3" x14ac:dyDescent="0.25">
      <c r="A676" t="s">
        <v>2244</v>
      </c>
      <c r="B676" t="s">
        <v>845</v>
      </c>
      <c r="C676" t="s">
        <v>2245</v>
      </c>
    </row>
    <row r="677" spans="1:3" x14ac:dyDescent="0.25">
      <c r="A677" t="s">
        <v>2246</v>
      </c>
      <c r="B677" t="s">
        <v>845</v>
      </c>
      <c r="C677" t="s">
        <v>2247</v>
      </c>
    </row>
    <row r="678" spans="1:3" x14ac:dyDescent="0.25">
      <c r="A678" t="s">
        <v>2248</v>
      </c>
      <c r="B678" t="s">
        <v>845</v>
      </c>
      <c r="C678" t="s">
        <v>2249</v>
      </c>
    </row>
    <row r="679" spans="1:3" x14ac:dyDescent="0.25">
      <c r="A679" t="s">
        <v>2250</v>
      </c>
      <c r="B679" t="s">
        <v>845</v>
      </c>
      <c r="C679" t="s">
        <v>2251</v>
      </c>
    </row>
    <row r="680" spans="1:3" x14ac:dyDescent="0.25">
      <c r="A680" t="s">
        <v>2252</v>
      </c>
      <c r="B680" t="s">
        <v>846</v>
      </c>
      <c r="C680" t="s">
        <v>2253</v>
      </c>
    </row>
    <row r="681" spans="1:3" x14ac:dyDescent="0.25">
      <c r="A681" t="s">
        <v>2254</v>
      </c>
      <c r="B681" t="s">
        <v>845</v>
      </c>
      <c r="C681" t="s">
        <v>2255</v>
      </c>
    </row>
    <row r="682" spans="1:3" x14ac:dyDescent="0.25">
      <c r="A682" t="s">
        <v>2256</v>
      </c>
      <c r="B682" t="s">
        <v>846</v>
      </c>
      <c r="C682" t="s">
        <v>2257</v>
      </c>
    </row>
    <row r="683" spans="1:3" x14ac:dyDescent="0.25">
      <c r="A683" t="s">
        <v>2258</v>
      </c>
      <c r="B683" t="s">
        <v>846</v>
      </c>
      <c r="C683" t="s">
        <v>2259</v>
      </c>
    </row>
    <row r="684" spans="1:3" x14ac:dyDescent="0.25">
      <c r="A684" t="s">
        <v>2260</v>
      </c>
      <c r="B684" t="s">
        <v>846</v>
      </c>
      <c r="C684" t="s">
        <v>2261</v>
      </c>
    </row>
    <row r="685" spans="1:3" x14ac:dyDescent="0.25">
      <c r="A685" t="s">
        <v>2262</v>
      </c>
      <c r="B685" t="s">
        <v>845</v>
      </c>
      <c r="C685" t="s">
        <v>2263</v>
      </c>
    </row>
    <row r="686" spans="1:3" x14ac:dyDescent="0.25">
      <c r="A686" t="s">
        <v>2264</v>
      </c>
      <c r="B686" t="s">
        <v>845</v>
      </c>
      <c r="C686" t="s">
        <v>2265</v>
      </c>
    </row>
    <row r="687" spans="1:3" x14ac:dyDescent="0.25">
      <c r="A687" t="s">
        <v>2266</v>
      </c>
      <c r="B687" t="s">
        <v>845</v>
      </c>
      <c r="C687" t="s">
        <v>2267</v>
      </c>
    </row>
    <row r="688" spans="1:3" x14ac:dyDescent="0.25">
      <c r="A688" t="s">
        <v>2268</v>
      </c>
      <c r="B688" t="s">
        <v>846</v>
      </c>
      <c r="C688" t="s">
        <v>2269</v>
      </c>
    </row>
    <row r="689" spans="1:3" x14ac:dyDescent="0.25">
      <c r="A689" t="s">
        <v>2270</v>
      </c>
      <c r="B689" t="s">
        <v>846</v>
      </c>
      <c r="C689" t="s">
        <v>2271</v>
      </c>
    </row>
    <row r="690" spans="1:3" x14ac:dyDescent="0.25">
      <c r="A690" t="s">
        <v>2272</v>
      </c>
      <c r="B690" t="s">
        <v>845</v>
      </c>
      <c r="C690" t="s">
        <v>2273</v>
      </c>
    </row>
    <row r="691" spans="1:3" x14ac:dyDescent="0.25">
      <c r="A691" t="s">
        <v>2274</v>
      </c>
      <c r="B691" t="s">
        <v>845</v>
      </c>
      <c r="C691" t="s">
        <v>2275</v>
      </c>
    </row>
    <row r="692" spans="1:3" x14ac:dyDescent="0.25">
      <c r="A692" t="s">
        <v>2276</v>
      </c>
      <c r="B692" t="s">
        <v>846</v>
      </c>
      <c r="C692" t="s">
        <v>2277</v>
      </c>
    </row>
    <row r="693" spans="1:3" x14ac:dyDescent="0.25">
      <c r="A693" t="s">
        <v>2278</v>
      </c>
      <c r="B693" t="s">
        <v>846</v>
      </c>
      <c r="C693" t="s">
        <v>2279</v>
      </c>
    </row>
    <row r="694" spans="1:3" x14ac:dyDescent="0.25">
      <c r="A694" t="s">
        <v>2280</v>
      </c>
      <c r="B694" t="s">
        <v>846</v>
      </c>
      <c r="C694" t="s">
        <v>2281</v>
      </c>
    </row>
    <row r="695" spans="1:3" x14ac:dyDescent="0.25">
      <c r="A695" t="s">
        <v>2282</v>
      </c>
      <c r="B695" t="s">
        <v>846</v>
      </c>
      <c r="C695" t="s">
        <v>2283</v>
      </c>
    </row>
    <row r="696" spans="1:3" x14ac:dyDescent="0.25">
      <c r="A696" t="s">
        <v>2284</v>
      </c>
      <c r="B696" t="s">
        <v>845</v>
      </c>
      <c r="C696" t="s">
        <v>2285</v>
      </c>
    </row>
    <row r="697" spans="1:3" x14ac:dyDescent="0.25">
      <c r="A697" t="s">
        <v>2286</v>
      </c>
      <c r="B697" t="s">
        <v>846</v>
      </c>
      <c r="C697" t="s">
        <v>2287</v>
      </c>
    </row>
    <row r="698" spans="1:3" x14ac:dyDescent="0.25">
      <c r="A698" t="s">
        <v>2288</v>
      </c>
      <c r="B698" t="s">
        <v>846</v>
      </c>
      <c r="C698" t="s">
        <v>2289</v>
      </c>
    </row>
    <row r="699" spans="1:3" x14ac:dyDescent="0.25">
      <c r="A699" t="s">
        <v>2290</v>
      </c>
      <c r="B699" t="s">
        <v>845</v>
      </c>
      <c r="C699" t="s">
        <v>2291</v>
      </c>
    </row>
    <row r="700" spans="1:3" x14ac:dyDescent="0.25">
      <c r="A700" t="s">
        <v>2292</v>
      </c>
      <c r="B700" t="s">
        <v>845</v>
      </c>
      <c r="C700" t="s">
        <v>2293</v>
      </c>
    </row>
    <row r="701" spans="1:3" x14ac:dyDescent="0.25">
      <c r="A701" t="s">
        <v>2294</v>
      </c>
      <c r="B701" t="s">
        <v>846</v>
      </c>
      <c r="C701" t="s">
        <v>2295</v>
      </c>
    </row>
    <row r="702" spans="1:3" x14ac:dyDescent="0.25">
      <c r="A702" t="s">
        <v>2296</v>
      </c>
      <c r="B702" t="s">
        <v>845</v>
      </c>
      <c r="C702" t="s">
        <v>2297</v>
      </c>
    </row>
    <row r="703" spans="1:3" x14ac:dyDescent="0.25">
      <c r="A703" t="s">
        <v>2298</v>
      </c>
      <c r="B703" t="s">
        <v>846</v>
      </c>
      <c r="C703" t="s">
        <v>2299</v>
      </c>
    </row>
    <row r="704" spans="1:3" x14ac:dyDescent="0.25">
      <c r="A704" t="s">
        <v>2300</v>
      </c>
      <c r="B704" t="s">
        <v>845</v>
      </c>
      <c r="C704" t="s">
        <v>2301</v>
      </c>
    </row>
  </sheetData>
  <sheetProtection algorithmName="SHA-512" hashValue="FlFcYyEMBAsZPVMZQUerVQBaols2a+jqj6RBbea62EUocriq93ip6H+kmTH0CX0IeQZKH5srU2a/O/pSMGFUTQ==" saltValue="/p+yvub3dqKgkl/6ZTRyRA==" spinCount="100000" sheet="1" objects="1" scenarios="1"/>
  <mergeCells count="2">
    <mergeCell ref="A1:C1"/>
    <mergeCell ref="A3:C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14999847407452621"/>
  </sheetPr>
  <dimension ref="A1:AF6"/>
  <sheetViews>
    <sheetView workbookViewId="0">
      <selection activeCell="F6" sqref="F6"/>
    </sheetView>
  </sheetViews>
  <sheetFormatPr baseColWidth="10" defaultColWidth="9.140625" defaultRowHeight="14.25" x14ac:dyDescent="0.2"/>
  <cols>
    <col min="1" max="1" width="13.85546875" style="451" customWidth="1"/>
    <col min="2" max="2" width="16.42578125" style="451" bestFit="1" customWidth="1"/>
    <col min="3" max="20" width="13.85546875" style="451" customWidth="1"/>
    <col min="21" max="21" width="30.5703125" style="451" bestFit="1" customWidth="1"/>
    <col min="22" max="31" width="13.85546875" style="451" customWidth="1"/>
    <col min="32" max="32" width="14.28515625" style="451" bestFit="1" customWidth="1"/>
    <col min="33" max="16384" width="9.140625" style="451"/>
  </cols>
  <sheetData>
    <row r="1" spans="1:32" ht="15" x14ac:dyDescent="0.25">
      <c r="A1" s="459" t="s">
        <v>2811</v>
      </c>
    </row>
    <row r="2" spans="1:32" x14ac:dyDescent="0.2">
      <c r="A2" s="543" t="s">
        <v>4951</v>
      </c>
    </row>
    <row r="3" spans="1:32" ht="15" x14ac:dyDescent="0.25">
      <c r="S3" s="460" t="s">
        <v>2799</v>
      </c>
      <c r="Y3" s="521" t="s">
        <v>4947</v>
      </c>
      <c r="Z3" s="541" t="s">
        <v>2797</v>
      </c>
      <c r="AA3" s="541" t="s">
        <v>2797</v>
      </c>
      <c r="AE3" s="500" t="s">
        <v>2800</v>
      </c>
      <c r="AF3" s="500" t="s">
        <v>4948</v>
      </c>
    </row>
    <row r="4" spans="1:32" x14ac:dyDescent="0.2">
      <c r="A4" s="312"/>
      <c r="B4" s="1114" t="s">
        <v>857</v>
      </c>
      <c r="C4" s="1114"/>
      <c r="D4" s="1114"/>
      <c r="E4" s="1114"/>
      <c r="F4" s="1114"/>
      <c r="G4" s="1114"/>
      <c r="H4" s="1114"/>
      <c r="I4" s="1114"/>
      <c r="J4" s="1114"/>
      <c r="K4" s="1114"/>
      <c r="L4" s="1115" t="s">
        <v>32</v>
      </c>
      <c r="M4" s="1115"/>
      <c r="N4" s="1115"/>
      <c r="O4" s="1115" t="s">
        <v>858</v>
      </c>
      <c r="P4" s="1115"/>
      <c r="Q4" s="1115"/>
      <c r="R4" s="1116" t="s">
        <v>859</v>
      </c>
      <c r="S4" s="1116"/>
      <c r="T4" s="1116"/>
      <c r="U4" s="1116"/>
      <c r="V4" s="1116"/>
      <c r="W4" s="1116"/>
      <c r="X4" s="1116"/>
      <c r="Y4" s="518"/>
      <c r="Z4" s="518"/>
      <c r="AA4" s="518"/>
      <c r="AB4" s="1117" t="s">
        <v>173</v>
      </c>
      <c r="AC4" s="1117"/>
      <c r="AD4" s="448"/>
      <c r="AE4" s="449"/>
      <c r="AF4" s="449"/>
    </row>
    <row r="5" spans="1:32" ht="76.5" x14ac:dyDescent="0.2">
      <c r="A5" s="313" t="s">
        <v>860</v>
      </c>
      <c r="B5" s="314" t="s">
        <v>861</v>
      </c>
      <c r="C5" s="315" t="s">
        <v>862</v>
      </c>
      <c r="D5" s="315" t="s">
        <v>863</v>
      </c>
      <c r="E5" s="314" t="s">
        <v>864</v>
      </c>
      <c r="F5" s="315" t="s">
        <v>865</v>
      </c>
      <c r="G5" s="315" t="s">
        <v>866</v>
      </c>
      <c r="H5" s="315" t="s">
        <v>867</v>
      </c>
      <c r="I5" s="316" t="s">
        <v>868</v>
      </c>
      <c r="J5" s="315" t="s">
        <v>869</v>
      </c>
      <c r="K5" s="315" t="s">
        <v>870</v>
      </c>
      <c r="L5" s="317" t="s">
        <v>871</v>
      </c>
      <c r="M5" s="317" t="s">
        <v>872</v>
      </c>
      <c r="N5" s="317" t="s">
        <v>873</v>
      </c>
      <c r="O5" s="317" t="s">
        <v>874</v>
      </c>
      <c r="P5" s="317" t="s">
        <v>875</v>
      </c>
      <c r="Q5" s="317" t="s">
        <v>876</v>
      </c>
      <c r="R5" s="318" t="s">
        <v>877</v>
      </c>
      <c r="S5" s="319" t="s">
        <v>878</v>
      </c>
      <c r="T5" s="320" t="s">
        <v>879</v>
      </c>
      <c r="U5" s="319" t="s">
        <v>880</v>
      </c>
      <c r="V5" s="319" t="s">
        <v>881</v>
      </c>
      <c r="W5" s="319" t="s">
        <v>882</v>
      </c>
      <c r="X5" s="319" t="s">
        <v>883</v>
      </c>
      <c r="Y5" s="542" t="s">
        <v>4949</v>
      </c>
      <c r="Z5" s="319" t="s">
        <v>4891</v>
      </c>
      <c r="AA5" s="319" t="s">
        <v>4892</v>
      </c>
      <c r="AB5" s="321" t="s">
        <v>884</v>
      </c>
      <c r="AC5" s="322" t="s">
        <v>885</v>
      </c>
      <c r="AD5" s="323" t="s">
        <v>886</v>
      </c>
      <c r="AE5" s="450" t="s">
        <v>2798</v>
      </c>
      <c r="AF5" s="319" t="s">
        <v>4950</v>
      </c>
    </row>
    <row r="6" spans="1:32" x14ac:dyDescent="0.2">
      <c r="A6" s="451">
        <f>IFERROR(Identification!F16,"Inconnu")</f>
        <v>0</v>
      </c>
      <c r="B6" s="452">
        <f>IFERROR(Identification!F36,"Inconnu")</f>
        <v>0</v>
      </c>
      <c r="C6" s="452">
        <f>IFERROR(Identification!F34,"Inconnu")</f>
        <v>0</v>
      </c>
      <c r="D6" s="452" t="str">
        <f>IFERROR(Identification!F43 &amp; " " &amp; Identification!F45,"Inconnu")</f>
        <v xml:space="preserve"> </v>
      </c>
      <c r="E6" s="452">
        <f>IFERROR(Identification!F47,"Inconnu")</f>
        <v>0</v>
      </c>
      <c r="F6" s="451" t="str">
        <f>IFERROR(Identification!R36,"Inconnu")</f>
        <v/>
      </c>
      <c r="G6" s="451">
        <f>IFERROR(Identification!R32,"Inconnu")</f>
        <v>0</v>
      </c>
      <c r="H6" s="451">
        <f>IFERROR(Identification!F49,"Inconnu")</f>
        <v>0</v>
      </c>
      <c r="I6" s="451">
        <f>IFERROR(Identification!R43,"Inconnu")</f>
        <v>0</v>
      </c>
      <c r="J6" s="451">
        <f>IFERROR(Identification!R45,"Inconnu")</f>
        <v>0</v>
      </c>
      <c r="K6" s="451">
        <f>IFERROR(Identification!R47,"Inconnu")</f>
        <v>0</v>
      </c>
      <c r="L6" s="451">
        <f>IFERROR(Identification!T61,"Inconnu")</f>
        <v>0</v>
      </c>
      <c r="M6" s="451">
        <f>IFERROR(Identification!T63,"Inconnu")</f>
        <v>0</v>
      </c>
      <c r="N6" s="451">
        <f>IFERROR(Identification!T65,"Inconnu")</f>
        <v>0</v>
      </c>
      <c r="O6" s="451">
        <f>IFERROR(Identification!H61,"Inconnu")</f>
        <v>0</v>
      </c>
      <c r="P6" s="451">
        <f>IFERROR(Identification!H63,"Inconnu")</f>
        <v>0</v>
      </c>
      <c r="Q6" s="451">
        <f>IFERROR(Identification!H65,"Inconnu")</f>
        <v>0</v>
      </c>
      <c r="R6" s="451" t="s">
        <v>891</v>
      </c>
      <c r="S6" s="461" t="s">
        <v>2803</v>
      </c>
      <c r="T6" s="451">
        <f>IFERROR(Surfaces!O22,"Inconnu")</f>
        <v>0</v>
      </c>
      <c r="U6" s="451">
        <f>Identification!F12</f>
        <v>0</v>
      </c>
      <c r="V6" s="451">
        <f>IFERROR(Identification!R16,"Inconnu")</f>
        <v>0</v>
      </c>
      <c r="W6" s="451">
        <f>IFERROR(Identification!F81,"Inconnu")</f>
        <v>0</v>
      </c>
      <c r="X6" s="451">
        <f>IFERROR(Identification!G86,"Inconnu")</f>
        <v>0</v>
      </c>
      <c r="AB6" s="451">
        <f>IFERROR(Identification!F72,"Inconnu")</f>
        <v>0</v>
      </c>
      <c r="AC6" s="451">
        <f>IFERROR(Identification!V49,"Inconnu")</f>
        <v>0</v>
      </c>
      <c r="AE6" s="451" t="s">
        <v>2801</v>
      </c>
    </row>
  </sheetData>
  <sheetProtection algorithmName="SHA-512" hashValue="F9e7oheBLEeJxMEZ7JokuajfK4gqByEetmxFjOQV+mPb/KGhzsfnu2PXYOdIYDJBkFrGUjrFTjr0bwaC7Mg9YA==" saltValue="L9/iG2FTWzopETcoeyhIdQ==" spinCount="100000" sheet="1" objects="1" scenarios="1"/>
  <mergeCells count="5">
    <mergeCell ref="B4:K4"/>
    <mergeCell ref="L4:N4"/>
    <mergeCell ref="O4:Q4"/>
    <mergeCell ref="R4:X4"/>
    <mergeCell ref="AB4:AC4"/>
  </mergeCells>
  <conditionalFormatting sqref="B5">
    <cfRule type="duplicateValues" dxfId="2" priority="1"/>
  </conditionalFormatting>
  <pageMargins left="0.7" right="0.7" top="0.75" bottom="0.75" header="0.3" footer="0.3"/>
  <pageSetup paperSize="9" orientation="portrait" r:id="rId1"/>
  <ignoredErrors>
    <ignoredError sqref="D6"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0.14999847407452621"/>
  </sheetPr>
  <dimension ref="A1:HK6"/>
  <sheetViews>
    <sheetView zoomScale="115" zoomScaleNormal="115" workbookViewId="0">
      <selection activeCell="FO6" sqref="FO6"/>
    </sheetView>
  </sheetViews>
  <sheetFormatPr baseColWidth="10" defaultColWidth="11.42578125" defaultRowHeight="11.25" x14ac:dyDescent="0.2"/>
  <cols>
    <col min="1" max="1" width="3" style="431" customWidth="1"/>
    <col min="2" max="4" width="14.7109375" style="431" customWidth="1"/>
    <col min="5" max="8" width="12.7109375" style="431" customWidth="1"/>
    <col min="9" max="9" width="14.7109375" style="431" customWidth="1"/>
    <col min="10" max="10" width="23.7109375" style="431" customWidth="1"/>
    <col min="11" max="24" width="14.7109375" style="431" customWidth="1"/>
    <col min="25" max="25" width="23.7109375" style="431" customWidth="1"/>
    <col min="26" max="26" width="16" style="431" customWidth="1"/>
    <col min="27" max="30" width="12.7109375" style="431" customWidth="1"/>
    <col min="31" max="31" width="26.28515625" style="431" customWidth="1"/>
    <col min="32" max="217" width="11.42578125" style="431"/>
    <col min="218" max="218" width="16.85546875" style="431" customWidth="1"/>
    <col min="219" max="219" width="20.42578125" style="431" customWidth="1"/>
    <col min="220" max="16384" width="11.42578125" style="431"/>
  </cols>
  <sheetData>
    <row r="1" spans="1:219" ht="15" x14ac:dyDescent="0.25">
      <c r="A1" s="120" t="s">
        <v>2812</v>
      </c>
    </row>
    <row r="2" spans="1:219" x14ac:dyDescent="0.2">
      <c r="Z2" s="521" t="s">
        <v>4883</v>
      </c>
      <c r="AA2" s="468" t="s">
        <v>2797</v>
      </c>
      <c r="AB2" s="468" t="s">
        <v>2797</v>
      </c>
      <c r="AE2" s="468"/>
      <c r="HJ2" s="467" t="s">
        <v>2797</v>
      </c>
      <c r="HK2" s="467"/>
    </row>
    <row r="3" spans="1:219" s="439" customFormat="1" ht="15" customHeight="1" x14ac:dyDescent="0.2">
      <c r="B3" s="1118" t="s">
        <v>2806</v>
      </c>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20"/>
      <c r="AF3" s="1128" t="s">
        <v>2770</v>
      </c>
      <c r="AG3" s="1129"/>
      <c r="AH3" s="1129"/>
      <c r="AI3" s="1129"/>
      <c r="AJ3" s="1129"/>
      <c r="AK3" s="1129"/>
      <c r="AL3" s="1129"/>
      <c r="AM3" s="1129"/>
      <c r="AN3" s="1129"/>
      <c r="AO3" s="1129"/>
      <c r="AP3" s="1129"/>
      <c r="AQ3" s="519"/>
      <c r="AR3" s="519"/>
      <c r="AS3" s="1129" t="s">
        <v>2778</v>
      </c>
      <c r="AT3" s="1129"/>
      <c r="AU3" s="1129"/>
      <c r="AV3" s="1129"/>
      <c r="AW3" s="1129"/>
      <c r="AX3" s="1129"/>
      <c r="AY3" s="1129"/>
      <c r="AZ3" s="1129"/>
      <c r="BA3" s="1129"/>
      <c r="BB3" s="1129"/>
      <c r="BC3" s="1129"/>
      <c r="BD3" s="1129"/>
      <c r="BE3" s="1129"/>
      <c r="BF3" s="1129"/>
      <c r="BG3" s="1130" t="s">
        <v>2622</v>
      </c>
      <c r="BH3" s="1130"/>
      <c r="BI3" s="1130"/>
      <c r="BJ3" s="1130"/>
      <c r="BK3" s="1130"/>
      <c r="BL3" s="1130"/>
      <c r="BM3" s="1130"/>
      <c r="BN3" s="1130"/>
      <c r="BO3" s="1130"/>
      <c r="BP3" s="1130"/>
      <c r="BQ3" s="1130"/>
      <c r="BR3" s="1130"/>
      <c r="BS3" s="1130"/>
      <c r="BT3" s="1130"/>
      <c r="BU3" s="1130"/>
      <c r="BV3" s="1130"/>
      <c r="BW3" s="1130"/>
      <c r="BX3" s="1130"/>
      <c r="BY3" s="1130"/>
      <c r="BZ3" s="1130"/>
      <c r="CA3" s="1130"/>
      <c r="CB3" s="1130"/>
      <c r="CC3" s="1130"/>
      <c r="CD3" s="1130"/>
      <c r="CE3" s="1130"/>
      <c r="CF3" s="1130"/>
      <c r="CG3" s="1130"/>
      <c r="CH3" s="1130"/>
      <c r="CI3" s="1130"/>
      <c r="CJ3" s="1130"/>
      <c r="CK3" s="1130"/>
      <c r="CL3" s="1130"/>
      <c r="CM3" s="1130"/>
      <c r="CN3" s="1130"/>
      <c r="CO3" s="1130"/>
      <c r="CP3" s="1130"/>
      <c r="CQ3" s="1130"/>
      <c r="CR3" s="1130"/>
      <c r="CS3" s="1130"/>
      <c r="CT3" s="1130"/>
      <c r="CU3" s="1130"/>
      <c r="CV3" s="1130"/>
      <c r="CW3" s="1130"/>
      <c r="CX3" s="1141" t="s">
        <v>2662</v>
      </c>
      <c r="CY3" s="1141"/>
      <c r="CZ3" s="1141"/>
      <c r="DA3" s="1141"/>
      <c r="DB3" s="1141"/>
      <c r="DC3" s="1141"/>
      <c r="DD3" s="1141"/>
      <c r="DE3" s="1141"/>
      <c r="DF3" s="1141"/>
      <c r="DG3" s="1141"/>
      <c r="DH3" s="1141"/>
      <c r="DI3" s="1141"/>
      <c r="DJ3" s="1141"/>
      <c r="DK3" s="1141"/>
      <c r="DL3" s="1141"/>
      <c r="DM3" s="1141"/>
      <c r="DN3" s="1141"/>
      <c r="DO3" s="1141"/>
      <c r="DP3" s="1141"/>
      <c r="DQ3" s="1141"/>
      <c r="DR3" s="1141"/>
      <c r="DS3" s="1141"/>
      <c r="DT3" s="1141"/>
      <c r="DU3" s="1141"/>
      <c r="DV3" s="1141"/>
      <c r="DW3" s="1141"/>
      <c r="DX3" s="1141"/>
      <c r="DY3" s="1141"/>
      <c r="DZ3" s="1141"/>
      <c r="EA3" s="1141"/>
      <c r="EB3" s="1141"/>
      <c r="EC3" s="1141"/>
      <c r="ED3" s="1141"/>
      <c r="EE3" s="1141"/>
      <c r="EF3" s="1141"/>
      <c r="EG3" s="1141"/>
      <c r="EH3" s="1141"/>
      <c r="EI3" s="1141"/>
      <c r="EJ3" s="1141"/>
      <c r="EK3" s="1141"/>
      <c r="EL3" s="1141"/>
      <c r="EM3" s="1141"/>
      <c r="EN3" s="1141"/>
      <c r="EO3" s="1141"/>
      <c r="EP3" s="1141"/>
      <c r="EQ3" s="1141"/>
      <c r="ER3" s="1141"/>
      <c r="ES3" s="1141"/>
      <c r="ET3" s="1141"/>
      <c r="EU3" s="1141"/>
      <c r="EV3" s="1141"/>
      <c r="EW3" s="1141"/>
      <c r="EX3" s="1141"/>
      <c r="EY3" s="1141"/>
      <c r="EZ3" s="1141"/>
      <c r="FA3" s="1141"/>
      <c r="FB3" s="1141"/>
      <c r="FC3" s="1141"/>
      <c r="FD3" s="1142" t="s">
        <v>2718</v>
      </c>
      <c r="FE3" s="1142"/>
      <c r="FF3" s="1142"/>
      <c r="FG3" s="1142"/>
      <c r="FH3" s="1142"/>
      <c r="FI3" s="1142"/>
      <c r="FJ3" s="1142"/>
      <c r="FK3" s="1142"/>
      <c r="FL3" s="1142"/>
      <c r="FM3" s="1142"/>
      <c r="FN3" s="1142"/>
      <c r="FO3" s="1142"/>
      <c r="FP3" s="1142"/>
      <c r="FQ3" s="1142"/>
      <c r="FR3" s="1142"/>
      <c r="FS3" s="1142"/>
      <c r="FT3" s="1142"/>
      <c r="FU3" s="1142"/>
      <c r="FV3" s="1142"/>
      <c r="FW3" s="1142"/>
      <c r="FX3" s="1142"/>
      <c r="FY3" s="1142"/>
      <c r="FZ3" s="1142"/>
      <c r="GA3" s="1142"/>
      <c r="GB3" s="1142"/>
      <c r="GC3" s="1142"/>
      <c r="GD3" s="1142"/>
      <c r="GE3" s="1142"/>
      <c r="GF3" s="1142"/>
      <c r="GG3" s="1142"/>
      <c r="GH3" s="1142"/>
      <c r="GI3" s="1142"/>
      <c r="GJ3" s="1142"/>
      <c r="GK3" s="1142"/>
      <c r="GL3" s="1142"/>
      <c r="GM3" s="1142"/>
      <c r="GN3" s="1140" t="s">
        <v>2750</v>
      </c>
      <c r="GO3" s="1140"/>
      <c r="GP3" s="1140"/>
      <c r="GQ3" s="1140"/>
      <c r="GR3" s="1140"/>
      <c r="GS3" s="1140"/>
      <c r="GT3" s="1140"/>
      <c r="GU3" s="1140"/>
      <c r="GV3" s="1140"/>
      <c r="GW3" s="1140"/>
      <c r="GX3" s="1140"/>
      <c r="GY3" s="1140"/>
      <c r="GZ3" s="1140"/>
      <c r="HA3" s="1140"/>
      <c r="HB3" s="1140"/>
      <c r="HC3" s="1140"/>
      <c r="HD3" s="1140"/>
      <c r="HE3" s="1140"/>
      <c r="HF3" s="1140"/>
      <c r="HG3" s="1140"/>
      <c r="HH3" s="1140"/>
      <c r="HI3" s="1140"/>
      <c r="HJ3" s="1138" t="s">
        <v>2802</v>
      </c>
      <c r="HK3" s="1138" t="s">
        <v>2872</v>
      </c>
    </row>
    <row r="4" spans="1:219" s="439" customFormat="1" x14ac:dyDescent="0.2">
      <c r="B4" s="1121" t="s">
        <v>2805</v>
      </c>
      <c r="C4" s="1122"/>
      <c r="D4" s="1122"/>
      <c r="E4" s="1122"/>
      <c r="F4" s="1122"/>
      <c r="G4" s="1122"/>
      <c r="H4" s="1123"/>
      <c r="I4" s="1121" t="s">
        <v>857</v>
      </c>
      <c r="J4" s="1122"/>
      <c r="K4" s="1122"/>
      <c r="L4" s="1122"/>
      <c r="M4" s="1122"/>
      <c r="N4" s="1122"/>
      <c r="O4" s="1122"/>
      <c r="P4" s="1122"/>
      <c r="Q4" s="1122"/>
      <c r="R4" s="1123"/>
      <c r="S4" s="523"/>
      <c r="T4" s="523"/>
      <c r="U4" s="523"/>
      <c r="V4" s="523"/>
      <c r="W4" s="523"/>
      <c r="X4" s="1121"/>
      <c r="Y4" s="1123"/>
      <c r="Z4" s="523"/>
      <c r="AA4" s="523"/>
      <c r="AB4" s="523"/>
      <c r="AC4" s="1121" t="s">
        <v>173</v>
      </c>
      <c r="AD4" s="1122"/>
      <c r="AE4" s="1123"/>
      <c r="AF4" s="1132" t="s">
        <v>2771</v>
      </c>
      <c r="AG4" s="1133"/>
      <c r="AH4" s="1133"/>
      <c r="AI4" s="1133"/>
      <c r="AJ4" s="1133"/>
      <c r="AK4" s="1134" t="s">
        <v>2776</v>
      </c>
      <c r="AL4" s="1134"/>
      <c r="AM4" s="1134"/>
      <c r="AN4" s="1133" t="s">
        <v>2777</v>
      </c>
      <c r="AO4" s="1133"/>
      <c r="AP4" s="1133"/>
      <c r="AQ4" s="1135" t="s">
        <v>4884</v>
      </c>
      <c r="AR4" s="1135"/>
      <c r="AS4" s="1135" t="s">
        <v>2779</v>
      </c>
      <c r="AT4" s="1135"/>
      <c r="AU4" s="1133" t="s">
        <v>2781</v>
      </c>
      <c r="AV4" s="1133"/>
      <c r="AW4" s="1133"/>
      <c r="AX4" s="1133"/>
      <c r="AY4" s="1133"/>
      <c r="AZ4" s="1133"/>
      <c r="BA4" s="1133"/>
      <c r="BB4" s="1133"/>
      <c r="BC4" s="1133"/>
      <c r="BD4" s="1133"/>
      <c r="BE4" s="1133"/>
      <c r="BF4" s="1133"/>
      <c r="BG4" s="1136" t="s">
        <v>2661</v>
      </c>
      <c r="BH4" s="1136"/>
      <c r="BI4" s="1136"/>
      <c r="BJ4" s="1136"/>
      <c r="BK4" s="1136"/>
      <c r="BL4" s="1136"/>
      <c r="BM4" s="1136"/>
      <c r="BN4" s="1136"/>
      <c r="BO4" s="1136"/>
      <c r="BP4" s="1136"/>
      <c r="BQ4" s="1136"/>
      <c r="BR4" s="1136"/>
      <c r="BS4" s="1136"/>
      <c r="BT4" s="1136"/>
      <c r="BU4" s="1136"/>
      <c r="BV4" s="1136"/>
      <c r="BW4" s="1136"/>
      <c r="BX4" s="1136"/>
      <c r="BY4" s="1136"/>
      <c r="BZ4" s="1136"/>
      <c r="CA4" s="1136"/>
      <c r="CB4" s="1136"/>
      <c r="CC4" s="1136"/>
      <c r="CD4" s="1136"/>
      <c r="CE4" s="1131" t="s">
        <v>2660</v>
      </c>
      <c r="CF4" s="1131"/>
      <c r="CG4" s="1131"/>
      <c r="CH4" s="1131"/>
      <c r="CI4" s="1136" t="s">
        <v>2659</v>
      </c>
      <c r="CJ4" s="1136"/>
      <c r="CK4" s="1136"/>
      <c r="CL4" s="1131" t="s">
        <v>2658</v>
      </c>
      <c r="CM4" s="1131"/>
      <c r="CN4" s="1136" t="s">
        <v>2657</v>
      </c>
      <c r="CO4" s="1136"/>
      <c r="CP4" s="1131" t="s">
        <v>2656</v>
      </c>
      <c r="CQ4" s="1131"/>
      <c r="CR4" s="1136" t="s">
        <v>2653</v>
      </c>
      <c r="CS4" s="1136"/>
      <c r="CT4" s="1136"/>
      <c r="CU4" s="1131" t="s">
        <v>2654</v>
      </c>
      <c r="CV4" s="1131"/>
      <c r="CW4" s="1131"/>
      <c r="CX4" s="1139" t="s">
        <v>2663</v>
      </c>
      <c r="CY4" s="1139"/>
      <c r="CZ4" s="1139"/>
      <c r="DA4" s="1139"/>
      <c r="DB4" s="1137" t="s">
        <v>2667</v>
      </c>
      <c r="DC4" s="1137"/>
      <c r="DD4" s="1137"/>
      <c r="DE4" s="1137"/>
      <c r="DF4" s="1137"/>
      <c r="DG4" s="1139" t="s">
        <v>2670</v>
      </c>
      <c r="DH4" s="1139"/>
      <c r="DI4" s="1139"/>
      <c r="DJ4" s="1139"/>
      <c r="DK4" s="1139"/>
      <c r="DL4" s="1139"/>
      <c r="DM4" s="1139"/>
      <c r="DN4" s="1139"/>
      <c r="DO4" s="1139"/>
      <c r="DP4" s="1139"/>
      <c r="DQ4" s="1139"/>
      <c r="DR4" s="1139"/>
      <c r="DS4" s="1139"/>
      <c r="DT4" s="1139"/>
      <c r="DU4" s="1139"/>
      <c r="DV4" s="1137" t="s">
        <v>2733</v>
      </c>
      <c r="DW4" s="1137"/>
      <c r="DX4" s="1139" t="s">
        <v>2687</v>
      </c>
      <c r="DY4" s="1139"/>
      <c r="DZ4" s="1139"/>
      <c r="EA4" s="1139"/>
      <c r="EB4" s="1139"/>
      <c r="EC4" s="1139"/>
      <c r="ED4" s="1137" t="s">
        <v>2694</v>
      </c>
      <c r="EE4" s="1137"/>
      <c r="EF4" s="1137"/>
      <c r="EG4" s="1137"/>
      <c r="EH4" s="1137"/>
      <c r="EI4" s="1139" t="s">
        <v>2697</v>
      </c>
      <c r="EJ4" s="1139"/>
      <c r="EK4" s="1137" t="s">
        <v>2717</v>
      </c>
      <c r="EL4" s="1137"/>
      <c r="EM4" s="1137"/>
      <c r="EN4" s="1137"/>
      <c r="EO4" s="1137"/>
      <c r="EP4" s="1139" t="s">
        <v>2703</v>
      </c>
      <c r="EQ4" s="1139"/>
      <c r="ER4" s="1139"/>
      <c r="ES4" s="1139"/>
      <c r="ET4" s="1139"/>
      <c r="EU4" s="1139"/>
      <c r="EV4" s="1139"/>
      <c r="EW4" s="1137" t="s">
        <v>2708</v>
      </c>
      <c r="EX4" s="1137"/>
      <c r="EY4" s="1137"/>
      <c r="EZ4" s="1137"/>
      <c r="FA4" s="1137"/>
      <c r="FB4" s="1137"/>
      <c r="FC4" s="1137"/>
      <c r="FD4" s="1127" t="s">
        <v>2719</v>
      </c>
      <c r="FE4" s="1127"/>
      <c r="FF4" s="1127"/>
      <c r="FG4" s="1127"/>
      <c r="FH4" s="1127"/>
      <c r="FI4" s="1127"/>
      <c r="FJ4" s="1127"/>
      <c r="FK4" s="1124" t="s">
        <v>2726</v>
      </c>
      <c r="FL4" s="1124"/>
      <c r="FM4" s="1127" t="s">
        <v>2727</v>
      </c>
      <c r="FN4" s="1127"/>
      <c r="FO4" s="1124" t="s">
        <v>2728</v>
      </c>
      <c r="FP4" s="1124"/>
      <c r="FQ4" s="1124"/>
      <c r="FR4" s="1124"/>
      <c r="FS4" s="1127" t="s">
        <v>2732</v>
      </c>
      <c r="FT4" s="1127"/>
      <c r="FU4" s="1127"/>
      <c r="FV4" s="1127"/>
      <c r="FW4" s="1124" t="s">
        <v>2734</v>
      </c>
      <c r="FX4" s="1124"/>
      <c r="FY4" s="1124"/>
      <c r="FZ4" s="1124"/>
      <c r="GA4" s="1127" t="s">
        <v>2737</v>
      </c>
      <c r="GB4" s="1127"/>
      <c r="GC4" s="1127"/>
      <c r="GD4" s="1127"/>
      <c r="GE4" s="1127"/>
      <c r="GF4" s="1127"/>
      <c r="GG4" s="1127"/>
      <c r="GH4" s="1127"/>
      <c r="GI4" s="1127"/>
      <c r="GJ4" s="1127"/>
      <c r="GK4" s="1124" t="s">
        <v>2748</v>
      </c>
      <c r="GL4" s="1124"/>
      <c r="GM4" s="1124"/>
      <c r="GN4" s="1126" t="s">
        <v>2751</v>
      </c>
      <c r="GO4" s="1126"/>
      <c r="GP4" s="1125" t="s">
        <v>2754</v>
      </c>
      <c r="GQ4" s="1125"/>
      <c r="GR4" s="1125"/>
      <c r="GS4" s="1126" t="s">
        <v>2757</v>
      </c>
      <c r="GT4" s="1126"/>
      <c r="GU4" s="1126"/>
      <c r="GV4" s="1126"/>
      <c r="GW4" s="1126"/>
      <c r="GX4" s="1126"/>
      <c r="GY4" s="1126"/>
      <c r="GZ4" s="1125" t="s">
        <v>2768</v>
      </c>
      <c r="HA4" s="1125"/>
      <c r="HB4" s="1126" t="s">
        <v>2762</v>
      </c>
      <c r="HC4" s="1126"/>
      <c r="HD4" s="1125" t="s">
        <v>2764</v>
      </c>
      <c r="HE4" s="1125"/>
      <c r="HF4" s="1126" t="s">
        <v>2765</v>
      </c>
      <c r="HG4" s="1126"/>
      <c r="HH4" s="1125" t="s">
        <v>2766</v>
      </c>
      <c r="HI4" s="1125"/>
      <c r="HJ4" s="1138"/>
      <c r="HK4" s="1138"/>
    </row>
    <row r="5" spans="1:219" s="432" customFormat="1" ht="34.15" customHeight="1" x14ac:dyDescent="0.25">
      <c r="A5" s="432" t="s">
        <v>2796</v>
      </c>
      <c r="B5" s="453" t="s">
        <v>2783</v>
      </c>
      <c r="C5" s="453" t="s">
        <v>2784</v>
      </c>
      <c r="D5" s="453" t="s">
        <v>2774</v>
      </c>
      <c r="E5" s="453" t="s">
        <v>2782</v>
      </c>
      <c r="F5" s="453" t="s">
        <v>2785</v>
      </c>
      <c r="G5" s="453" t="s">
        <v>878</v>
      </c>
      <c r="H5" s="453" t="s">
        <v>2786</v>
      </c>
      <c r="I5" s="453" t="s">
        <v>861</v>
      </c>
      <c r="J5" s="454" t="s">
        <v>862</v>
      </c>
      <c r="K5" s="454" t="s">
        <v>863</v>
      </c>
      <c r="L5" s="453" t="s">
        <v>864</v>
      </c>
      <c r="M5" s="454" t="s">
        <v>865</v>
      </c>
      <c r="N5" s="454" t="s">
        <v>555</v>
      </c>
      <c r="O5" s="454" t="s">
        <v>867</v>
      </c>
      <c r="P5" s="455" t="s">
        <v>868</v>
      </c>
      <c r="Q5" s="454" t="s">
        <v>2807</v>
      </c>
      <c r="R5" s="454" t="s">
        <v>870</v>
      </c>
      <c r="S5" s="454" t="s">
        <v>4885</v>
      </c>
      <c r="T5" s="454" t="s">
        <v>4886</v>
      </c>
      <c r="U5" s="454" t="s">
        <v>4887</v>
      </c>
      <c r="V5" s="454" t="s">
        <v>4888</v>
      </c>
      <c r="W5" s="454" t="s">
        <v>4889</v>
      </c>
      <c r="X5" s="454" t="s">
        <v>882</v>
      </c>
      <c r="Y5" s="454" t="s">
        <v>883</v>
      </c>
      <c r="Z5" s="522" t="s">
        <v>4890</v>
      </c>
      <c r="AA5" s="454" t="s">
        <v>4891</v>
      </c>
      <c r="AB5" s="454" t="s">
        <v>4892</v>
      </c>
      <c r="AC5" s="454" t="s">
        <v>884</v>
      </c>
      <c r="AD5" s="454" t="s">
        <v>2804</v>
      </c>
      <c r="AE5" s="456" t="s">
        <v>2802</v>
      </c>
      <c r="AF5" s="444" t="s">
        <v>2772</v>
      </c>
      <c r="AG5" s="444" t="s">
        <v>2773</v>
      </c>
      <c r="AH5" s="444" t="s">
        <v>2774</v>
      </c>
      <c r="AI5" s="444" t="s">
        <v>2775</v>
      </c>
      <c r="AJ5" s="444" t="s">
        <v>2782</v>
      </c>
      <c r="AK5" s="447" t="s">
        <v>555</v>
      </c>
      <c r="AL5" s="447" t="s">
        <v>285</v>
      </c>
      <c r="AM5" s="447" t="s">
        <v>47</v>
      </c>
      <c r="AN5" s="444" t="s">
        <v>858</v>
      </c>
      <c r="AO5" s="444" t="s">
        <v>32</v>
      </c>
      <c r="AP5" s="444" t="s">
        <v>2415</v>
      </c>
      <c r="AQ5" s="447" t="s">
        <v>4893</v>
      </c>
      <c r="AR5" s="447" t="s">
        <v>2499</v>
      </c>
      <c r="AS5" s="447" t="s">
        <v>2780</v>
      </c>
      <c r="AT5" s="447" t="s">
        <v>2781</v>
      </c>
      <c r="AU5" s="444" t="s">
        <v>98</v>
      </c>
      <c r="AV5" s="444" t="s">
        <v>105</v>
      </c>
      <c r="AW5" s="444" t="s">
        <v>2790</v>
      </c>
      <c r="AX5" s="444" t="s">
        <v>2504</v>
      </c>
      <c r="AY5" s="444" t="s">
        <v>2791</v>
      </c>
      <c r="AZ5" s="444" t="s">
        <v>2792</v>
      </c>
      <c r="BA5" s="444" t="s">
        <v>2793</v>
      </c>
      <c r="BB5" s="444" t="s">
        <v>2794</v>
      </c>
      <c r="BC5" s="444" t="s">
        <v>306</v>
      </c>
      <c r="BD5" s="444" t="s">
        <v>308</v>
      </c>
      <c r="BE5" s="444" t="s">
        <v>2795</v>
      </c>
      <c r="BF5" s="444" t="s">
        <v>33</v>
      </c>
      <c r="BG5" s="437" t="s">
        <v>2632</v>
      </c>
      <c r="BH5" s="437" t="s">
        <v>2623</v>
      </c>
      <c r="BI5" s="437" t="s">
        <v>2626</v>
      </c>
      <c r="BJ5" s="437" t="s">
        <v>2627</v>
      </c>
      <c r="BK5" s="437" t="s">
        <v>2628</v>
      </c>
      <c r="BL5" s="437" t="s">
        <v>2629</v>
      </c>
      <c r="BM5" s="437" t="s">
        <v>2630</v>
      </c>
      <c r="BN5" s="437" t="s">
        <v>2631</v>
      </c>
      <c r="BO5" s="437" t="s">
        <v>2808</v>
      </c>
      <c r="BP5" s="437" t="s">
        <v>2633</v>
      </c>
      <c r="BQ5" s="437" t="s">
        <v>2634</v>
      </c>
      <c r="BR5" s="437" t="s">
        <v>2635</v>
      </c>
      <c r="BS5" s="437" t="s">
        <v>2636</v>
      </c>
      <c r="BT5" s="437" t="s">
        <v>2637</v>
      </c>
      <c r="BU5" s="437" t="s">
        <v>2638</v>
      </c>
      <c r="BV5" s="437" t="s">
        <v>2639</v>
      </c>
      <c r="BW5" s="437" t="s">
        <v>2640</v>
      </c>
      <c r="BX5" s="437" t="s">
        <v>2641</v>
      </c>
      <c r="BY5" s="437" t="s">
        <v>2642</v>
      </c>
      <c r="BZ5" s="437" t="s">
        <v>2643</v>
      </c>
      <c r="CA5" s="437" t="s">
        <v>2624</v>
      </c>
      <c r="CB5" s="437" t="s">
        <v>2809</v>
      </c>
      <c r="CC5" s="437" t="s">
        <v>2810</v>
      </c>
      <c r="CD5" s="437" t="s">
        <v>2625</v>
      </c>
      <c r="CE5" s="436" t="s">
        <v>2644</v>
      </c>
      <c r="CF5" s="436" t="s">
        <v>2645</v>
      </c>
      <c r="CG5" s="436" t="s">
        <v>251</v>
      </c>
      <c r="CH5" s="436" t="s">
        <v>2646</v>
      </c>
      <c r="CI5" s="437" t="s">
        <v>251</v>
      </c>
      <c r="CJ5" s="437" t="s">
        <v>2646</v>
      </c>
      <c r="CK5" s="437" t="s">
        <v>2649</v>
      </c>
      <c r="CL5" s="436" t="s">
        <v>2647</v>
      </c>
      <c r="CM5" s="436" t="s">
        <v>2646</v>
      </c>
      <c r="CN5" s="437" t="s">
        <v>2647</v>
      </c>
      <c r="CO5" s="437" t="s">
        <v>2646</v>
      </c>
      <c r="CP5" s="436" t="s">
        <v>2650</v>
      </c>
      <c r="CQ5" s="436" t="s">
        <v>2646</v>
      </c>
      <c r="CR5" s="437" t="s">
        <v>2655</v>
      </c>
      <c r="CS5" s="437" t="s">
        <v>2648</v>
      </c>
      <c r="CT5" s="437" t="s">
        <v>2646</v>
      </c>
      <c r="CU5" s="436" t="s">
        <v>2652</v>
      </c>
      <c r="CV5" s="436" t="s">
        <v>2651</v>
      </c>
      <c r="CW5" s="436" t="s">
        <v>2646</v>
      </c>
      <c r="CX5" s="435" t="s">
        <v>2664</v>
      </c>
      <c r="CY5" s="435" t="s">
        <v>2665</v>
      </c>
      <c r="CZ5" s="435" t="s">
        <v>2666</v>
      </c>
      <c r="DA5" s="435" t="s">
        <v>2646</v>
      </c>
      <c r="DB5" s="440" t="s">
        <v>2668</v>
      </c>
      <c r="DC5" s="440" t="s">
        <v>2645</v>
      </c>
      <c r="DD5" s="440" t="s">
        <v>2669</v>
      </c>
      <c r="DE5" s="440" t="s">
        <v>251</v>
      </c>
      <c r="DF5" s="440" t="s">
        <v>2646</v>
      </c>
      <c r="DG5" s="435" t="s">
        <v>2671</v>
      </c>
      <c r="DH5" s="435" t="s">
        <v>2672</v>
      </c>
      <c r="DI5" s="435" t="s">
        <v>2673</v>
      </c>
      <c r="DJ5" s="435" t="s">
        <v>2674</v>
      </c>
      <c r="DK5" s="435" t="s">
        <v>2675</v>
      </c>
      <c r="DL5" s="435" t="s">
        <v>2676</v>
      </c>
      <c r="DM5" s="435" t="s">
        <v>2677</v>
      </c>
      <c r="DN5" s="435" t="s">
        <v>2678</v>
      </c>
      <c r="DO5" s="435" t="s">
        <v>2679</v>
      </c>
      <c r="DP5" s="435" t="s">
        <v>2680</v>
      </c>
      <c r="DQ5" s="435" t="s">
        <v>2681</v>
      </c>
      <c r="DR5" s="435" t="s">
        <v>2682</v>
      </c>
      <c r="DS5" s="435" t="s">
        <v>2683</v>
      </c>
      <c r="DT5" s="435" t="s">
        <v>2684</v>
      </c>
      <c r="DU5" s="435" t="s">
        <v>2685</v>
      </c>
      <c r="DV5" s="440" t="s">
        <v>2646</v>
      </c>
      <c r="DW5" s="440" t="s">
        <v>2686</v>
      </c>
      <c r="DX5" s="435" t="s">
        <v>2688</v>
      </c>
      <c r="DY5" s="435" t="s">
        <v>2689</v>
      </c>
      <c r="DZ5" s="435" t="s">
        <v>2690</v>
      </c>
      <c r="EA5" s="435" t="s">
        <v>2691</v>
      </c>
      <c r="EB5" s="435" t="s">
        <v>2692</v>
      </c>
      <c r="EC5" s="435" t="s">
        <v>2693</v>
      </c>
      <c r="ED5" s="440" t="s">
        <v>2715</v>
      </c>
      <c r="EE5" s="440" t="s">
        <v>2716</v>
      </c>
      <c r="EF5" s="440" t="s">
        <v>2695</v>
      </c>
      <c r="EG5" s="440" t="s">
        <v>2696</v>
      </c>
      <c r="EH5" s="440" t="s">
        <v>2685</v>
      </c>
      <c r="EI5" s="435" t="s">
        <v>2698</v>
      </c>
      <c r="EJ5" s="435" t="s">
        <v>2646</v>
      </c>
      <c r="EK5" s="440" t="s">
        <v>2699</v>
      </c>
      <c r="EL5" s="440" t="s">
        <v>2700</v>
      </c>
      <c r="EM5" s="440" t="s">
        <v>2701</v>
      </c>
      <c r="EN5" s="440" t="s">
        <v>2702</v>
      </c>
      <c r="EO5" s="440" t="s">
        <v>2685</v>
      </c>
      <c r="EP5" s="435" t="s">
        <v>2704</v>
      </c>
      <c r="EQ5" s="435" t="s">
        <v>2705</v>
      </c>
      <c r="ER5" s="435" t="s">
        <v>2707</v>
      </c>
      <c r="ES5" s="435" t="s">
        <v>2699</v>
      </c>
      <c r="ET5" s="435" t="s">
        <v>2700</v>
      </c>
      <c r="EU5" s="435" t="s">
        <v>2706</v>
      </c>
      <c r="EV5" s="435" t="s">
        <v>2685</v>
      </c>
      <c r="EW5" s="440" t="s">
        <v>2709</v>
      </c>
      <c r="EX5" s="440" t="s">
        <v>2710</v>
      </c>
      <c r="EY5" s="440" t="s">
        <v>2711</v>
      </c>
      <c r="EZ5" s="440" t="s">
        <v>2712</v>
      </c>
      <c r="FA5" s="440" t="s">
        <v>2713</v>
      </c>
      <c r="FB5" s="440" t="s">
        <v>2714</v>
      </c>
      <c r="FC5" s="440" t="s">
        <v>2685</v>
      </c>
      <c r="FD5" s="441" t="s">
        <v>2720</v>
      </c>
      <c r="FE5" s="441" t="s">
        <v>2721</v>
      </c>
      <c r="FF5" s="441" t="s">
        <v>2722</v>
      </c>
      <c r="FG5" s="441" t="s">
        <v>2723</v>
      </c>
      <c r="FH5" s="441" t="s">
        <v>2646</v>
      </c>
      <c r="FI5" s="441" t="s">
        <v>2724</v>
      </c>
      <c r="FJ5" s="441" t="s">
        <v>2725</v>
      </c>
      <c r="FK5" s="442" t="s">
        <v>2646</v>
      </c>
      <c r="FL5" s="442" t="s">
        <v>2685</v>
      </c>
      <c r="FM5" s="441" t="s">
        <v>251</v>
      </c>
      <c r="FN5" s="441" t="s">
        <v>2646</v>
      </c>
      <c r="FO5" s="442" t="s">
        <v>2729</v>
      </c>
      <c r="FP5" s="442" t="s">
        <v>2730</v>
      </c>
      <c r="FQ5" s="442" t="s">
        <v>2731</v>
      </c>
      <c r="FR5" s="442" t="s">
        <v>2685</v>
      </c>
      <c r="FS5" s="441" t="s">
        <v>2645</v>
      </c>
      <c r="FT5" s="441" t="s">
        <v>2669</v>
      </c>
      <c r="FU5" s="441" t="s">
        <v>251</v>
      </c>
      <c r="FV5" s="441" t="s">
        <v>2646</v>
      </c>
      <c r="FW5" s="442" t="s">
        <v>2736</v>
      </c>
      <c r="FX5" s="442" t="s">
        <v>2735</v>
      </c>
      <c r="FY5" s="442" t="s">
        <v>251</v>
      </c>
      <c r="FZ5" s="442" t="s">
        <v>2646</v>
      </c>
      <c r="GA5" s="441" t="s">
        <v>2738</v>
      </c>
      <c r="GB5" s="441" t="s">
        <v>2739</v>
      </c>
      <c r="GC5" s="441" t="s">
        <v>2740</v>
      </c>
      <c r="GD5" s="441" t="s">
        <v>2741</v>
      </c>
      <c r="GE5" s="441" t="s">
        <v>2742</v>
      </c>
      <c r="GF5" s="441" t="s">
        <v>2743</v>
      </c>
      <c r="GG5" s="441" t="s">
        <v>2744</v>
      </c>
      <c r="GH5" s="441" t="s">
        <v>2745</v>
      </c>
      <c r="GI5" s="441" t="s">
        <v>2746</v>
      </c>
      <c r="GJ5" s="441" t="s">
        <v>2747</v>
      </c>
      <c r="GK5" s="442" t="s">
        <v>251</v>
      </c>
      <c r="GL5" s="442" t="s">
        <v>2646</v>
      </c>
      <c r="GM5" s="442" t="s">
        <v>2685</v>
      </c>
      <c r="GN5" s="443" t="s">
        <v>2752</v>
      </c>
      <c r="GO5" s="443" t="s">
        <v>2753</v>
      </c>
      <c r="GP5" s="445" t="s">
        <v>2755</v>
      </c>
      <c r="GQ5" s="445" t="s">
        <v>2756</v>
      </c>
      <c r="GR5" s="445" t="s">
        <v>2646</v>
      </c>
      <c r="GS5" s="443" t="s">
        <v>2758</v>
      </c>
      <c r="GT5" s="443" t="s">
        <v>2759</v>
      </c>
      <c r="GU5" s="443" t="s">
        <v>2769</v>
      </c>
      <c r="GV5" s="443" t="s">
        <v>2646</v>
      </c>
      <c r="GW5" s="443" t="s">
        <v>2760</v>
      </c>
      <c r="GX5" s="443" t="s">
        <v>2761</v>
      </c>
      <c r="GY5" s="443" t="s">
        <v>2685</v>
      </c>
      <c r="GZ5" s="445" t="s">
        <v>251</v>
      </c>
      <c r="HA5" s="445" t="s">
        <v>2646</v>
      </c>
      <c r="HB5" s="443" t="s">
        <v>2763</v>
      </c>
      <c r="HC5" s="443" t="s">
        <v>2646</v>
      </c>
      <c r="HD5" s="445" t="s">
        <v>251</v>
      </c>
      <c r="HE5" s="445" t="s">
        <v>2646</v>
      </c>
      <c r="HF5" s="443" t="s">
        <v>251</v>
      </c>
      <c r="HG5" s="443" t="s">
        <v>2646</v>
      </c>
      <c r="HH5" s="445" t="s">
        <v>2767</v>
      </c>
      <c r="HI5" s="445" t="s">
        <v>2685</v>
      </c>
      <c r="HJ5" s="1138"/>
      <c r="HK5" s="1138"/>
    </row>
    <row r="6" spans="1:219" x14ac:dyDescent="0.2">
      <c r="B6" s="431">
        <f>IFERROR(Identification!F16,"Inconnu")</f>
        <v>0</v>
      </c>
      <c r="C6" s="431">
        <f>Identification!F19</f>
        <v>0</v>
      </c>
      <c r="D6" s="431">
        <f>cTypeAudit</f>
        <v>0</v>
      </c>
      <c r="E6" s="431">
        <f>Identification!F23</f>
        <v>0</v>
      </c>
      <c r="F6" s="431" t="s">
        <v>2787</v>
      </c>
      <c r="G6" s="457" t="s">
        <v>2803</v>
      </c>
      <c r="H6" s="446" t="str">
        <f>IF(ISBLANK(Identification!F10),"",Identification!F10)</f>
        <v/>
      </c>
      <c r="I6" s="463">
        <f>IFERROR(Identification!F36,"Inconnu")</f>
        <v>0</v>
      </c>
      <c r="J6" s="458">
        <f>IFERROR(Identification!F34,"Inconnu")</f>
        <v>0</v>
      </c>
      <c r="K6" s="458" t="str">
        <f>IFERROR(Identification!F43 &amp; " " &amp; Identification!F45,"Inconnu")</f>
        <v xml:space="preserve"> </v>
      </c>
      <c r="L6" s="458">
        <f>IFERROR(Identification!F47,"Inconnu")</f>
        <v>0</v>
      </c>
      <c r="M6" s="431" t="str">
        <f>IFERROR(Identification!R36,"Inconnu")</f>
        <v/>
      </c>
      <c r="N6" s="431">
        <f>IFERROR(Identification!R32,"Inconnu")</f>
        <v>0</v>
      </c>
      <c r="O6" s="431">
        <f>IFERROR(Identification!F49,"Inconnu")</f>
        <v>0</v>
      </c>
      <c r="P6" s="464">
        <f>IFERROR(Identification!R43,"Inconnu")</f>
        <v>0</v>
      </c>
      <c r="Q6" s="431">
        <f>IFERROR(Identification!R45,"Inconnu")</f>
        <v>0</v>
      </c>
      <c r="R6" s="431">
        <f>IFERROR(Identification!R47,"Inconnu")</f>
        <v>0</v>
      </c>
      <c r="S6" s="446" t="s">
        <v>4894</v>
      </c>
      <c r="T6" s="431" t="s">
        <v>4894</v>
      </c>
      <c r="U6" s="431" t="s">
        <v>4894</v>
      </c>
      <c r="V6" s="446" t="s">
        <v>4894</v>
      </c>
      <c r="W6" s="431" t="s">
        <v>4894</v>
      </c>
      <c r="X6" s="431">
        <f>IFERROR(Identification!F81,"Inconnu")</f>
        <v>0</v>
      </c>
      <c r="Y6" s="431">
        <f>IFERROR(Identification!G86,"Inconnu")</f>
        <v>0</v>
      </c>
      <c r="Z6" s="431" t="s">
        <v>4894</v>
      </c>
      <c r="AA6" s="431" t="s">
        <v>4894</v>
      </c>
      <c r="AB6" s="431" t="s">
        <v>4894</v>
      </c>
      <c r="AC6" s="431">
        <f>IFERROR(Identification!F72,"Inconnu")</f>
        <v>0</v>
      </c>
      <c r="AD6" s="431">
        <f>IFERROR(Identification!V49,"Inconnu")</f>
        <v>0</v>
      </c>
      <c r="AE6" s="466"/>
      <c r="AF6" s="431" t="str">
        <f>IF(ISBLANK(Identification!F16),"",Identification!F16)</f>
        <v/>
      </c>
      <c r="AG6" s="431" t="str">
        <f>IF(ISBLANK(Identification!F12),"",Identification!F12)</f>
        <v/>
      </c>
      <c r="AH6" s="431" t="str">
        <f>IF(ISBLANK(cTypeAudit),"",cTypeAudit)</f>
        <v/>
      </c>
      <c r="AI6" s="431" t="str">
        <f>IF(ISBLANK(Identification!R12),"",Identification!R12)</f>
        <v/>
      </c>
      <c r="AJ6" s="431" t="str">
        <f>IF(ISBLANK(Identification!F23),"",Identification!F23)</f>
        <v/>
      </c>
      <c r="AK6" s="431" t="str">
        <f>IF(ISBLANK(Identification!R32),"",Identification!R32)</f>
        <v/>
      </c>
      <c r="AL6" s="431" t="str">
        <f>IF(ISBLANK(Identification!R32),"",Identification!R36)</f>
        <v/>
      </c>
      <c r="AM6" s="431" t="str">
        <f>IF(ISBLANK(Identification!R32),"",Identification!R38)</f>
        <v/>
      </c>
      <c r="AN6" s="431" t="str">
        <f>IF(ISBLANK(Identification!H61),"",Identification!H61)</f>
        <v/>
      </c>
      <c r="AO6" s="431" t="str">
        <f>IF(ISBLANK(Identification!T61),"",Identification!T61)</f>
        <v/>
      </c>
      <c r="AP6" s="431" t="str">
        <f>IF(ISBLANK(Identification!F69),"",Identification!F69)</f>
        <v/>
      </c>
      <c r="AQ6" s="446" t="s">
        <v>4894</v>
      </c>
      <c r="AR6" s="446" t="s">
        <v>4894</v>
      </c>
      <c r="AS6" s="434" t="str">
        <f>IF(Surfaces!O22=0,"",Surfaces!O22)</f>
        <v/>
      </c>
      <c r="AT6" s="434" t="str">
        <f>IF(cSAU=0,"",cSAU)</f>
        <v/>
      </c>
      <c r="AU6" s="434" t="str">
        <f>IF(cSAU=0,"",Surfaces!O83)</f>
        <v/>
      </c>
      <c r="AV6" s="434" t="str">
        <f>IF(cSAU=0,"",Surfaces!O90)</f>
        <v/>
      </c>
      <c r="AW6" s="434" t="str">
        <f>IF(cSAU=0,"",Surfaces!O97)</f>
        <v/>
      </c>
      <c r="AX6" s="434" t="str">
        <f>IF(cSAU=0,"",Surfaces!O105)</f>
        <v/>
      </c>
      <c r="AY6" s="434" t="str">
        <f>IF(cSAU=0,"",Surfaces!O111)</f>
        <v/>
      </c>
      <c r="AZ6" s="434" t="str">
        <f>IF(cSAU=0,"",Surfaces!O122)</f>
        <v/>
      </c>
      <c r="BA6" s="434" t="str">
        <f>IF(cSAU=0,"",Surfaces!O129)</f>
        <v/>
      </c>
      <c r="BB6" s="434" t="str">
        <f>IF(cSAU=0,"",Surfaces!O137)</f>
        <v/>
      </c>
      <c r="BC6" s="434" t="str">
        <f>IF(cSAU=0,"",Surfaces!O141)</f>
        <v/>
      </c>
      <c r="BD6" s="434" t="str">
        <f>IF(cSAU=0,"",Surfaces!O159)</f>
        <v/>
      </c>
      <c r="BE6" s="434" t="str">
        <f>IF(cSAU=0,"",Surfaces!O161)</f>
        <v/>
      </c>
      <c r="BF6" s="434" t="str">
        <f>IF(cSAU=0,"",Surfaces!O197)</f>
        <v/>
      </c>
      <c r="BG6" s="431" t="str">
        <f>Biodiversité!W41</f>
        <v>NON</v>
      </c>
      <c r="BH6" s="433">
        <f>Biodiversité!T48</f>
        <v>0</v>
      </c>
      <c r="BI6" s="434">
        <f>Biodiversité!Y17</f>
        <v>0</v>
      </c>
      <c r="BJ6" s="434">
        <f>Biodiversité!Y18</f>
        <v>0</v>
      </c>
      <c r="BK6" s="434">
        <f>Biodiversité!Y19</f>
        <v>0</v>
      </c>
      <c r="BL6" s="434">
        <f>Biodiversité!Y20</f>
        <v>0</v>
      </c>
      <c r="BM6" s="434">
        <f>Biodiversité!Y21</f>
        <v>0</v>
      </c>
      <c r="BN6" s="434">
        <f>Biodiversité!Y22</f>
        <v>0</v>
      </c>
      <c r="BO6" s="434">
        <f>Biodiversité!Y23</f>
        <v>0</v>
      </c>
      <c r="BP6" s="434">
        <f>Biodiversité!Y25</f>
        <v>0</v>
      </c>
      <c r="BQ6" s="434">
        <f>Biodiversité!Y26</f>
        <v>0</v>
      </c>
      <c r="BR6" s="434">
        <f>Biodiversité!Y27</f>
        <v>0</v>
      </c>
      <c r="BS6" s="434">
        <f>Biodiversité!Y28</f>
        <v>0</v>
      </c>
      <c r="BT6" s="434">
        <f>Biodiversité!Y29</f>
        <v>0</v>
      </c>
      <c r="BU6" s="434">
        <f>Biodiversité!Y30</f>
        <v>0</v>
      </c>
      <c r="BV6" s="434">
        <f>Biodiversité!Y31</f>
        <v>0</v>
      </c>
      <c r="BW6" s="434">
        <f>Biodiversité!Y32</f>
        <v>0</v>
      </c>
      <c r="BX6" s="434">
        <f>Biodiversité!Y33</f>
        <v>0</v>
      </c>
      <c r="BY6" s="434">
        <f>Biodiversité!Y34</f>
        <v>0</v>
      </c>
      <c r="BZ6" s="434">
        <f>Biodiversité!Y35</f>
        <v>0</v>
      </c>
      <c r="CA6" s="433">
        <f>Biodiversité!T53</f>
        <v>0</v>
      </c>
      <c r="CB6" s="434">
        <f>Biodiversité!T56</f>
        <v>0</v>
      </c>
      <c r="CC6" s="431" t="str">
        <f>IF(ISBLANK(Biodiversité!T60),"",Biodiversité!T60)</f>
        <v/>
      </c>
      <c r="CD6" s="434">
        <f>Biodiversité!W58</f>
        <v>0</v>
      </c>
      <c r="CE6" s="434">
        <f>Biodiversité!P82</f>
        <v>0</v>
      </c>
      <c r="CF6" s="434">
        <f>Biodiversité!P83</f>
        <v>0</v>
      </c>
      <c r="CG6" s="433">
        <f>Biodiversité!P85</f>
        <v>0</v>
      </c>
      <c r="CH6" s="434">
        <f>Biodiversité!S85</f>
        <v>0</v>
      </c>
      <c r="CI6" s="433">
        <f>Biodiversité!N112</f>
        <v>0</v>
      </c>
      <c r="CJ6" s="434">
        <f>Biodiversité!Q112</f>
        <v>0</v>
      </c>
      <c r="CK6" s="434">
        <f>Biodiversité!N109</f>
        <v>0</v>
      </c>
      <c r="CL6" s="431">
        <f>Biodiversité!L152</f>
        <v>0</v>
      </c>
      <c r="CM6" s="434">
        <f>Biodiversité!O154</f>
        <v>0</v>
      </c>
      <c r="CN6" s="431">
        <f>Biodiversité!I180</f>
        <v>0</v>
      </c>
      <c r="CO6" s="434">
        <f>Biodiversité!L180</f>
        <v>0</v>
      </c>
      <c r="CP6" s="431">
        <f>Biodiversité!I199</f>
        <v>0</v>
      </c>
      <c r="CQ6" s="434">
        <f>Biodiversité!L199</f>
        <v>0</v>
      </c>
      <c r="CR6" s="431">
        <f>Biodiversité!I215</f>
        <v>0</v>
      </c>
      <c r="CS6" s="431">
        <f>Biodiversité!I216</f>
        <v>0</v>
      </c>
      <c r="CT6" s="434">
        <f>Biodiversité!L231</f>
        <v>0</v>
      </c>
      <c r="CU6" s="431" t="str">
        <f>IF(ISBLANK(Biodiversité!O242),"",Biodiversité!O242)</f>
        <v/>
      </c>
      <c r="CV6" s="431" t="str">
        <f>IF(ISBLANK(Biodiversité!O243),"",Biodiversité!O243)</f>
        <v/>
      </c>
      <c r="CW6" s="438">
        <f>Biodiversité!O247</f>
        <v>0</v>
      </c>
      <c r="CX6" s="431" t="str">
        <f>IF(ISBLANK(Phyto!L11),"",Phyto!L11)</f>
        <v/>
      </c>
      <c r="CY6" s="431" t="str">
        <f>IF(ISBLANK(Phyto!M22),"",Phyto!M22)</f>
        <v/>
      </c>
      <c r="CZ6" s="431" t="str">
        <f>IF(ISBLANK(Phyto!M23),"",Phyto!M23)</f>
        <v/>
      </c>
      <c r="DA6" s="438">
        <f>Phyto!P25</f>
        <v>0</v>
      </c>
      <c r="DB6" s="438">
        <f>Phyto!M44</f>
        <v>0</v>
      </c>
      <c r="DC6" s="438">
        <f>Phyto!M45</f>
        <v>0</v>
      </c>
      <c r="DD6" s="438">
        <f>Phyto!M46</f>
        <v>0</v>
      </c>
      <c r="DE6" s="433">
        <f>Phyto!M55</f>
        <v>0</v>
      </c>
      <c r="DF6" s="438">
        <f>Phyto!P55</f>
        <v>0</v>
      </c>
      <c r="DG6" s="465" t="str">
        <f>IF(ISBLANK(Phyto!J96),"",Phyto!J96)</f>
        <v/>
      </c>
      <c r="DH6" s="465" t="str">
        <f>IF(ISBLANK(Phyto!J97),"",Phyto!J97)</f>
        <v/>
      </c>
      <c r="DI6" s="465" t="str">
        <f>IF(ISBLANK(Phyto!L96),"",Phyto!L96)</f>
        <v/>
      </c>
      <c r="DJ6" s="465" t="str">
        <f>IF(ISBLANK(Phyto!L97),"",Phyto!L97)</f>
        <v/>
      </c>
      <c r="DK6" s="465" t="str">
        <f>IF(ISBLANK(Phyto!N96),"",Phyto!N96)</f>
        <v/>
      </c>
      <c r="DL6" s="465" t="str">
        <f>IF(ISBLANK(Phyto!N97),"",Phyto!N97)</f>
        <v/>
      </c>
      <c r="DM6" s="465" t="str">
        <f>IF(ISBLANK(Phyto!P96),"",Phyto!P96)</f>
        <v/>
      </c>
      <c r="DN6" s="465" t="str">
        <f>IF(ISBLANK(Phyto!P97),"",Phyto!P97)</f>
        <v/>
      </c>
      <c r="DO6" s="438" t="str">
        <f>IF(ISBLANK(Phyto!H106),"",Phyto!H106)</f>
        <v/>
      </c>
      <c r="DP6" s="438" t="str">
        <f>IF(ISBLANK(Phyto!H107),"",Phyto!H107)</f>
        <v/>
      </c>
      <c r="DQ6" s="438" t="str">
        <f>IF(ISBLANK(Phyto!M106),"",Phyto!M106)</f>
        <v/>
      </c>
      <c r="DR6" s="438" t="str">
        <f>IF(ISBLANK(Phyto!M107),"",Phyto!M107)</f>
        <v/>
      </c>
      <c r="DS6" s="438" t="str">
        <f>IF(ISBLANK(Phyto!R106),"",Phyto!R106)</f>
        <v/>
      </c>
      <c r="DT6" s="438" t="str">
        <f>IF(ISBLANK(Phyto!R107),"",Phyto!R107)</f>
        <v/>
      </c>
      <c r="DU6" s="438" t="str">
        <f>IF(SUM(Phyto!K116:L118)=0,"",Phyto!M121)</f>
        <v/>
      </c>
      <c r="DV6" s="434" t="str">
        <f>IF(Phyto!Q155=0,"",Phyto!S154)</f>
        <v/>
      </c>
      <c r="DW6" s="434" t="str">
        <f>IF(Phyto!Q155=0,"",Phyto!S157)</f>
        <v/>
      </c>
      <c r="DX6" s="431" t="str">
        <f>IF(ISBLANK(Phyto!R172),"",Phyto!R172)</f>
        <v/>
      </c>
      <c r="DY6" s="431" t="str">
        <f>IF(ISBLANK(Phyto!R174),"",Phyto!R174)</f>
        <v/>
      </c>
      <c r="DZ6" s="433">
        <f>Phyto!R191</f>
        <v>0</v>
      </c>
      <c r="EA6" s="434">
        <f>Phyto!R194</f>
        <v>0</v>
      </c>
      <c r="EB6" s="434">
        <f>Phyto!R195</f>
        <v>0</v>
      </c>
      <c r="EC6" s="434">
        <f>Phyto!R196</f>
        <v>0</v>
      </c>
      <c r="ED6" s="433" t="str">
        <f>IF(Phyto!N234=0,"",Phyto!N236)</f>
        <v/>
      </c>
      <c r="EE6" s="433" t="str">
        <f>IF(Phyto!N235=0,"",Phyto!N237)</f>
        <v/>
      </c>
      <c r="EF6" s="438" t="str">
        <f>IF(Phyto!N234=0,"",Phyto!P236)</f>
        <v/>
      </c>
      <c r="EG6" s="438" t="str">
        <f>IF(Phyto!N235=0,"",Phyto!P237)</f>
        <v/>
      </c>
      <c r="EH6" s="438" t="str">
        <f>IF(Phyto!N238=0,"",Phyto!P239)</f>
        <v/>
      </c>
      <c r="EI6" s="431">
        <f>Phyto!J250</f>
        <v>0</v>
      </c>
      <c r="EJ6" s="438">
        <f>Phyto!D263</f>
        <v>0</v>
      </c>
      <c r="EK6" s="438" t="str">
        <f>IF(Phyto!J291=0,"",Phyto!L272)</f>
        <v/>
      </c>
      <c r="EL6" s="438" t="str">
        <f>IF(Phyto!J292=0,"",Phyto!L277)</f>
        <v/>
      </c>
      <c r="EM6" s="438" t="str">
        <f>IF(Phyto!J293=0,"",Phyto!L282)</f>
        <v/>
      </c>
      <c r="EN6" s="438" t="str">
        <f>IF(Phyto!J294=0,"",Phyto!L287)</f>
        <v/>
      </c>
      <c r="EO6" s="438" t="str">
        <f>IF(SUM(Phyto!J291:K294)=0,"",Phyto!L296)</f>
        <v/>
      </c>
      <c r="EP6" s="433" t="str">
        <f>IF(Phyto!J322=0,"",Phyto!J325)</f>
        <v/>
      </c>
      <c r="EQ6" s="433" t="str">
        <f>IF(Phyto!J323=0,"",Phyto!J326)</f>
        <v/>
      </c>
      <c r="ER6" s="433" t="str">
        <f>IF(Phyto!J324=0,"",Phyto!J327)</f>
        <v/>
      </c>
      <c r="ES6" s="438" t="str">
        <f>IF(Phyto!J322=0,"",Phyto!L325)</f>
        <v/>
      </c>
      <c r="ET6" s="438" t="str">
        <f>IF(Phyto!J323=0,"",Phyto!L326)</f>
        <v/>
      </c>
      <c r="EU6" s="438" t="str">
        <f>IF(Phyto!J324=0,"",Phyto!L327)</f>
        <v/>
      </c>
      <c r="EV6" s="438" t="str">
        <f>IF(SUM(Phyto!J322:K324)=0,"",Phyto!L329)</f>
        <v/>
      </c>
      <c r="EW6" s="433" t="str">
        <f>IF(Phyto!L350=0,"",Phyto!L360)</f>
        <v/>
      </c>
      <c r="EX6" s="433" t="str">
        <f>IF(Phyto!L355=0,"",Phyto!L361)</f>
        <v/>
      </c>
      <c r="EY6" s="433" t="str">
        <f>IF(Phyto!L355=0,"",Phyto!L362)</f>
        <v/>
      </c>
      <c r="EZ6" s="438" t="str">
        <f>IF(Phyto!L350=0,"",Phyto!N360)</f>
        <v/>
      </c>
      <c r="FA6" s="438" t="str">
        <f>IF(Phyto!L355=0,"",Phyto!N361)</f>
        <v/>
      </c>
      <c r="FB6" s="438" t="str">
        <f>IF(Phyto!L355=0,"",Phyto!N362)</f>
        <v/>
      </c>
      <c r="FC6" s="438" t="str">
        <f>IF(SUM(Phyto!L350,Phyto!L355)=0,"",Phyto!N363)</f>
        <v/>
      </c>
      <c r="FD6" s="431" t="str">
        <f>IF(ISBLANK(Fertilisation!M52),"",Fertilisation!M52)</f>
        <v/>
      </c>
      <c r="FE6" s="431" t="str">
        <f>IF(ISBLANK(Fertilisation!M51),"",Fertilisation!M51)</f>
        <v/>
      </c>
      <c r="FF6" s="431" t="str">
        <f>IF(ISBLANK(Fertilisation!M54),"",Fertilisation!M54)</f>
        <v/>
      </c>
      <c r="FG6" s="434" t="str">
        <f>Fertilisation!M55</f>
        <v/>
      </c>
      <c r="FH6" s="438" t="str">
        <f>IF(ISBLANK(Fertilisation!M54),"",Fertilisation!P55)</f>
        <v/>
      </c>
      <c r="FI6" s="433" t="str">
        <f>IF(ISBLANK(Fertilisation!M58),"",Fertilisation!M60)</f>
        <v/>
      </c>
      <c r="FJ6" s="438" t="str">
        <f>IF(ISBLANK(Fertilisation!M54),"",Fertilisation!P64)</f>
        <v/>
      </c>
      <c r="FK6" s="438" t="str">
        <f>IF(Fertilisation!Q98=0,"",Fertilisation!S97)</f>
        <v/>
      </c>
      <c r="FL6" s="438" t="str">
        <f>IF(Fertilisation!Q98=0,"",Fertilisation!S100)</f>
        <v/>
      </c>
      <c r="FM6" s="433" t="str">
        <f>IF(Fertilisation!N121=0,"",Fertilisation!N122)</f>
        <v/>
      </c>
      <c r="FN6" s="438" t="str">
        <f>IF(Fertilisation!N121=0,"",Fertilisation!P122)</f>
        <v/>
      </c>
      <c r="FO6" s="438" t="str">
        <f>IF(Fertilisation!N161=0,"",SUM(Fertilisation!P168:Q171))</f>
        <v/>
      </c>
      <c r="FP6" s="438" t="str">
        <f>IF(Fertilisation!N162=0,"",SUM(Fertilisation!P176:Q177))</f>
        <v/>
      </c>
      <c r="FQ6" s="438" t="str">
        <f>IF(Fertilisation!N163=0,"",Fertilisation!P187)</f>
        <v/>
      </c>
      <c r="FR6" s="438">
        <f>Fertilisation!P191</f>
        <v>0</v>
      </c>
      <c r="FS6" s="434">
        <f>Fertilisation!J207</f>
        <v>0</v>
      </c>
      <c r="FT6" s="434">
        <f>Fertilisation!J208</f>
        <v>0</v>
      </c>
      <c r="FU6" s="433">
        <f>Fertilisation!J215</f>
        <v>0</v>
      </c>
      <c r="FV6" s="438">
        <f>Fertilisation!L215</f>
        <v>0</v>
      </c>
      <c r="FW6" s="434">
        <f>SUM(Fertilisation!N233:O237)</f>
        <v>0</v>
      </c>
      <c r="FX6" s="438" t="str">
        <f>IF(SUM(Phyto!J322:K324)=0,"",Fertilisation!N238)</f>
        <v/>
      </c>
      <c r="FY6" s="433">
        <f>Fertilisation!N243</f>
        <v>0</v>
      </c>
      <c r="FZ6" s="438">
        <f>Fertilisation!P243</f>
        <v>0</v>
      </c>
      <c r="GA6" s="431" t="str">
        <f>IF(Fertilisation!O262&gt;0,IF(ISBLANK(Fertilisation!O266),"",Fertilisation!O266),"")</f>
        <v/>
      </c>
      <c r="GB6" s="438" t="str">
        <f>IF(Fertilisation!O262&gt;0,IF(ISBLANK(Fertilisation!O273),"",Fertilisation!O273),"")</f>
        <v/>
      </c>
      <c r="GC6" s="431" t="str">
        <f>IF(Fertilisation!O262&gt;0,IF(ISBLANK(Fertilisation!O274),"",Fertilisation!O274),"")</f>
        <v/>
      </c>
      <c r="GD6" s="438" t="str">
        <f>IF(Fertilisation!O262&gt;0,Fertilisation!Q289,"")</f>
        <v/>
      </c>
      <c r="GE6" s="438" t="str">
        <f>IF(Fertilisation!O262&gt;0,Fertilisation!Q295,"")</f>
        <v/>
      </c>
      <c r="GF6" s="431" t="str">
        <f>IF(ISBLANK(Fertilisation!O262),"",IF(Fertilisation!O262&lt;100,IF(ISBLANK(Fertilisation!O269),"",Fertilisation!O269),""))</f>
        <v/>
      </c>
      <c r="GG6" s="438" t="str">
        <f>IF(ISBLANK(Fertilisation!O262),"",IF(Fertilisation!O262&lt;100,IF(ISBLANK(Fertilisation!O277),"",Fertilisation!O277),""))</f>
        <v/>
      </c>
      <c r="GH6" s="431" t="str">
        <f>IF(ISBLANK(Fertilisation!O262),"",IF(Fertilisation!O262&lt;100,IF(ISBLANK(Fertilisation!O278),"",Fertilisation!O278),""))</f>
        <v/>
      </c>
      <c r="GI6" s="438" t="str">
        <f>IF(ISBLANK(Fertilisation!O262),"",IF(Fertilisation!O262&lt;100,Fertilisation!Q290,""))</f>
        <v/>
      </c>
      <c r="GJ6" s="438" t="str">
        <f>IF(ISBLANK(Fertilisation!O262),"",IF(Fertilisation!O262&lt;100,Fertilisation!Q296,""))</f>
        <v/>
      </c>
      <c r="GK6" s="433" t="str">
        <f>IF(Fertilisation!O322=0,"",Fertilisation!O323)</f>
        <v/>
      </c>
      <c r="GL6" s="438" t="str">
        <f>IF(Fertilisation!O322=0,"",Fertilisation!Q324)</f>
        <v/>
      </c>
      <c r="GM6" s="438" t="str">
        <f>IF(Fertilisation!O322=0,"",Fertilisation!Q325)</f>
        <v/>
      </c>
      <c r="GN6" s="431" t="str">
        <f>IF(ISBLANK(cIrriguante),"",cIrriguante)</f>
        <v/>
      </c>
      <c r="GO6" s="433" t="str">
        <f>IF(cIrriguante="Oui",Irrigation!K13/Irrigation!K12,"")</f>
        <v/>
      </c>
      <c r="GP6" s="431" t="str">
        <f>IF(ISBLANK(Irrigation!K24),"",Irrigation!K24)</f>
        <v/>
      </c>
      <c r="GQ6" s="433" t="str">
        <f>IF(cIrriguante="Oui",Irrigation!K51,"")</f>
        <v/>
      </c>
      <c r="GR6" s="438" t="str">
        <f>IF(cIrriguante="Oui",Irrigation!M51,"")</f>
        <v/>
      </c>
      <c r="GS6" s="431" t="str">
        <f>IF(cIrriguante="Oui",Irrigation!M76,"")</f>
        <v/>
      </c>
      <c r="GT6" s="431" t="str">
        <f>IF(cIrriguante="Oui",Irrigation!M77,"")</f>
        <v/>
      </c>
      <c r="GU6" s="431" t="str">
        <f>IF(cIrriguante="Oui",Irrigation!M78,"")</f>
        <v/>
      </c>
      <c r="GV6" s="438" t="str">
        <f>IF(cIrriguante="Oui",Irrigation!O80,"")</f>
        <v/>
      </c>
      <c r="GW6" s="433" t="str">
        <f>IF(cIrriguante="Oui",Irrigation!M85,"")</f>
        <v/>
      </c>
      <c r="GX6" s="438" t="str">
        <f>IF(cIrriguante="Oui",Irrigation!O87,"")</f>
        <v/>
      </c>
      <c r="GY6" s="438" t="str">
        <f>IF(cIrriguante="Oui",Irrigation!O92,"")</f>
        <v/>
      </c>
      <c r="GZ6" s="433" t="str">
        <f>IF(cIrriguante="Oui",Irrigation!J124,"")</f>
        <v/>
      </c>
      <c r="HA6" s="438" t="str">
        <f>IF(cIrriguante="Oui",Irrigation!L124,"")</f>
        <v/>
      </c>
      <c r="HB6" s="431" t="str">
        <f>IF(cIrriguante="Oui",Irrigation!J133,"")</f>
        <v/>
      </c>
      <c r="HC6" s="438" t="str">
        <f>IF(cIrriguante="Oui",Irrigation!D139,"")</f>
        <v/>
      </c>
      <c r="HD6" s="433" t="str">
        <f>IF(cIrriguante="Oui",Irrigation!L167,"")</f>
        <v/>
      </c>
      <c r="HE6" s="438" t="str">
        <f>IF(cIrriguante="Oui",Irrigation!N167,"")</f>
        <v/>
      </c>
      <c r="HF6" s="433" t="str">
        <f>IF(cIrriguante="Oui",Irrigation!K190,"")</f>
        <v/>
      </c>
      <c r="HG6" s="438" t="str">
        <f>IF(cIrriguante="Oui",Irrigation!M190,"")</f>
        <v/>
      </c>
      <c r="HH6" s="431" t="str">
        <f>IF(cIrriguante="Oui",Irrigation!N237,"")</f>
        <v/>
      </c>
      <c r="HI6" s="438" t="str">
        <f>IF(cIrriguante="Oui",Irrigation!P242,"")</f>
        <v/>
      </c>
      <c r="HJ6" s="466"/>
      <c r="HK6" s="466" t="str">
        <f>Accueil!I6&amp;" "&amp;Accueil!I7</f>
        <v>Version 1.11 du 12/7/2024</v>
      </c>
    </row>
  </sheetData>
  <sheetProtection algorithmName="SHA-512" hashValue="7V7qZ5FhxWd/M2D6HFkTQkQLs2sG3VwK9jgFJLJsKx7WR0B6F8Aq73TMdBSVSA73ZwIX6FFtEQHEiBlSQ4cquA==" saltValue="wYbx3oV/+eu7pvFx/SefAA==" spinCount="100000" sheet="1" objects="1" scenarios="1"/>
  <mergeCells count="53">
    <mergeCell ref="HK3:HK5"/>
    <mergeCell ref="CR4:CT4"/>
    <mergeCell ref="HJ3:HJ5"/>
    <mergeCell ref="DX4:EC4"/>
    <mergeCell ref="GN3:HI3"/>
    <mergeCell ref="CX3:FC3"/>
    <mergeCell ref="FD3:GM3"/>
    <mergeCell ref="CX4:DA4"/>
    <mergeCell ref="DB4:DF4"/>
    <mergeCell ref="DG4:DU4"/>
    <mergeCell ref="DV4:DW4"/>
    <mergeCell ref="GA4:GJ4"/>
    <mergeCell ref="ED4:EH4"/>
    <mergeCell ref="EI4:EJ4"/>
    <mergeCell ref="EK4:EO4"/>
    <mergeCell ref="EP4:EV4"/>
    <mergeCell ref="EW4:FC4"/>
    <mergeCell ref="AU4:BF4"/>
    <mergeCell ref="BG4:CD4"/>
    <mergeCell ref="CE4:CH4"/>
    <mergeCell ref="CI4:CK4"/>
    <mergeCell ref="AF3:AP3"/>
    <mergeCell ref="AS3:BF3"/>
    <mergeCell ref="BG3:CW3"/>
    <mergeCell ref="CU4:CW4"/>
    <mergeCell ref="AF4:AJ4"/>
    <mergeCell ref="AK4:AM4"/>
    <mergeCell ref="AN4:AP4"/>
    <mergeCell ref="AS4:AT4"/>
    <mergeCell ref="CL4:CM4"/>
    <mergeCell ref="CN4:CO4"/>
    <mergeCell ref="CP4:CQ4"/>
    <mergeCell ref="AQ4:AR4"/>
    <mergeCell ref="FD4:FJ4"/>
    <mergeCell ref="FK4:FL4"/>
    <mergeCell ref="FM4:FN4"/>
    <mergeCell ref="FO4:FR4"/>
    <mergeCell ref="FS4:FV4"/>
    <mergeCell ref="FW4:FZ4"/>
    <mergeCell ref="HD4:HE4"/>
    <mergeCell ref="HF4:HG4"/>
    <mergeCell ref="HH4:HI4"/>
    <mergeCell ref="GK4:GM4"/>
    <mergeCell ref="GN4:GO4"/>
    <mergeCell ref="GP4:GR4"/>
    <mergeCell ref="GS4:GY4"/>
    <mergeCell ref="GZ4:HA4"/>
    <mergeCell ref="HB4:HC4"/>
    <mergeCell ref="B3:AE3"/>
    <mergeCell ref="B4:H4"/>
    <mergeCell ref="I4:R4"/>
    <mergeCell ref="AC4:AE4"/>
    <mergeCell ref="X4:Y4"/>
  </mergeCells>
  <conditionalFormatting sqref="I5">
    <cfRule type="duplicateValues" dxfId="1" priority="1"/>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1" tint="0.14999847407452621"/>
  </sheetPr>
  <dimension ref="A1:HR8"/>
  <sheetViews>
    <sheetView zoomScale="115" zoomScaleNormal="115" workbookViewId="0">
      <selection activeCell="A6" sqref="A6"/>
    </sheetView>
  </sheetViews>
  <sheetFormatPr baseColWidth="10" defaultColWidth="11.42578125" defaultRowHeight="11.25" x14ac:dyDescent="0.2"/>
  <cols>
    <col min="1" max="1" width="11.42578125" style="431" customWidth="1"/>
    <col min="2" max="2" width="14.28515625" style="431" bestFit="1" customWidth="1"/>
    <col min="3" max="7" width="11.42578125" style="431" customWidth="1"/>
    <col min="8" max="8" width="13.85546875" style="431" bestFit="1" customWidth="1"/>
    <col min="9" max="9" width="11.42578125" style="431" customWidth="1"/>
    <col min="10" max="10" width="15.7109375" style="431" customWidth="1"/>
    <col min="11" max="11" width="11.42578125" style="431" customWidth="1"/>
    <col min="12" max="12" width="18.85546875" style="431" bestFit="1" customWidth="1"/>
    <col min="13" max="13" width="14.5703125" style="431" bestFit="1" customWidth="1"/>
    <col min="14" max="23" width="11.42578125" style="431" customWidth="1"/>
    <col min="24" max="216" width="11.42578125" style="431"/>
    <col min="217" max="217" width="18.7109375" style="431" customWidth="1"/>
    <col min="218" max="224" width="11.42578125" style="431"/>
    <col min="225" max="225" width="16.85546875" style="431" customWidth="1"/>
    <col min="226" max="226" width="20.42578125" style="431" customWidth="1"/>
    <col min="227" max="16384" width="11.42578125" style="431"/>
  </cols>
  <sheetData>
    <row r="1" spans="1:226" ht="15" x14ac:dyDescent="0.25">
      <c r="A1" s="120" t="s">
        <v>5190</v>
      </c>
    </row>
    <row r="2" spans="1:226" x14ac:dyDescent="0.2">
      <c r="W2" s="468"/>
      <c r="HQ2" s="467" t="s">
        <v>2797</v>
      </c>
      <c r="HR2" s="467"/>
    </row>
    <row r="3" spans="1:226" s="439" customFormat="1" ht="15" customHeight="1" x14ac:dyDescent="0.2">
      <c r="A3" s="1147" t="s">
        <v>4872</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c r="AJ3" s="1147"/>
      <c r="AK3" s="1141" t="s">
        <v>4873</v>
      </c>
      <c r="AL3" s="1141"/>
      <c r="AM3" s="1141"/>
      <c r="AN3" s="1141"/>
      <c r="AO3" s="1141"/>
      <c r="AP3" s="1141"/>
      <c r="AQ3" s="1141"/>
      <c r="AR3" s="1141"/>
      <c r="AS3" s="1141"/>
      <c r="AT3" s="1141"/>
      <c r="AU3" s="1141"/>
      <c r="AV3" s="1141"/>
      <c r="AW3" s="1141"/>
      <c r="AX3" s="1141"/>
      <c r="AY3" s="1141"/>
      <c r="AZ3" s="1143" t="s">
        <v>4952</v>
      </c>
      <c r="BA3" s="1143"/>
      <c r="BB3" s="1143"/>
      <c r="BC3" s="1143"/>
      <c r="BD3" s="1143"/>
      <c r="BE3" s="1130" t="s">
        <v>2622</v>
      </c>
      <c r="BF3" s="1130"/>
      <c r="BG3" s="1130"/>
      <c r="BH3" s="1130"/>
      <c r="BI3" s="1130"/>
      <c r="BJ3" s="1130"/>
      <c r="BK3" s="1130"/>
      <c r="BL3" s="1130"/>
      <c r="BM3" s="1130"/>
      <c r="BN3" s="1130"/>
      <c r="BO3" s="1130"/>
      <c r="BP3" s="1130"/>
      <c r="BQ3" s="1130"/>
      <c r="BR3" s="1130"/>
      <c r="BS3" s="1130"/>
      <c r="BT3" s="1130"/>
      <c r="BU3" s="1130"/>
      <c r="BV3" s="1130"/>
      <c r="BW3" s="1130"/>
      <c r="BX3" s="1130"/>
      <c r="BY3" s="1130"/>
      <c r="BZ3" s="1130"/>
      <c r="CA3" s="1130"/>
      <c r="CB3" s="1130"/>
      <c r="CC3" s="1130"/>
      <c r="CD3" s="1130"/>
      <c r="CE3" s="1130"/>
      <c r="CF3" s="1130"/>
      <c r="CG3" s="1130"/>
      <c r="CH3" s="1130"/>
      <c r="CI3" s="1130"/>
      <c r="CJ3" s="1130"/>
      <c r="CK3" s="1130"/>
      <c r="CL3" s="1130"/>
      <c r="CM3" s="1130"/>
      <c r="CN3" s="1130"/>
      <c r="CO3" s="1130"/>
      <c r="CP3" s="1130"/>
      <c r="CQ3" s="1130"/>
      <c r="CR3" s="1130"/>
      <c r="CS3" s="1130"/>
      <c r="CT3" s="1130"/>
      <c r="CU3" s="1130"/>
      <c r="CV3" s="1141" t="s">
        <v>2662</v>
      </c>
      <c r="CW3" s="1141"/>
      <c r="CX3" s="1141"/>
      <c r="CY3" s="1141"/>
      <c r="CZ3" s="1141"/>
      <c r="DA3" s="1141"/>
      <c r="DB3" s="1141"/>
      <c r="DC3" s="1141"/>
      <c r="DD3" s="1141"/>
      <c r="DE3" s="1141"/>
      <c r="DF3" s="1141"/>
      <c r="DG3" s="1141"/>
      <c r="DH3" s="1141"/>
      <c r="DI3" s="1141"/>
      <c r="DJ3" s="1141"/>
      <c r="DK3" s="1141"/>
      <c r="DL3" s="1141"/>
      <c r="DM3" s="1141"/>
      <c r="DN3" s="1141"/>
      <c r="DO3" s="1141"/>
      <c r="DP3" s="1141"/>
      <c r="DQ3" s="1141"/>
      <c r="DR3" s="1141"/>
      <c r="DS3" s="1141"/>
      <c r="DT3" s="1141"/>
      <c r="DU3" s="1141"/>
      <c r="DV3" s="1141"/>
      <c r="DW3" s="1141"/>
      <c r="DX3" s="1141"/>
      <c r="DY3" s="1141"/>
      <c r="DZ3" s="1141"/>
      <c r="EA3" s="1141"/>
      <c r="EB3" s="1141"/>
      <c r="EC3" s="1141"/>
      <c r="ED3" s="1141"/>
      <c r="EE3" s="1141"/>
      <c r="EF3" s="1141"/>
      <c r="EG3" s="1141"/>
      <c r="EH3" s="1141"/>
      <c r="EI3" s="1141"/>
      <c r="EJ3" s="1141"/>
      <c r="EK3" s="1141"/>
      <c r="EL3" s="1141"/>
      <c r="EM3" s="1141"/>
      <c r="EN3" s="1141"/>
      <c r="EO3" s="1141"/>
      <c r="EP3" s="1141"/>
      <c r="EQ3" s="1141"/>
      <c r="ER3" s="1141"/>
      <c r="ES3" s="1141"/>
      <c r="ET3" s="1141"/>
      <c r="EU3" s="1141"/>
      <c r="EV3" s="1141"/>
      <c r="EW3" s="1141"/>
      <c r="EX3" s="1141"/>
      <c r="EY3" s="1141"/>
      <c r="EZ3" s="1141"/>
      <c r="FA3" s="1141"/>
      <c r="FB3" s="1142" t="s">
        <v>2718</v>
      </c>
      <c r="FC3" s="1142"/>
      <c r="FD3" s="1142"/>
      <c r="FE3" s="1142"/>
      <c r="FF3" s="1142"/>
      <c r="FG3" s="1142"/>
      <c r="FH3" s="1142"/>
      <c r="FI3" s="1142"/>
      <c r="FJ3" s="1142"/>
      <c r="FK3" s="1142"/>
      <c r="FL3" s="1142"/>
      <c r="FM3" s="1142"/>
      <c r="FN3" s="1142"/>
      <c r="FO3" s="1142"/>
      <c r="FP3" s="1142"/>
      <c r="FQ3" s="1142"/>
      <c r="FR3" s="1142"/>
      <c r="FS3" s="1142"/>
      <c r="FT3" s="1142"/>
      <c r="FU3" s="1142"/>
      <c r="FV3" s="1142"/>
      <c r="FW3" s="1142"/>
      <c r="FX3" s="1142"/>
      <c r="FY3" s="1142"/>
      <c r="FZ3" s="1142"/>
      <c r="GA3" s="1142"/>
      <c r="GB3" s="1142"/>
      <c r="GC3" s="1142"/>
      <c r="GD3" s="1142"/>
      <c r="GE3" s="1142"/>
      <c r="GF3" s="1142"/>
      <c r="GG3" s="1142"/>
      <c r="GH3" s="1142"/>
      <c r="GI3" s="1142"/>
      <c r="GJ3" s="1142"/>
      <c r="GK3" s="1142"/>
      <c r="GL3" s="1140" t="s">
        <v>2750</v>
      </c>
      <c r="GM3" s="1140"/>
      <c r="GN3" s="1140"/>
      <c r="GO3" s="1140"/>
      <c r="GP3" s="1140"/>
      <c r="GQ3" s="1140"/>
      <c r="GR3" s="1140"/>
      <c r="GS3" s="1140"/>
      <c r="GT3" s="1140"/>
      <c r="GU3" s="1140"/>
      <c r="GV3" s="1140"/>
      <c r="GW3" s="1140"/>
      <c r="GX3" s="1140"/>
      <c r="GY3" s="1140"/>
      <c r="GZ3" s="1140"/>
      <c r="HA3" s="1140"/>
      <c r="HB3" s="1140"/>
      <c r="HC3" s="1140"/>
      <c r="HD3" s="1140"/>
      <c r="HE3" s="1140"/>
      <c r="HF3" s="1140"/>
      <c r="HG3" s="1140"/>
      <c r="HH3" s="1138" t="s">
        <v>2802</v>
      </c>
      <c r="HI3" s="1138" t="s">
        <v>2872</v>
      </c>
      <c r="HJ3" s="1141" t="s">
        <v>2662</v>
      </c>
      <c r="HK3" s="1141"/>
      <c r="HL3" s="1141"/>
      <c r="HM3" s="1141"/>
      <c r="HN3" s="1141"/>
      <c r="HO3" s="1141"/>
      <c r="HP3" s="1141"/>
    </row>
    <row r="4" spans="1:226" s="439" customFormat="1" x14ac:dyDescent="0.2">
      <c r="A4" s="1145" t="s">
        <v>4858</v>
      </c>
      <c r="B4" s="1145"/>
      <c r="C4" s="1145"/>
      <c r="D4" s="1145"/>
      <c r="E4" s="1145"/>
      <c r="F4" s="1145"/>
      <c r="G4" s="1145"/>
      <c r="H4" s="1145"/>
      <c r="I4" s="1145"/>
      <c r="J4" s="1145"/>
      <c r="K4" s="1145"/>
      <c r="L4" s="1145"/>
      <c r="M4" s="1145"/>
      <c r="N4" s="1145"/>
      <c r="O4" s="1145"/>
      <c r="P4" s="1145"/>
      <c r="Q4" s="1146" t="s">
        <v>2777</v>
      </c>
      <c r="R4" s="1146"/>
      <c r="S4" s="1146"/>
      <c r="T4" s="1146"/>
      <c r="U4" s="1146"/>
      <c r="V4" s="1146"/>
      <c r="W4" s="1146"/>
      <c r="X4" s="1146"/>
      <c r="Y4" s="1146"/>
      <c r="Z4" s="1146"/>
      <c r="AA4" s="1145" t="s">
        <v>4869</v>
      </c>
      <c r="AB4" s="1145"/>
      <c r="AC4" s="1145"/>
      <c r="AD4" s="1145"/>
      <c r="AE4" s="1146" t="s">
        <v>4877</v>
      </c>
      <c r="AF4" s="1146"/>
      <c r="AG4" s="1146"/>
      <c r="AH4" s="1146"/>
      <c r="AI4" s="1146"/>
      <c r="AJ4" s="1146"/>
      <c r="AK4" s="1137" t="s">
        <v>4870</v>
      </c>
      <c r="AL4" s="1137"/>
      <c r="AM4" s="1137"/>
      <c r="AN4" s="1137" t="s">
        <v>2781</v>
      </c>
      <c r="AO4" s="1137"/>
      <c r="AP4" s="1137"/>
      <c r="AQ4" s="1137"/>
      <c r="AR4" s="1137"/>
      <c r="AS4" s="1137"/>
      <c r="AT4" s="1137"/>
      <c r="AU4" s="1137"/>
      <c r="AV4" s="1137"/>
      <c r="AW4" s="1137"/>
      <c r="AX4" s="1137"/>
      <c r="AY4" s="1137"/>
      <c r="AZ4" s="1144" t="s">
        <v>4953</v>
      </c>
      <c r="BA4" s="539" t="s">
        <v>4943</v>
      </c>
      <c r="BB4" s="539" t="s">
        <v>4944</v>
      </c>
      <c r="BC4" s="539" t="s">
        <v>4945</v>
      </c>
      <c r="BD4" s="539" t="s">
        <v>4946</v>
      </c>
      <c r="BE4" s="1136" t="s">
        <v>2661</v>
      </c>
      <c r="BF4" s="1136"/>
      <c r="BG4" s="1136"/>
      <c r="BH4" s="1136"/>
      <c r="BI4" s="1136"/>
      <c r="BJ4" s="1136"/>
      <c r="BK4" s="1136"/>
      <c r="BL4" s="1136"/>
      <c r="BM4" s="1136"/>
      <c r="BN4" s="1136"/>
      <c r="BO4" s="1136"/>
      <c r="BP4" s="1136"/>
      <c r="BQ4" s="1136"/>
      <c r="BR4" s="1136"/>
      <c r="BS4" s="1136"/>
      <c r="BT4" s="1136"/>
      <c r="BU4" s="1136"/>
      <c r="BV4" s="1136"/>
      <c r="BW4" s="1136"/>
      <c r="BX4" s="1136"/>
      <c r="BY4" s="1136"/>
      <c r="BZ4" s="1136"/>
      <c r="CA4" s="1136"/>
      <c r="CB4" s="1136"/>
      <c r="CC4" s="1131" t="s">
        <v>2660</v>
      </c>
      <c r="CD4" s="1131"/>
      <c r="CE4" s="1131"/>
      <c r="CF4" s="1131"/>
      <c r="CG4" s="1136" t="s">
        <v>2659</v>
      </c>
      <c r="CH4" s="1136"/>
      <c r="CI4" s="1136"/>
      <c r="CJ4" s="1131" t="s">
        <v>2658</v>
      </c>
      <c r="CK4" s="1131"/>
      <c r="CL4" s="1136" t="s">
        <v>2657</v>
      </c>
      <c r="CM4" s="1136"/>
      <c r="CN4" s="1131" t="s">
        <v>2656</v>
      </c>
      <c r="CO4" s="1131"/>
      <c r="CP4" s="1136" t="s">
        <v>2653</v>
      </c>
      <c r="CQ4" s="1136"/>
      <c r="CR4" s="1136"/>
      <c r="CS4" s="1131" t="s">
        <v>2654</v>
      </c>
      <c r="CT4" s="1131"/>
      <c r="CU4" s="1131"/>
      <c r="CV4" s="1139" t="s">
        <v>2663</v>
      </c>
      <c r="CW4" s="1139"/>
      <c r="CX4" s="1139"/>
      <c r="CY4" s="1139"/>
      <c r="CZ4" s="1137" t="s">
        <v>2667</v>
      </c>
      <c r="DA4" s="1137"/>
      <c r="DB4" s="1137"/>
      <c r="DC4" s="1137"/>
      <c r="DD4" s="1137"/>
      <c r="DE4" s="1139" t="s">
        <v>2670</v>
      </c>
      <c r="DF4" s="1139"/>
      <c r="DG4" s="1139"/>
      <c r="DH4" s="1139"/>
      <c r="DI4" s="1139"/>
      <c r="DJ4" s="1139"/>
      <c r="DK4" s="1139"/>
      <c r="DL4" s="1139"/>
      <c r="DM4" s="1139"/>
      <c r="DN4" s="1139"/>
      <c r="DO4" s="1139"/>
      <c r="DP4" s="1139"/>
      <c r="DQ4" s="1139"/>
      <c r="DR4" s="1139"/>
      <c r="DS4" s="1139"/>
      <c r="DT4" s="1137" t="s">
        <v>2733</v>
      </c>
      <c r="DU4" s="1137"/>
      <c r="DV4" s="1139" t="s">
        <v>2687</v>
      </c>
      <c r="DW4" s="1139"/>
      <c r="DX4" s="1139"/>
      <c r="DY4" s="1139"/>
      <c r="DZ4" s="1139"/>
      <c r="EA4" s="1139"/>
      <c r="EB4" s="1137" t="s">
        <v>2694</v>
      </c>
      <c r="EC4" s="1137"/>
      <c r="ED4" s="1137"/>
      <c r="EE4" s="1137"/>
      <c r="EF4" s="1137"/>
      <c r="EG4" s="1139" t="s">
        <v>2697</v>
      </c>
      <c r="EH4" s="1139"/>
      <c r="EI4" s="1137" t="s">
        <v>2717</v>
      </c>
      <c r="EJ4" s="1137"/>
      <c r="EK4" s="1137"/>
      <c r="EL4" s="1137"/>
      <c r="EM4" s="1137"/>
      <c r="EN4" s="1139" t="s">
        <v>2703</v>
      </c>
      <c r="EO4" s="1139"/>
      <c r="EP4" s="1139"/>
      <c r="EQ4" s="1139"/>
      <c r="ER4" s="1139"/>
      <c r="ES4" s="1139"/>
      <c r="ET4" s="1139"/>
      <c r="EU4" s="1137" t="s">
        <v>2708</v>
      </c>
      <c r="EV4" s="1137"/>
      <c r="EW4" s="1137"/>
      <c r="EX4" s="1137"/>
      <c r="EY4" s="1137"/>
      <c r="EZ4" s="1137"/>
      <c r="FA4" s="1137"/>
      <c r="FB4" s="1127" t="s">
        <v>2719</v>
      </c>
      <c r="FC4" s="1127"/>
      <c r="FD4" s="1127"/>
      <c r="FE4" s="1127"/>
      <c r="FF4" s="1127"/>
      <c r="FG4" s="1127"/>
      <c r="FH4" s="1127"/>
      <c r="FI4" s="1124" t="s">
        <v>2726</v>
      </c>
      <c r="FJ4" s="1124"/>
      <c r="FK4" s="1127" t="s">
        <v>2727</v>
      </c>
      <c r="FL4" s="1127"/>
      <c r="FM4" s="1124" t="s">
        <v>2728</v>
      </c>
      <c r="FN4" s="1124"/>
      <c r="FO4" s="1124"/>
      <c r="FP4" s="1124"/>
      <c r="FQ4" s="1127" t="s">
        <v>2732</v>
      </c>
      <c r="FR4" s="1127"/>
      <c r="FS4" s="1127"/>
      <c r="FT4" s="1127"/>
      <c r="FU4" s="1124" t="s">
        <v>2734</v>
      </c>
      <c r="FV4" s="1124"/>
      <c r="FW4" s="1124"/>
      <c r="FX4" s="1124"/>
      <c r="FY4" s="1127" t="s">
        <v>2737</v>
      </c>
      <c r="FZ4" s="1127"/>
      <c r="GA4" s="1127"/>
      <c r="GB4" s="1127"/>
      <c r="GC4" s="1127"/>
      <c r="GD4" s="1127"/>
      <c r="GE4" s="1127"/>
      <c r="GF4" s="1127"/>
      <c r="GG4" s="1127"/>
      <c r="GH4" s="1127"/>
      <c r="GI4" s="1124" t="s">
        <v>2748</v>
      </c>
      <c r="GJ4" s="1124"/>
      <c r="GK4" s="1124"/>
      <c r="GL4" s="1126" t="s">
        <v>2751</v>
      </c>
      <c r="GM4" s="1126"/>
      <c r="GN4" s="1125" t="s">
        <v>2754</v>
      </c>
      <c r="GO4" s="1125"/>
      <c r="GP4" s="1125"/>
      <c r="GQ4" s="1126" t="s">
        <v>2757</v>
      </c>
      <c r="GR4" s="1126"/>
      <c r="GS4" s="1126"/>
      <c r="GT4" s="1126"/>
      <c r="GU4" s="1126"/>
      <c r="GV4" s="1126"/>
      <c r="GW4" s="1126"/>
      <c r="GX4" s="1125" t="s">
        <v>2768</v>
      </c>
      <c r="GY4" s="1125"/>
      <c r="GZ4" s="1126" t="s">
        <v>2762</v>
      </c>
      <c r="HA4" s="1126"/>
      <c r="HB4" s="1125" t="s">
        <v>2764</v>
      </c>
      <c r="HC4" s="1125"/>
      <c r="HD4" s="1126" t="s">
        <v>2765</v>
      </c>
      <c r="HE4" s="1126"/>
      <c r="HF4" s="1125" t="s">
        <v>2766</v>
      </c>
      <c r="HG4" s="1125"/>
      <c r="HH4" s="1138"/>
      <c r="HI4" s="1138"/>
      <c r="HJ4" s="1139" t="s">
        <v>2670</v>
      </c>
      <c r="HK4" s="1139"/>
      <c r="HL4" s="1139"/>
      <c r="HM4" s="1139"/>
      <c r="HN4" s="1139"/>
      <c r="HO4" s="1139"/>
      <c r="HP4" s="1139"/>
    </row>
    <row r="5" spans="1:226" s="432" customFormat="1" ht="35.450000000000003" customHeight="1" x14ac:dyDescent="0.25">
      <c r="A5" s="513" t="s">
        <v>4856</v>
      </c>
      <c r="B5" s="513" t="s">
        <v>861</v>
      </c>
      <c r="C5" s="514" t="s">
        <v>4855</v>
      </c>
      <c r="D5" s="514" t="s">
        <v>862</v>
      </c>
      <c r="E5" s="513" t="s">
        <v>4857</v>
      </c>
      <c r="F5" s="514" t="s">
        <v>863</v>
      </c>
      <c r="G5" s="514" t="s">
        <v>4874</v>
      </c>
      <c r="H5" s="513" t="s">
        <v>864</v>
      </c>
      <c r="I5" s="514" t="s">
        <v>867</v>
      </c>
      <c r="J5" s="514" t="s">
        <v>555</v>
      </c>
      <c r="K5" s="514" t="s">
        <v>865</v>
      </c>
      <c r="L5" s="514" t="s">
        <v>47</v>
      </c>
      <c r="M5" s="515" t="s">
        <v>868</v>
      </c>
      <c r="N5" s="514" t="s">
        <v>2807</v>
      </c>
      <c r="O5" s="514" t="s">
        <v>870</v>
      </c>
      <c r="P5" s="514" t="s">
        <v>2804</v>
      </c>
      <c r="Q5" s="516" t="s">
        <v>2537</v>
      </c>
      <c r="R5" s="516" t="s">
        <v>4859</v>
      </c>
      <c r="S5" s="516" t="s">
        <v>4860</v>
      </c>
      <c r="T5" s="516" t="s">
        <v>4861</v>
      </c>
      <c r="U5" s="516" t="s">
        <v>4862</v>
      </c>
      <c r="V5" s="517" t="s">
        <v>4863</v>
      </c>
      <c r="W5" s="516" t="s">
        <v>4864</v>
      </c>
      <c r="X5" s="516" t="s">
        <v>2415</v>
      </c>
      <c r="Y5" s="516" t="s">
        <v>884</v>
      </c>
      <c r="Z5" s="516" t="s">
        <v>2802</v>
      </c>
      <c r="AA5" s="514" t="s">
        <v>4865</v>
      </c>
      <c r="AB5" s="514" t="s">
        <v>4866</v>
      </c>
      <c r="AC5" s="514" t="s">
        <v>4867</v>
      </c>
      <c r="AD5" s="514" t="s">
        <v>4868</v>
      </c>
      <c r="AE5" s="512" t="s">
        <v>2786</v>
      </c>
      <c r="AF5" s="512" t="s">
        <v>2784</v>
      </c>
      <c r="AG5" s="512" t="s">
        <v>2774</v>
      </c>
      <c r="AH5" s="512" t="s">
        <v>2782</v>
      </c>
      <c r="AI5" s="512" t="s">
        <v>2785</v>
      </c>
      <c r="AJ5" s="512" t="s">
        <v>4854</v>
      </c>
      <c r="AK5" s="440" t="s">
        <v>2780</v>
      </c>
      <c r="AL5" s="440" t="s">
        <v>2781</v>
      </c>
      <c r="AM5" s="440" t="s">
        <v>4871</v>
      </c>
      <c r="AN5" s="440" t="s">
        <v>98</v>
      </c>
      <c r="AO5" s="440" t="s">
        <v>105</v>
      </c>
      <c r="AP5" s="440" t="s">
        <v>2790</v>
      </c>
      <c r="AQ5" s="440" t="s">
        <v>2504</v>
      </c>
      <c r="AR5" s="440" t="s">
        <v>2791</v>
      </c>
      <c r="AS5" s="440" t="s">
        <v>2792</v>
      </c>
      <c r="AT5" s="440" t="s">
        <v>2793</v>
      </c>
      <c r="AU5" s="440" t="s">
        <v>2794</v>
      </c>
      <c r="AV5" s="440" t="s">
        <v>306</v>
      </c>
      <c r="AW5" s="440" t="s">
        <v>308</v>
      </c>
      <c r="AX5" s="440" t="s">
        <v>2795</v>
      </c>
      <c r="AY5" s="440" t="s">
        <v>33</v>
      </c>
      <c r="AZ5" s="1144"/>
      <c r="BA5" s="540" t="s">
        <v>2625</v>
      </c>
      <c r="BB5" s="540" t="s">
        <v>2625</v>
      </c>
      <c r="BC5" s="540" t="s">
        <v>2625</v>
      </c>
      <c r="BD5" s="540" t="s">
        <v>2625</v>
      </c>
      <c r="BE5" s="437" t="s">
        <v>2632</v>
      </c>
      <c r="BF5" s="437" t="s">
        <v>2623</v>
      </c>
      <c r="BG5" s="437" t="s">
        <v>2626</v>
      </c>
      <c r="BH5" s="437" t="s">
        <v>2627</v>
      </c>
      <c r="BI5" s="437" t="s">
        <v>2628</v>
      </c>
      <c r="BJ5" s="437" t="s">
        <v>2629</v>
      </c>
      <c r="BK5" s="437" t="s">
        <v>2630</v>
      </c>
      <c r="BL5" s="437" t="s">
        <v>2631</v>
      </c>
      <c r="BM5" s="437" t="s">
        <v>2808</v>
      </c>
      <c r="BN5" s="437" t="s">
        <v>2633</v>
      </c>
      <c r="BO5" s="437" t="s">
        <v>2634</v>
      </c>
      <c r="BP5" s="437" t="s">
        <v>2635</v>
      </c>
      <c r="BQ5" s="437" t="s">
        <v>2636</v>
      </c>
      <c r="BR5" s="437" t="s">
        <v>2637</v>
      </c>
      <c r="BS5" s="437" t="s">
        <v>2638</v>
      </c>
      <c r="BT5" s="437" t="s">
        <v>2639</v>
      </c>
      <c r="BU5" s="437" t="s">
        <v>2640</v>
      </c>
      <c r="BV5" s="437" t="s">
        <v>2641</v>
      </c>
      <c r="BW5" s="437" t="s">
        <v>2642</v>
      </c>
      <c r="BX5" s="437" t="s">
        <v>2643</v>
      </c>
      <c r="BY5" s="437" t="s">
        <v>2624</v>
      </c>
      <c r="BZ5" s="437" t="s">
        <v>2809</v>
      </c>
      <c r="CA5" s="437" t="s">
        <v>2810</v>
      </c>
      <c r="CB5" s="437" t="s">
        <v>2625</v>
      </c>
      <c r="CC5" s="436" t="s">
        <v>2644</v>
      </c>
      <c r="CD5" s="436" t="s">
        <v>2645</v>
      </c>
      <c r="CE5" s="436" t="s">
        <v>251</v>
      </c>
      <c r="CF5" s="436" t="s">
        <v>2646</v>
      </c>
      <c r="CG5" s="437" t="s">
        <v>251</v>
      </c>
      <c r="CH5" s="437" t="s">
        <v>2646</v>
      </c>
      <c r="CI5" s="437" t="s">
        <v>2649</v>
      </c>
      <c r="CJ5" s="436" t="s">
        <v>2647</v>
      </c>
      <c r="CK5" s="436" t="s">
        <v>2646</v>
      </c>
      <c r="CL5" s="437" t="s">
        <v>2647</v>
      </c>
      <c r="CM5" s="437" t="s">
        <v>2646</v>
      </c>
      <c r="CN5" s="436" t="s">
        <v>2650</v>
      </c>
      <c r="CO5" s="436" t="s">
        <v>2646</v>
      </c>
      <c r="CP5" s="437" t="s">
        <v>2655</v>
      </c>
      <c r="CQ5" s="437" t="s">
        <v>2648</v>
      </c>
      <c r="CR5" s="437" t="s">
        <v>2646</v>
      </c>
      <c r="CS5" s="436" t="s">
        <v>2652</v>
      </c>
      <c r="CT5" s="436" t="s">
        <v>2651</v>
      </c>
      <c r="CU5" s="436" t="s">
        <v>2646</v>
      </c>
      <c r="CV5" s="435" t="s">
        <v>2664</v>
      </c>
      <c r="CW5" s="435" t="s">
        <v>2665</v>
      </c>
      <c r="CX5" s="435" t="s">
        <v>2666</v>
      </c>
      <c r="CY5" s="435" t="s">
        <v>2646</v>
      </c>
      <c r="CZ5" s="440" t="s">
        <v>2668</v>
      </c>
      <c r="DA5" s="440" t="s">
        <v>2645</v>
      </c>
      <c r="DB5" s="440" t="s">
        <v>2669</v>
      </c>
      <c r="DC5" s="440" t="s">
        <v>251</v>
      </c>
      <c r="DD5" s="440" t="s">
        <v>2646</v>
      </c>
      <c r="DE5" s="435" t="s">
        <v>2671</v>
      </c>
      <c r="DF5" s="435" t="s">
        <v>2672</v>
      </c>
      <c r="DG5" s="435" t="s">
        <v>2673</v>
      </c>
      <c r="DH5" s="435" t="s">
        <v>2674</v>
      </c>
      <c r="DI5" s="435" t="s">
        <v>2675</v>
      </c>
      <c r="DJ5" s="435" t="s">
        <v>2676</v>
      </c>
      <c r="DK5" s="435" t="s">
        <v>2677</v>
      </c>
      <c r="DL5" s="435" t="s">
        <v>2678</v>
      </c>
      <c r="DM5" s="435" t="s">
        <v>2679</v>
      </c>
      <c r="DN5" s="435" t="s">
        <v>2680</v>
      </c>
      <c r="DO5" s="435" t="s">
        <v>2681</v>
      </c>
      <c r="DP5" s="435" t="s">
        <v>2682</v>
      </c>
      <c r="DQ5" s="435" t="s">
        <v>2683</v>
      </c>
      <c r="DR5" s="435" t="s">
        <v>2684</v>
      </c>
      <c r="DS5" s="435" t="s">
        <v>2685</v>
      </c>
      <c r="DT5" s="440" t="s">
        <v>2646</v>
      </c>
      <c r="DU5" s="440" t="s">
        <v>2686</v>
      </c>
      <c r="DV5" s="435" t="s">
        <v>2688</v>
      </c>
      <c r="DW5" s="435" t="s">
        <v>2689</v>
      </c>
      <c r="DX5" s="435" t="s">
        <v>2690</v>
      </c>
      <c r="DY5" s="435" t="s">
        <v>2691</v>
      </c>
      <c r="DZ5" s="435" t="s">
        <v>2692</v>
      </c>
      <c r="EA5" s="435" t="s">
        <v>2693</v>
      </c>
      <c r="EB5" s="440" t="s">
        <v>2715</v>
      </c>
      <c r="EC5" s="440" t="s">
        <v>2716</v>
      </c>
      <c r="ED5" s="440" t="s">
        <v>2695</v>
      </c>
      <c r="EE5" s="440" t="s">
        <v>2696</v>
      </c>
      <c r="EF5" s="440" t="s">
        <v>2685</v>
      </c>
      <c r="EG5" s="435" t="s">
        <v>2698</v>
      </c>
      <c r="EH5" s="435" t="s">
        <v>2646</v>
      </c>
      <c r="EI5" s="440" t="s">
        <v>2699</v>
      </c>
      <c r="EJ5" s="440" t="s">
        <v>2700</v>
      </c>
      <c r="EK5" s="440" t="s">
        <v>2701</v>
      </c>
      <c r="EL5" s="440" t="s">
        <v>2702</v>
      </c>
      <c r="EM5" s="440" t="s">
        <v>2685</v>
      </c>
      <c r="EN5" s="435" t="s">
        <v>2704</v>
      </c>
      <c r="EO5" s="435" t="s">
        <v>2705</v>
      </c>
      <c r="EP5" s="435" t="s">
        <v>2707</v>
      </c>
      <c r="EQ5" s="435" t="s">
        <v>2699</v>
      </c>
      <c r="ER5" s="435" t="s">
        <v>2700</v>
      </c>
      <c r="ES5" s="435" t="s">
        <v>2706</v>
      </c>
      <c r="ET5" s="435" t="s">
        <v>2685</v>
      </c>
      <c r="EU5" s="440" t="s">
        <v>2709</v>
      </c>
      <c r="EV5" s="440" t="s">
        <v>2710</v>
      </c>
      <c r="EW5" s="440" t="s">
        <v>2711</v>
      </c>
      <c r="EX5" s="440" t="s">
        <v>2712</v>
      </c>
      <c r="EY5" s="440" t="s">
        <v>2713</v>
      </c>
      <c r="EZ5" s="440" t="s">
        <v>2714</v>
      </c>
      <c r="FA5" s="440" t="s">
        <v>2685</v>
      </c>
      <c r="FB5" s="441" t="s">
        <v>2720</v>
      </c>
      <c r="FC5" s="441" t="s">
        <v>2721</v>
      </c>
      <c r="FD5" s="441" t="s">
        <v>2722</v>
      </c>
      <c r="FE5" s="441" t="s">
        <v>2723</v>
      </c>
      <c r="FF5" s="441" t="s">
        <v>2646</v>
      </c>
      <c r="FG5" s="441" t="s">
        <v>2724</v>
      </c>
      <c r="FH5" s="441" t="s">
        <v>2725</v>
      </c>
      <c r="FI5" s="442" t="s">
        <v>2646</v>
      </c>
      <c r="FJ5" s="442" t="s">
        <v>2685</v>
      </c>
      <c r="FK5" s="441" t="s">
        <v>251</v>
      </c>
      <c r="FL5" s="441" t="s">
        <v>2646</v>
      </c>
      <c r="FM5" s="442" t="s">
        <v>2729</v>
      </c>
      <c r="FN5" s="442" t="s">
        <v>2730</v>
      </c>
      <c r="FO5" s="442" t="s">
        <v>2731</v>
      </c>
      <c r="FP5" s="442" t="s">
        <v>2685</v>
      </c>
      <c r="FQ5" s="441" t="s">
        <v>2645</v>
      </c>
      <c r="FR5" s="441" t="s">
        <v>2669</v>
      </c>
      <c r="FS5" s="441" t="s">
        <v>251</v>
      </c>
      <c r="FT5" s="441" t="s">
        <v>2646</v>
      </c>
      <c r="FU5" s="442" t="s">
        <v>2736</v>
      </c>
      <c r="FV5" s="442" t="s">
        <v>2735</v>
      </c>
      <c r="FW5" s="442" t="s">
        <v>251</v>
      </c>
      <c r="FX5" s="442" t="s">
        <v>2646</v>
      </c>
      <c r="FY5" s="441" t="s">
        <v>2738</v>
      </c>
      <c r="FZ5" s="441" t="s">
        <v>2739</v>
      </c>
      <c r="GA5" s="441" t="s">
        <v>2740</v>
      </c>
      <c r="GB5" s="441" t="s">
        <v>2741</v>
      </c>
      <c r="GC5" s="441" t="s">
        <v>2742</v>
      </c>
      <c r="GD5" s="441" t="s">
        <v>2743</v>
      </c>
      <c r="GE5" s="441" t="s">
        <v>2744</v>
      </c>
      <c r="GF5" s="441" t="s">
        <v>2745</v>
      </c>
      <c r="GG5" s="441" t="s">
        <v>2746</v>
      </c>
      <c r="GH5" s="441" t="s">
        <v>2747</v>
      </c>
      <c r="GI5" s="442" t="s">
        <v>251</v>
      </c>
      <c r="GJ5" s="442" t="s">
        <v>2646</v>
      </c>
      <c r="GK5" s="442" t="s">
        <v>2685</v>
      </c>
      <c r="GL5" s="443" t="s">
        <v>2752</v>
      </c>
      <c r="GM5" s="443" t="s">
        <v>2753</v>
      </c>
      <c r="GN5" s="445" t="s">
        <v>2755</v>
      </c>
      <c r="GO5" s="445" t="s">
        <v>2756</v>
      </c>
      <c r="GP5" s="445" t="s">
        <v>2646</v>
      </c>
      <c r="GQ5" s="443" t="s">
        <v>2758</v>
      </c>
      <c r="GR5" s="443" t="s">
        <v>2759</v>
      </c>
      <c r="GS5" s="443" t="s">
        <v>2769</v>
      </c>
      <c r="GT5" s="443" t="s">
        <v>2646</v>
      </c>
      <c r="GU5" s="443" t="s">
        <v>2760</v>
      </c>
      <c r="GV5" s="443" t="s">
        <v>2761</v>
      </c>
      <c r="GW5" s="443" t="s">
        <v>2685</v>
      </c>
      <c r="GX5" s="445" t="s">
        <v>251</v>
      </c>
      <c r="GY5" s="445" t="s">
        <v>2646</v>
      </c>
      <c r="GZ5" s="443" t="s">
        <v>2763</v>
      </c>
      <c r="HA5" s="443" t="s">
        <v>2646</v>
      </c>
      <c r="HB5" s="445" t="s">
        <v>251</v>
      </c>
      <c r="HC5" s="445" t="s">
        <v>2646</v>
      </c>
      <c r="HD5" s="443" t="s">
        <v>251</v>
      </c>
      <c r="HE5" s="443" t="s">
        <v>2646</v>
      </c>
      <c r="HF5" s="445" t="s">
        <v>2767</v>
      </c>
      <c r="HG5" s="445" t="s">
        <v>2685</v>
      </c>
      <c r="HH5" s="1138"/>
      <c r="HI5" s="1138"/>
      <c r="HJ5" s="435" t="s">
        <v>5188</v>
      </c>
      <c r="HK5" s="435" t="s">
        <v>5182</v>
      </c>
      <c r="HL5" s="435" t="s">
        <v>5183</v>
      </c>
      <c r="HM5" s="435" t="s">
        <v>5184</v>
      </c>
      <c r="HN5" s="435" t="s">
        <v>5185</v>
      </c>
      <c r="HO5" s="435" t="s">
        <v>5186</v>
      </c>
      <c r="HP5" s="435" t="s">
        <v>5187</v>
      </c>
    </row>
    <row r="6" spans="1:226" x14ac:dyDescent="0.2">
      <c r="A6" s="446" t="str">
        <f>IF(ISBLANK(NOM_EXPLOITANT),"",NOM_EXPLOITANT)</f>
        <v/>
      </c>
      <c r="B6" s="537" t="str">
        <f>IF(ISBLANK(SIRET_EXPLOITATION),"",SIRET_EXPLOITATION)</f>
        <v/>
      </c>
      <c r="C6" s="464" t="str">
        <f>IF(ISBLANK(CVI_EXPLOITATION),"",CVI_EXPLOITATION)</f>
        <v/>
      </c>
      <c r="D6" s="431" t="str">
        <f>IF(ISBLANK(RAISOC_EXPLOITATION),"",RAISOC_EXPLOITATION)</f>
        <v/>
      </c>
      <c r="E6" s="538">
        <f>ANNEE_CREATION_EXPLOITATION</f>
        <v>0</v>
      </c>
      <c r="F6" s="431" t="str">
        <f>IF(ISBLANK(ADRESSE_EXPLOITATION_SIEGE),"",ADRESSE_EXPLOITATION_SIEGE)</f>
        <v/>
      </c>
      <c r="G6" s="431" t="str">
        <f>IF(ISBLANK(COMPLEMENT_ADRESSE_EXPLOITATION_SIEGE),"",COMPLEMENT_ADRESSE_EXPLOITATION_SIEGE)</f>
        <v/>
      </c>
      <c r="H6" s="431" t="str">
        <f>IF(ISBLANK(CODE_POSTAL_EXPLOITATION_SIEGE),"",CODE_POSTAL_EXPLOITATION_SIEGE)</f>
        <v/>
      </c>
      <c r="I6" s="431" t="str">
        <f>IF(ISBLANK(COMMUNE_EXPLOITATION_SIEGE),"",COMMUNE_EXPLOITATION_SIEGE)</f>
        <v/>
      </c>
      <c r="J6" s="464" t="str">
        <f>IF(ISBLANK(DEPARTEMENT_EXPLOITATION_SIEGE),"",DEPARTEMENT_EXPLOITATION_SIEGE)</f>
        <v/>
      </c>
      <c r="K6" s="431" t="str">
        <f>IF(ISBLANK(REGION_EXPLOITATION_SIEGE),"",REGION_EXPLOITATION_SIEGE)</f>
        <v/>
      </c>
      <c r="L6" s="431" t="str">
        <f>IF(ISBLANK(BASSIN_VITICOLE_EXPLOITATION_SIEGE),"",BASSIN_VITICOLE_EXPLOITATION_SIEGE)</f>
        <v/>
      </c>
      <c r="M6" s="431" t="str">
        <f>IF(ISBLANK(NUMERO_EXPLOITATION_SIEGE),"",NUMERO_EXPLOITATION_SIEGE)</f>
        <v/>
      </c>
      <c r="N6" s="431" t="str">
        <f>IF(ISBLANK(EMAIL_EXPLOITATION),"",EMAIL_EXPLOITATION)</f>
        <v/>
      </c>
      <c r="O6" s="431" t="str">
        <f>IF(ISBLANK(SITE_INTERNET_EXPLOITATION),"",SITE_INTERNET_EXPLOITATION)</f>
        <v/>
      </c>
      <c r="P6" s="431" t="str">
        <f>IF(ISBLANK(REF_ANNUAIRE),"",REF_ANNUAIRE)</f>
        <v/>
      </c>
      <c r="Q6" s="431" t="str">
        <f>IF(ISBLANK(STATUT_JURIDIQUE),"",STATUT_JURIDIQUE)</f>
        <v/>
      </c>
      <c r="R6" s="431" t="str">
        <f>IF(ISBLANK(V_ACTIVITE_PRINCIPALE),"",V_ACTIVITE_PRINCIPALE)</f>
        <v/>
      </c>
      <c r="S6" s="431" t="str">
        <f>IF(ISBLANK(V_ACTIVITE_SECOND),"",V_ACTIVITE_SECOND)</f>
        <v/>
      </c>
      <c r="T6" s="431" t="str">
        <f>IF(ISBLANK(V_AUTRE_ACTIVITE),"",V_AUTRE_ACTIVITE)</f>
        <v/>
      </c>
      <c r="U6" s="431" t="str">
        <f>IF(ISBLANK(A_ACTIVITE_PRINCIPALE),"",A_ACTIVITE_PRINCIPALE)</f>
        <v/>
      </c>
      <c r="V6" s="431" t="str">
        <f>IF(ISBLANK(A_ACTIVITE_SECOND),"",A_ACTIVITE_SECOND)</f>
        <v/>
      </c>
      <c r="W6" s="431" t="str">
        <f>IF(ISBLANK(A_AUTRE_ACTIVITE),"",A_AUTRE_ACTIVITE)</f>
        <v/>
      </c>
      <c r="X6" s="431" t="str">
        <f>IF(ISBLANK(OTEX),"",OTEX)</f>
        <v/>
      </c>
      <c r="Y6" s="431" t="str">
        <f>IF(ISBLANK(VENTE_DIRECTE),"",VENTE_DIRECTE)</f>
        <v/>
      </c>
      <c r="Z6" s="431" t="str">
        <f>IF(ISBLANK(Identification!C97),"",Identification!C97)</f>
        <v/>
      </c>
      <c r="AA6" s="431" t="str">
        <f>IF(ISBLANK(DEMARCHE_NIV2),"",DEMARCHE_NIV2)</f>
        <v/>
      </c>
      <c r="AB6" s="431" t="str">
        <f>IF(ISBLANK(AUTRE_DEMARCHE1),"",AUTRE_DEMARCHE1)</f>
        <v/>
      </c>
      <c r="AC6" s="431" t="str">
        <f>IF(ISBLANK(AUTRE_DEMARCHE2),"",AUTRE_DEMARCHE2)</f>
        <v/>
      </c>
      <c r="AD6" s="434" t="str">
        <f>IF(ISBLANK(AUTRE_DEMARCHE3),"",AUTRE_DEMARCHE3)</f>
        <v/>
      </c>
      <c r="AE6" s="446" t="str">
        <f>IF(ISBLANK(DATE_AUDIT),"",DATE_AUDIT)</f>
        <v/>
      </c>
      <c r="AF6" s="431" t="str">
        <f>IF(ISBLANK(NOM_AUDITEUR),"",NOM_AUDITEUR)</f>
        <v/>
      </c>
      <c r="AG6" s="431" t="str">
        <f>IF(ISBLANK(cTypeAudit),"",cTypeAudit)</f>
        <v/>
      </c>
      <c r="AH6" s="431" t="str">
        <f>IF(ISBLANK(CAMPAGNE_EVALUEE),"",CAMPAGNE_EVALUEE)</f>
        <v/>
      </c>
      <c r="AI6" s="431" t="str">
        <f>IF(ISBLANK(VERSION_REFERENTIEL),"",VERSION_REFERENTIEL)</f>
        <v>v4</v>
      </c>
      <c r="AJ6" s="457" t="str">
        <f>IF(ISBLANK(DUREE_AUDIT),"",DUREE_AUDIT)</f>
        <v/>
      </c>
      <c r="AK6" s="434" t="str">
        <f>IF(SURF_TOT_EXP_N=0,"",SURF_TOT_EXP_N)</f>
        <v/>
      </c>
      <c r="AL6" s="434" t="str">
        <f>IF(cSAU=0,"",cSAU)</f>
        <v/>
      </c>
      <c r="AM6" s="434" t="str">
        <f>IF(SNE_N=0,"",SNE_N)</f>
        <v/>
      </c>
      <c r="AN6" s="575" t="str">
        <f>IF(cSAU=0,"",Surfaces!O83)</f>
        <v/>
      </c>
      <c r="AO6" s="434" t="str">
        <f>IF(cSAU=0,"",Surfaces!O90)</f>
        <v/>
      </c>
      <c r="AP6" s="434" t="str">
        <f>IF(cSAU=0,"",Surfaces!O97)</f>
        <v/>
      </c>
      <c r="AQ6" s="434" t="str">
        <f>IF(cSAU=0,"",Surfaces!O105)</f>
        <v/>
      </c>
      <c r="AR6" s="434" t="str">
        <f>IF(cSAU=0,"",Surfaces!O111)</f>
        <v/>
      </c>
      <c r="AS6" s="434" t="str">
        <f>IF(cSAU=0,"",Surfaces!O122)</f>
        <v/>
      </c>
      <c r="AT6" s="434" t="str">
        <f>IF(cSAU=0,"",Surfaces!O129)</f>
        <v/>
      </c>
      <c r="AU6" s="434" t="str">
        <f>IF(cSAU=0,"",Surfaces!O137)</f>
        <v/>
      </c>
      <c r="AV6" s="434" t="str">
        <f>IF(cSAU=0,"",Surfaces!O141)</f>
        <v/>
      </c>
      <c r="AW6" s="434" t="str">
        <f>IF(cSAU=0,"",Surfaces!O159)</f>
        <v/>
      </c>
      <c r="AX6" s="434" t="str">
        <f>IF(cSAU=0,"",Surfaces!O161)</f>
        <v/>
      </c>
      <c r="AY6" s="434" t="str">
        <f>IF(cSAU=0,"",Surfaces!O197)</f>
        <v/>
      </c>
      <c r="AZ6" s="438" t="str">
        <f>IF(ISBLANK(RESULTAT_AUDIT),"",RESULTAT_AUDIT)</f>
        <v>Résultats non conformes au référentiel</v>
      </c>
      <c r="BA6" s="438" t="str">
        <f>IF(NOTE_GLOBALE_BIODIVERSITE=0,"",NOTE_GLOBALE_BIODIVERSITE)</f>
        <v/>
      </c>
      <c r="BB6" s="438" t="str">
        <f>IF(NOTE_GLOBALE_PHYTO=0,"",NOTE_GLOBALE_PHYTO)</f>
        <v/>
      </c>
      <c r="BC6" s="438" t="str">
        <f>IF(NOTE_GLOBALE_FERTILISATION=0,"",NOTE_GLOBALE_FERTILISATION)</f>
        <v/>
      </c>
      <c r="BD6" s="438" t="str">
        <f>IF(NOTE_GLOBALE_IRRIGATION=0,"",NOTE_GLOBALE_IRRIGATION)</f>
        <v/>
      </c>
      <c r="BE6" s="431" t="str">
        <f>IF(ISBLANK(Biodiversité!W41),"",Biodiversité!W41)</f>
        <v>NON</v>
      </c>
      <c r="BF6" s="433" t="str">
        <f>IF(Biodiversité!T48=0,"",Biodiversité!T48)</f>
        <v/>
      </c>
      <c r="BG6" s="434" t="str">
        <f>IF(Biodiversité!Y17=0,"",Biodiversité!Y17)</f>
        <v/>
      </c>
      <c r="BH6" s="434" t="str">
        <f>IF(Biodiversité!Y18=0,"",Biodiversité!Y18)</f>
        <v/>
      </c>
      <c r="BI6" s="434" t="str">
        <f>IF(Biodiversité!Y19=0,"",Biodiversité!Y19)</f>
        <v/>
      </c>
      <c r="BJ6" s="434" t="str">
        <f>IF(Biodiversité!Y20=0,"",Biodiversité!Y20)</f>
        <v/>
      </c>
      <c r="BK6" s="434" t="str">
        <f>IF(Biodiversité!Y21=0,"",Biodiversité!Y21)</f>
        <v/>
      </c>
      <c r="BL6" s="434" t="str">
        <f>IF(Biodiversité!Y22=0,"",Biodiversité!Y22)</f>
        <v/>
      </c>
      <c r="BM6" s="434" t="str">
        <f>IF(Biodiversité!Y23=0,"",Biodiversité!Y23)</f>
        <v/>
      </c>
      <c r="BN6" s="434" t="str">
        <f>IF(Biodiversité!Y25=0,"",Biodiversité!Y25)</f>
        <v/>
      </c>
      <c r="BO6" s="434" t="str">
        <f>IF(Biodiversité!Y26=0,"",Biodiversité!Y26)</f>
        <v/>
      </c>
      <c r="BP6" s="434" t="str">
        <f>IF(Biodiversité!Y27=0,"",Biodiversité!Y27)</f>
        <v/>
      </c>
      <c r="BQ6" s="434" t="str">
        <f>IF(Biodiversité!Y28=0,"",Biodiversité!Y28)</f>
        <v/>
      </c>
      <c r="BR6" s="434" t="str">
        <f>IF(Biodiversité!Y29=0,"",Biodiversité!Y29)</f>
        <v/>
      </c>
      <c r="BS6" s="434" t="str">
        <f>IF(Biodiversité!Y30=0,"",Biodiversité!Y30)</f>
        <v/>
      </c>
      <c r="BT6" s="434" t="str">
        <f>IF(Biodiversité!Y31=0,"",Biodiversité!Y31)</f>
        <v/>
      </c>
      <c r="BU6" s="434" t="str">
        <f>IF(Biodiversité!Y32=0,"",Biodiversité!Y32)</f>
        <v/>
      </c>
      <c r="BV6" s="434" t="str">
        <f>IF(Biodiversité!Y33=0,"",Biodiversité!Y33)</f>
        <v/>
      </c>
      <c r="BW6" s="434" t="str">
        <f>IF(Biodiversité!Y34=0,"",Biodiversité!Y34)</f>
        <v/>
      </c>
      <c r="BX6" s="434" t="str">
        <f>IF(Biodiversité!Y35=0,"",Biodiversité!Y35)</f>
        <v/>
      </c>
      <c r="BY6" s="433" t="str">
        <f>IF(Biodiversité!T53=0,"",Biodiversité!T53)</f>
        <v/>
      </c>
      <c r="BZ6" s="434" t="str">
        <f>IF(Biodiversité!T56=0,"",Biodiversité!T56)</f>
        <v/>
      </c>
      <c r="CA6" s="431" t="str">
        <f>IF(ISBLANK(Biodiversité!T60),"",Biodiversité!T60)</f>
        <v/>
      </c>
      <c r="CB6" s="434" t="str">
        <f>IF(Biodiversité!W58=0,"",Biodiversité!W58)</f>
        <v/>
      </c>
      <c r="CC6" s="434" t="str">
        <f>IF(ISBLANK(Biodiversité!P82),"",Biodiversité!P82)</f>
        <v/>
      </c>
      <c r="CD6" s="434" t="str">
        <f>IF(Biodiversité!P83=0,"",Biodiversité!P83)</f>
        <v/>
      </c>
      <c r="CE6" s="433" t="str">
        <f>IF(Biodiversité!P85=0,"",Biodiversité!P85)</f>
        <v/>
      </c>
      <c r="CF6" s="434" t="str">
        <f>IF(Biodiversité!S85=0,"",Biodiversité!S85)</f>
        <v/>
      </c>
      <c r="CG6" s="433" t="str">
        <f>IF(Biodiversité!N112=0,"",Biodiversité!N112)</f>
        <v/>
      </c>
      <c r="CH6" s="434" t="str">
        <f>IF(Biodiversité!Q112=0,"",Biodiversité!Q112)</f>
        <v/>
      </c>
      <c r="CI6" s="434" t="str">
        <f>IF(Biodiversité!N109=0,"",Biodiversité!N109)</f>
        <v/>
      </c>
      <c r="CJ6" s="431" t="str">
        <f>IF(Biodiversité!L152=0,"",Biodiversité!L152)</f>
        <v/>
      </c>
      <c r="CK6" s="434" t="str">
        <f>IF(Biodiversité!O154=0,"",Biodiversité!O154)</f>
        <v/>
      </c>
      <c r="CL6" s="431" t="str">
        <f>IF(Biodiversité!I180=0,"",Biodiversité!I180)</f>
        <v/>
      </c>
      <c r="CM6" s="434" t="str">
        <f>IF(Biodiversité!L180=0,"",Biodiversité!L180)</f>
        <v/>
      </c>
      <c r="CN6" s="431" t="str">
        <f>IF(Biodiversité!I199=0,"",Biodiversité!I199)</f>
        <v/>
      </c>
      <c r="CO6" s="434" t="str">
        <f>IF(Biodiversité!L199=0,"",Biodiversité!L199)</f>
        <v/>
      </c>
      <c r="CP6" s="431" t="str">
        <f>IF(Biodiversité!I215=0,"",Biodiversité!I215)</f>
        <v/>
      </c>
      <c r="CQ6" s="431" t="str">
        <f>IF(Biodiversité!I216=0,"",Biodiversité!I216)</f>
        <v/>
      </c>
      <c r="CR6" s="434" t="str">
        <f>IF(Biodiversité!L231=0,"",Biodiversité!L231)</f>
        <v/>
      </c>
      <c r="CS6" s="431" t="str">
        <f>IF(ISBLANK(Biodiversité!O242),"",Biodiversité!O242)</f>
        <v/>
      </c>
      <c r="CT6" s="431" t="str">
        <f>IF(ISBLANK(Biodiversité!O243),"",Biodiversité!O243)</f>
        <v/>
      </c>
      <c r="CU6" s="438" t="str">
        <f>IF(Biodiversité!O247=0,"",Biodiversité!O247)</f>
        <v/>
      </c>
      <c r="CV6" s="431" t="str">
        <f>IF(ISBLANK(Phyto!L11),"",Phyto!L11)</f>
        <v/>
      </c>
      <c r="CW6" s="431" t="str">
        <f>IF(ISBLANK(Phyto!M22),"",Phyto!M22)</f>
        <v/>
      </c>
      <c r="CX6" s="431" t="str">
        <f>IF(ISBLANK(Phyto!M23),"",Phyto!M23)</f>
        <v/>
      </c>
      <c r="CY6" s="438" t="str">
        <f>IF(Phyto!P25=0,"",Phyto!P25)</f>
        <v/>
      </c>
      <c r="CZ6" s="438" t="str">
        <f>IF(ISBLANK(Phyto!M44),"",Phyto!M44)</f>
        <v/>
      </c>
      <c r="DA6" s="438" t="str">
        <f>IF(ISBLANK(Phyto!M45),"",Phyto!M45)</f>
        <v/>
      </c>
      <c r="DB6" s="438" t="str">
        <f>IF(ISBLANK(Phyto!M46),"",Phyto!M46)</f>
        <v/>
      </c>
      <c r="DC6" s="433" t="str">
        <f>IF(Phyto!M55=0,"",Phyto!M55)</f>
        <v/>
      </c>
      <c r="DD6" s="438" t="str">
        <f>IF(Phyto!P55=0,"",Phyto!P55)</f>
        <v/>
      </c>
      <c r="DE6" s="465" t="str">
        <f>IF(ISBLANK(Phyto!J96),"",Phyto!J96)</f>
        <v/>
      </c>
      <c r="DF6" s="465" t="str">
        <f>IF(ISBLANK(Phyto!J97),"",Phyto!J97)</f>
        <v/>
      </c>
      <c r="DG6" s="465" t="str">
        <f>IF(ISBLANK(Phyto!L96),"",Phyto!L96)</f>
        <v/>
      </c>
      <c r="DH6" s="465" t="str">
        <f>IF(ISBLANK(Phyto!L97),"",Phyto!L97)</f>
        <v/>
      </c>
      <c r="DI6" s="465" t="str">
        <f>IF(ISBLANK(Phyto!N96),"",Phyto!N96)</f>
        <v/>
      </c>
      <c r="DJ6" s="465" t="str">
        <f>IF(ISBLANK(Phyto!N97),"",Phyto!N97)</f>
        <v/>
      </c>
      <c r="DK6" s="465" t="str">
        <f>IF(ISBLANK(Phyto!P96),"",Phyto!P96)</f>
        <v/>
      </c>
      <c r="DL6" s="465" t="str">
        <f>IF(ISBLANK(Phyto!P97),"",Phyto!P97)</f>
        <v/>
      </c>
      <c r="DM6" s="438" t="str">
        <f>IF(ISBLANK(Phyto!H106),"",Phyto!H106)</f>
        <v/>
      </c>
      <c r="DN6" s="438" t="str">
        <f>IF(ISBLANK(Phyto!H107),"",Phyto!H107)</f>
        <v/>
      </c>
      <c r="DO6" s="438" t="str">
        <f>IF(ISBLANK(Phyto!M106),"",Phyto!M106)</f>
        <v/>
      </c>
      <c r="DP6" s="438" t="str">
        <f>IF(ISBLANK(Phyto!M107),"",Phyto!M107)</f>
        <v/>
      </c>
      <c r="DQ6" s="438" t="str">
        <f>IF(ISBLANK(Phyto!R106),"",Phyto!R106)</f>
        <v/>
      </c>
      <c r="DR6" s="438" t="str">
        <f>IF(ISBLANK(Phyto!R107),"",Phyto!R107)</f>
        <v/>
      </c>
      <c r="DS6" s="438" t="str">
        <f>IF(SUM(Phyto!K116:L118)=0,"",Phyto!M121)</f>
        <v/>
      </c>
      <c r="DT6" s="434" t="str">
        <f>IF(Phyto!Q155=0,"",Phyto!S154)</f>
        <v/>
      </c>
      <c r="DU6" s="434" t="str">
        <f>IF(Phyto!Q155=0,"",Phyto!S157)</f>
        <v/>
      </c>
      <c r="DV6" s="431" t="str">
        <f>IF(ISBLANK(Phyto!R172),"",Phyto!R172)</f>
        <v/>
      </c>
      <c r="DW6" s="431" t="str">
        <f>IF(ISBLANK(Phyto!R174),"",Phyto!R174)</f>
        <v/>
      </c>
      <c r="DX6" s="433" t="str">
        <f>IF(Phyto!R191=0,"",Phyto!R191)</f>
        <v/>
      </c>
      <c r="DY6" s="434" t="str">
        <f>IF(Phyto!R194=0,"",Phyto!R194)</f>
        <v/>
      </c>
      <c r="DZ6" s="434" t="str">
        <f>IF(Phyto!R195=0,"",Phyto!R195)</f>
        <v/>
      </c>
      <c r="EA6" s="434" t="str">
        <f>IF(Phyto!R196=0,"",Phyto!R196)</f>
        <v/>
      </c>
      <c r="EB6" s="433" t="str">
        <f>IF(Phyto!N234=0,"",Phyto!N236)</f>
        <v/>
      </c>
      <c r="EC6" s="433" t="str">
        <f>IF(Phyto!N235=0,"",Phyto!N237)</f>
        <v/>
      </c>
      <c r="ED6" s="438" t="str">
        <f>IF(Phyto!N234=0,"",Phyto!P236)</f>
        <v/>
      </c>
      <c r="EE6" s="438" t="str">
        <f>IF(Phyto!N235=0,"",Phyto!P237)</f>
        <v/>
      </c>
      <c r="EF6" s="438" t="str">
        <f>IF(Phyto!N238=0,"",Phyto!P239)</f>
        <v/>
      </c>
      <c r="EG6" s="431" t="str">
        <f>IF(ISBLANK(Phyto!J250),"",Phyto!J250)</f>
        <v/>
      </c>
      <c r="EH6" s="438" t="str">
        <f>IF(Phyto!D263=0,"",Phyto!D263)</f>
        <v/>
      </c>
      <c r="EI6" s="438" t="str">
        <f>IF(Phyto!J291=0,"",Phyto!L272)</f>
        <v/>
      </c>
      <c r="EJ6" s="438" t="str">
        <f>IF(Phyto!J292=0,"",Phyto!L277)</f>
        <v/>
      </c>
      <c r="EK6" s="438" t="str">
        <f>IF(Phyto!J293=0,"",Phyto!L282)</f>
        <v/>
      </c>
      <c r="EL6" s="438" t="str">
        <f>IF(Phyto!J294=0,"",Phyto!L287)</f>
        <v/>
      </c>
      <c r="EM6" s="438" t="str">
        <f>IF(SUM(Phyto!J291:K294)=0,"",Phyto!L296)</f>
        <v/>
      </c>
      <c r="EN6" s="433" t="str">
        <f>IF(Phyto!J322=0,"",Phyto!J325)</f>
        <v/>
      </c>
      <c r="EO6" s="433" t="str">
        <f>IF(Phyto!J323=0,"",Phyto!J326)</f>
        <v/>
      </c>
      <c r="EP6" s="433" t="str">
        <f>IF(Phyto!J324=0,"",Phyto!J327)</f>
        <v/>
      </c>
      <c r="EQ6" s="438" t="str">
        <f>IF(Phyto!J322=0,"",Phyto!L325)</f>
        <v/>
      </c>
      <c r="ER6" s="438" t="str">
        <f>IF(Phyto!J323=0,"",Phyto!L326)</f>
        <v/>
      </c>
      <c r="ES6" s="438" t="str">
        <f>IF(Phyto!J324=0,"",Phyto!L327)</f>
        <v/>
      </c>
      <c r="ET6" s="438" t="str">
        <f>IF(SUM(Phyto!J322:K324)=0,"",Phyto!L329)</f>
        <v/>
      </c>
      <c r="EU6" s="433" t="str">
        <f>IF(Phyto!L350=0,"",Phyto!L360)</f>
        <v/>
      </c>
      <c r="EV6" s="433" t="str">
        <f>IF(Phyto!L355=0,"",Phyto!L361)</f>
        <v/>
      </c>
      <c r="EW6" s="433" t="str">
        <f>IF(Phyto!L355=0,"",Phyto!L362)</f>
        <v/>
      </c>
      <c r="EX6" s="438" t="str">
        <f>IF(Phyto!L350=0,"",Phyto!N360)</f>
        <v/>
      </c>
      <c r="EY6" s="438" t="str">
        <f>IF(Phyto!L355=0,"",Phyto!N361)</f>
        <v/>
      </c>
      <c r="EZ6" s="438" t="str">
        <f>IF(Phyto!L355=0,"",Phyto!N362)</f>
        <v/>
      </c>
      <c r="FA6" s="438" t="str">
        <f>IF(SUM(Phyto!L350,Phyto!L355)=0,"",Phyto!N363)</f>
        <v/>
      </c>
      <c r="FB6" s="431" t="str">
        <f>IF(ISBLANK(Fertilisation!M52),"",Fertilisation!M52)</f>
        <v/>
      </c>
      <c r="FC6" s="431" t="str">
        <f>IF(ISBLANK(Fertilisation!M51),"",Fertilisation!M51)</f>
        <v/>
      </c>
      <c r="FD6" s="431" t="str">
        <f>IF(ISBLANK(Fertilisation!M54),"",Fertilisation!M54)</f>
        <v/>
      </c>
      <c r="FE6" s="434" t="str">
        <f>IF(ISBLANK(Fertilisation!M55),"",Fertilisation!M55)</f>
        <v/>
      </c>
      <c r="FF6" s="438" t="str">
        <f>IF(ISBLANK(Fertilisation!M54),"",Fertilisation!P55)</f>
        <v/>
      </c>
      <c r="FG6" s="433" t="str">
        <f>IF(ISBLANK(Fertilisation!M58),"",Fertilisation!M60)</f>
        <v/>
      </c>
      <c r="FH6" s="438" t="str">
        <f>IF(ISBLANK(Fertilisation!M54),"",Fertilisation!P64)</f>
        <v/>
      </c>
      <c r="FI6" s="438" t="str">
        <f>IF(Fertilisation!Q98=0,"",Fertilisation!S97)</f>
        <v/>
      </c>
      <c r="FJ6" s="438" t="str">
        <f>IF(Fertilisation!Q98=0,"",Fertilisation!S100)</f>
        <v/>
      </c>
      <c r="FK6" s="433" t="str">
        <f>IF(Fertilisation!N121=0,"",Fertilisation!N122)</f>
        <v/>
      </c>
      <c r="FL6" s="438" t="str">
        <f>IF(Fertilisation!N121=0,"",Fertilisation!P122)</f>
        <v/>
      </c>
      <c r="FM6" s="438" t="str">
        <f>IF(Fertilisation!N161=0,"",Fertilisation!P173)</f>
        <v/>
      </c>
      <c r="FN6" s="438" t="str">
        <f>IF(Fertilisation!N162=0,"",Fertilisation!P179)</f>
        <v/>
      </c>
      <c r="FO6" s="438" t="str">
        <f>IF(Fertilisation!N163=0,"",Fertilisation!P187)</f>
        <v/>
      </c>
      <c r="FP6" s="438" t="str">
        <f>IF(Fertilisation!P191=0,"",Fertilisation!P191)</f>
        <v/>
      </c>
      <c r="FQ6" s="434" t="str">
        <f>IF(Fertilisation!J207=0,"",Fertilisation!J207)</f>
        <v/>
      </c>
      <c r="FR6" s="434" t="str">
        <f>IF(ISBLANK(Fertilisation!J208),"",Fertilisation!J208)</f>
        <v/>
      </c>
      <c r="FS6" s="433" t="str">
        <f>IF(Fertilisation!J215=0,"",Fertilisation!J215)</f>
        <v/>
      </c>
      <c r="FT6" s="438" t="str">
        <f>IF(Fertilisation!L215=0,"",Fertilisation!L215)</f>
        <v/>
      </c>
      <c r="FU6" s="434" t="str">
        <f>IF(Fertilisation!N241=0,"",Fertilisation!N241)</f>
        <v/>
      </c>
      <c r="FV6" s="438" t="str">
        <f>IF(SUM(Phyto!J322:K324)=0,"",Fertilisation!N238)</f>
        <v/>
      </c>
      <c r="FW6" s="433" t="str">
        <f>IF(Fertilisation!N243=0,"",Fertilisation!N243)</f>
        <v/>
      </c>
      <c r="FX6" s="438" t="str">
        <f>IF(Fertilisation!P243=0,"",Fertilisation!P243)</f>
        <v/>
      </c>
      <c r="FY6" s="431" t="str">
        <f>IF(Fertilisation!O262&gt;0,IF(ISBLANK(Fertilisation!O266),"",Fertilisation!O266),"")</f>
        <v/>
      </c>
      <c r="FZ6" s="438" t="str">
        <f>IF(Fertilisation!O262&gt;0,IF(ISBLANK(Fertilisation!O273),"",Fertilisation!O273),"")</f>
        <v/>
      </c>
      <c r="GA6" s="431" t="str">
        <f>IF(Fertilisation!O262&gt;0,IF(ISBLANK(Fertilisation!O274),"",Fertilisation!O274),"")</f>
        <v/>
      </c>
      <c r="GB6" s="438" t="str">
        <f>IF(Fertilisation!O262&gt;0,Fertilisation!Q289,"")</f>
        <v/>
      </c>
      <c r="GC6" s="438" t="str">
        <f>IF(Fertilisation!O262&gt;0,Fertilisation!Q295,"")</f>
        <v/>
      </c>
      <c r="GD6" s="431" t="str">
        <f>IF(ISBLANK(Fertilisation!O262),"",IF(Fertilisation!O262&lt;100,IF(ISBLANK(Fertilisation!O269),"",Fertilisation!O269),""))</f>
        <v/>
      </c>
      <c r="GE6" s="438" t="str">
        <f>IF(ISBLANK(Fertilisation!O262),"",IF(Fertilisation!O262&lt;100,IF(ISBLANK(Fertilisation!O277),"",Fertilisation!O277),""))</f>
        <v/>
      </c>
      <c r="GF6" s="431" t="str">
        <f>IF(ISBLANK(Fertilisation!O262),"",IF(Fertilisation!O262&lt;100,IF(ISBLANK(Fertilisation!O278),"",Fertilisation!O278),""))</f>
        <v/>
      </c>
      <c r="GG6" s="438" t="str">
        <f>IF(ISBLANK(Fertilisation!O262),"",IF(Fertilisation!O262&lt;100,Fertilisation!Q290,""))</f>
        <v/>
      </c>
      <c r="GH6" s="438" t="str">
        <f>IF(ISBLANK(Fertilisation!O262),"",IF(Fertilisation!O262&lt;100,Fertilisation!Q296,""))</f>
        <v/>
      </c>
      <c r="GI6" s="433" t="str">
        <f>IF(Fertilisation!O322=0,"",Fertilisation!O323)</f>
        <v/>
      </c>
      <c r="GJ6" s="438" t="str">
        <f>IF(Fertilisation!O322=0,"",Fertilisation!Q324)</f>
        <v/>
      </c>
      <c r="GK6" s="438" t="str">
        <f>IF(Fertilisation!O322=0,"",Fertilisation!Q325)</f>
        <v/>
      </c>
      <c r="GL6" s="431" t="str">
        <f>IF(ISBLANK(cIrriguante),"",cIrriguante)</f>
        <v/>
      </c>
      <c r="GM6" s="433" t="str">
        <f>IF(ISBLANK(Irrigation!K14),"",Irrigation!K14)</f>
        <v/>
      </c>
      <c r="GN6" s="431" t="str">
        <f>IF(ISBLANK(Irrigation!K24),"",Irrigation!K24)</f>
        <v/>
      </c>
      <c r="GO6" s="433" t="str">
        <f>IF(cIrriguante="Oui",Irrigation!K51,"")</f>
        <v/>
      </c>
      <c r="GP6" s="438" t="str">
        <f>IF(cIrriguante="Oui",Irrigation!M51,"")</f>
        <v/>
      </c>
      <c r="GQ6" s="431" t="str">
        <f>IF(cIrriguante="Oui",Irrigation!M76,"")</f>
        <v/>
      </c>
      <c r="GR6" s="431" t="str">
        <f>IF(cIrriguante="Oui",Irrigation!M77,"")</f>
        <v/>
      </c>
      <c r="GS6" s="431" t="str">
        <f>IF(cIrriguante="Oui",Irrigation!M78,"")</f>
        <v/>
      </c>
      <c r="GT6" s="438" t="str">
        <f>IF(cIrriguante="Oui",Irrigation!O80,"")</f>
        <v/>
      </c>
      <c r="GU6" s="433" t="str">
        <f>IF(cIrriguante="Oui",Irrigation!M85,"")</f>
        <v/>
      </c>
      <c r="GV6" s="438" t="str">
        <f>IF(cIrriguante="Oui",Irrigation!O87,"")</f>
        <v/>
      </c>
      <c r="GW6" s="438" t="str">
        <f>IF(cIrriguante="Oui",Irrigation!O92,"")</f>
        <v/>
      </c>
      <c r="GX6" s="433" t="str">
        <f>IF(cIrriguante="Oui",Irrigation!J124,"")</f>
        <v/>
      </c>
      <c r="GY6" s="438" t="str">
        <f>IF(cIrriguante="Oui",Irrigation!L124,"")</f>
        <v/>
      </c>
      <c r="GZ6" s="431" t="str">
        <f>IF(cIrriguante="Oui",Irrigation!J133,"")</f>
        <v/>
      </c>
      <c r="HA6" s="438" t="str">
        <f>IF(cIrriguante="Oui",Irrigation!D139,"")</f>
        <v/>
      </c>
      <c r="HB6" s="433" t="str">
        <f>IF(cIrriguante="Oui",Irrigation!L167,"")</f>
        <v/>
      </c>
      <c r="HC6" s="438" t="str">
        <f>IF(cIrriguante="Oui",Irrigation!N167,"")</f>
        <v/>
      </c>
      <c r="HD6" s="433" t="str">
        <f>IF(cIrriguante="Oui",Irrigation!K190,"")</f>
        <v/>
      </c>
      <c r="HE6" s="438" t="str">
        <f>IF(cIrriguante="Oui",Irrigation!M190,"")</f>
        <v/>
      </c>
      <c r="HF6" s="431" t="str">
        <f>IF(cIrriguante="Oui",Irrigation!N237,"")</f>
        <v/>
      </c>
      <c r="HG6" s="438" t="str">
        <f>IF(cIrriguante="Oui",Irrigation!P242,"")</f>
        <v/>
      </c>
      <c r="HI6" s="431" t="str">
        <f>Accueil!I6&amp;" "&amp;Accueil!I7</f>
        <v>Version 1.11 du 12/7/2024</v>
      </c>
      <c r="HJ6" s="431" t="str">
        <f>IF(ISBLANK(NB_CAMPAGNE_IFT),"",NB_CAMPAGNE_IFT)</f>
        <v/>
      </c>
      <c r="HK6" s="431" t="str">
        <f>IF(ISBLANK(GC_IFT_REALISE_HERBICIDES),"",GC_IFT_REALISE_HERBICIDES)</f>
        <v/>
      </c>
      <c r="HL6" s="431" t="str">
        <f>IF(ISBLANK(GC_IFT_REALISE_HORS_HERBICIDES),"",GC_IFT_REALISE_HORS_HERBICIDES)</f>
        <v/>
      </c>
      <c r="HM6" s="431" t="str">
        <f>IF(ISBLANK(VIGNE_IFT_REALISE_HERBICIDES),"",VIGNE_IFT_REALISE_HERBICIDES)</f>
        <v/>
      </c>
      <c r="HN6" s="431" t="str">
        <f>IF(ISBLANK(VIGNE_IFT_REALISE_HORS_HERBICIDES),"",VIGNE_IFT_REALISE_HORS_HERBICIDES)</f>
        <v/>
      </c>
      <c r="HO6" s="431" t="str">
        <f>IF(ISBLANK(ARBO_IFT_REALISE_HERBICIDES),"",ARBO_IFT_REALISE_HERBICIDES)</f>
        <v/>
      </c>
      <c r="HP6" s="431" t="str">
        <f>IF(ISBLANK(ARBO_IFT_REALISE_HORS_HERBICIDES),"",ARBO_IFT_REALISE_HORS_HERBICIDES)</f>
        <v/>
      </c>
    </row>
    <row r="8" spans="1:226" x14ac:dyDescent="0.2">
      <c r="BZ8" s="434"/>
    </row>
  </sheetData>
  <sheetProtection algorithmName="SHA-512" hashValue="VekEV2QhcrFSkA9NHiHdx0L1mKtwcztFxaQf75q3S0tw/cLVgASQZ+RH9KJLoQGZ/g8OD5Vp1nAbvYEnDUVcbw==" saltValue="Wk1/DbAw10Y5WjEa01kyPw==" spinCount="100000" sheet="1" scenarios="1"/>
  <mergeCells count="52">
    <mergeCell ref="BE3:CU3"/>
    <mergeCell ref="AZ3:BD3"/>
    <mergeCell ref="AZ4:AZ5"/>
    <mergeCell ref="A4:P4"/>
    <mergeCell ref="Q4:Z4"/>
    <mergeCell ref="AA4:AD4"/>
    <mergeCell ref="AK4:AM4"/>
    <mergeCell ref="AE4:AJ4"/>
    <mergeCell ref="A3:AJ3"/>
    <mergeCell ref="AK3:AY3"/>
    <mergeCell ref="AN4:AY4"/>
    <mergeCell ref="FQ4:FT4"/>
    <mergeCell ref="FU4:FX4"/>
    <mergeCell ref="FY4:GH4"/>
    <mergeCell ref="CV3:FA3"/>
    <mergeCell ref="FB3:GK3"/>
    <mergeCell ref="FM4:FP4"/>
    <mergeCell ref="DE4:DS4"/>
    <mergeCell ref="DT4:DU4"/>
    <mergeCell ref="DV4:EA4"/>
    <mergeCell ref="EB4:EF4"/>
    <mergeCell ref="EG4:EH4"/>
    <mergeCell ref="EI4:EM4"/>
    <mergeCell ref="EN4:ET4"/>
    <mergeCell ref="EU4:FA4"/>
    <mergeCell ref="FB4:FH4"/>
    <mergeCell ref="FI4:FJ4"/>
    <mergeCell ref="FK4:FL4"/>
    <mergeCell ref="CZ4:DD4"/>
    <mergeCell ref="BE4:CB4"/>
    <mergeCell ref="CC4:CF4"/>
    <mergeCell ref="CG4:CI4"/>
    <mergeCell ref="CJ4:CK4"/>
    <mergeCell ref="CL4:CM4"/>
    <mergeCell ref="CN4:CO4"/>
    <mergeCell ref="CP4:CR4"/>
    <mergeCell ref="CS4:CU4"/>
    <mergeCell ref="CV4:CY4"/>
    <mergeCell ref="HJ4:HP4"/>
    <mergeCell ref="HJ3:HP3"/>
    <mergeCell ref="HB4:HC4"/>
    <mergeCell ref="HD4:HE4"/>
    <mergeCell ref="GI4:GK4"/>
    <mergeCell ref="GL4:GM4"/>
    <mergeCell ref="GN4:GP4"/>
    <mergeCell ref="GQ4:GW4"/>
    <mergeCell ref="GX4:GY4"/>
    <mergeCell ref="HI3:HI5"/>
    <mergeCell ref="HH3:HH5"/>
    <mergeCell ref="HF4:HG4"/>
    <mergeCell ref="GL3:HG3"/>
    <mergeCell ref="GZ4:HA4"/>
  </mergeCells>
  <conditionalFormatting sqref="B5">
    <cfRule type="duplicateValues" dxfId="0" priority="1"/>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6be7ebee-5b98-4973-86ef-ae3752ea54e7}" enabled="1" method="Privileged" siteId="{b9fec68c-c92d-461e-9a97-3d03a0f18b82}"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2001</vt:i4>
      </vt:variant>
    </vt:vector>
  </HeadingPairs>
  <TitlesOfParts>
    <vt:vector size="2019" baseType="lpstr">
      <vt:lpstr>Suivi modif</vt:lpstr>
      <vt:lpstr>Accueil</vt:lpstr>
      <vt:lpstr>Identification</vt:lpstr>
      <vt:lpstr>Surfaces</vt:lpstr>
      <vt:lpstr>Surfaces_Horti</vt:lpstr>
      <vt:lpstr>Biodiversité</vt:lpstr>
      <vt:lpstr>Phyto</vt:lpstr>
      <vt:lpstr>Fertilisation</vt:lpstr>
      <vt:lpstr>Irrigation</vt:lpstr>
      <vt:lpstr>SYNTHESE</vt:lpstr>
      <vt:lpstr>OTEX</vt:lpstr>
      <vt:lpstr>Scoring_GC</vt:lpstr>
      <vt:lpstr>Scoring_Arboriculture</vt:lpstr>
      <vt:lpstr>Scoring_Viticulture</vt:lpstr>
      <vt:lpstr>Communes_07-26</vt:lpstr>
      <vt:lpstr>BDD_OC</vt:lpstr>
      <vt:lpstr>BDD_SC</vt:lpstr>
      <vt:lpstr>Synthese_coll_v1.01</vt:lpstr>
      <vt:lpstr>A_ACTIVITE_PRINCIPALE</vt:lpstr>
      <vt:lpstr>A_ACTIVITE_SECOND</vt:lpstr>
      <vt:lpstr>A_AUTRE_ACTIVITE</vt:lpstr>
      <vt:lpstr>ADRESSE_EXPLOITATION_SIEGE</vt:lpstr>
      <vt:lpstr>AJONC_N</vt:lpstr>
      <vt:lpstr>AJONC_N1</vt:lpstr>
      <vt:lpstr>AJONC_N2</vt:lpstr>
      <vt:lpstr>ALIGN_CONV_ARA</vt:lpstr>
      <vt:lpstr>ALIGN_CONV_SURF</vt:lpstr>
      <vt:lpstr>ALIGN_REEL_ARA</vt:lpstr>
      <vt:lpstr>ALIGN_REEL_SURF</vt:lpstr>
      <vt:lpstr>ALIGN_UNITE</vt:lpstr>
      <vt:lpstr>ALTER_POURCENTAGE_SURF_HORS_HORTI</vt:lpstr>
      <vt:lpstr>ALTER_POURCENTAGE_SURF_HORTI</vt:lpstr>
      <vt:lpstr>ALTER_RESULTAT_HORS_HORTI</vt:lpstr>
      <vt:lpstr>ALTER_RESULTAT_HORTI</vt:lpstr>
      <vt:lpstr>ALTER_SAU_HORS_HORTI</vt:lpstr>
      <vt:lpstr>ALTER_SURF_HORS_HORTI</vt:lpstr>
      <vt:lpstr>ALTER_SURF_HORTI</vt:lpstr>
      <vt:lpstr>ANALYSE_MICROBIO</vt:lpstr>
      <vt:lpstr>ANCIENNE_REGION</vt:lpstr>
      <vt:lpstr>ANNEE_CREATION_EXPLOITATION</vt:lpstr>
      <vt:lpstr>ARBO_ANC_PLAFOND_IFT_HERBICIDES</vt:lpstr>
      <vt:lpstr>ARBO_ANC_PLAFOND_IFT_HORS_HERBICIDES</vt:lpstr>
      <vt:lpstr>ARBO_ANC_PLANCHER_IFT_HERBICIDES</vt:lpstr>
      <vt:lpstr>ARBO_ANC_PLANCHER_IFT_HORS_HERBICIDES</vt:lpstr>
      <vt:lpstr>ARBO_ANCIENNE_NOTATION</vt:lpstr>
      <vt:lpstr>ARBO_CONDITION_ANCIENNE_NOTATION</vt:lpstr>
      <vt:lpstr>ARBO_IFT_REALISE_HERBICIDES</vt:lpstr>
      <vt:lpstr>ARBO_IFT_REALISE_HORS_HERBICIDES</vt:lpstr>
      <vt:lpstr>ARBO_IFT_REALISE_N_HERBICIDES</vt:lpstr>
      <vt:lpstr>ARBO_IFT_REALISE_N_HORS_HERBICIDES</vt:lpstr>
      <vt:lpstr>ARBO_IFT_REALISE_N1_HERBICIDES</vt:lpstr>
      <vt:lpstr>ARBO_IFT_REALISE_N1_HORS_HERBICIDES</vt:lpstr>
      <vt:lpstr>ARBO_IFT_REALISE_N2_HERBICIDES</vt:lpstr>
      <vt:lpstr>ARBO_IFT_REALISE_N2_HORS_HERBICIDES</vt:lpstr>
      <vt:lpstr>ARBO_MAX_POINTS</vt:lpstr>
      <vt:lpstr>ARBO_NB_2_VARIETES</vt:lpstr>
      <vt:lpstr>ARBO_NB_3_VARIETES</vt:lpstr>
      <vt:lpstr>ARBO_PLAFOND_IFT_HERBICIDES</vt:lpstr>
      <vt:lpstr>ARBO_PLAFOND_IFT_HORS_HERBICIDES</vt:lpstr>
      <vt:lpstr>ARBO_PLANCHER_IFT_HERBICIDES</vt:lpstr>
      <vt:lpstr>ARBO_PLANCHER_IFT_HORS_HERBICIDES</vt:lpstr>
      <vt:lpstr>ARBO_RESULTAT</vt:lpstr>
      <vt:lpstr>ARBO_RESULTAT_ANC_NOTATION_HERBICIDES</vt:lpstr>
      <vt:lpstr>ARBO_RESULTAT_ANC_NOTATION_HORS_HERBICIDES</vt:lpstr>
      <vt:lpstr>ARBO_RESULTAT_HERBICIDES</vt:lpstr>
      <vt:lpstr>ARBO_RESULTAT_HORS_HERBICIDES</vt:lpstr>
      <vt:lpstr>ARBO_SURF</vt:lpstr>
      <vt:lpstr>AUTRE_DEMARCHE1</vt:lpstr>
      <vt:lpstr>AUTRE_DEMARCHE2</vt:lpstr>
      <vt:lpstr>AUTRE_DEMARCHE3</vt:lpstr>
      <vt:lpstr>AUTRES_CEREALES_N</vt:lpstr>
      <vt:lpstr>AUTRES_CEREALES_N1</vt:lpstr>
      <vt:lpstr>AUTRES_CEREALES_N2</vt:lpstr>
      <vt:lpstr>AUTRES_CULTURES_INDUSTRIELLES_N</vt:lpstr>
      <vt:lpstr>AUTRES_CULTURES_INDUSTRIELLES_N1</vt:lpstr>
      <vt:lpstr>AUTRES_CULTURES_INDUSTRIELLES_N2</vt:lpstr>
      <vt:lpstr>AUTRES_CULTURES_PERMANENTES_N</vt:lpstr>
      <vt:lpstr>AUTRES_CULTURES_PERMANENTES_N1</vt:lpstr>
      <vt:lpstr>AUTRES_CULTURES_PERMANENTES_N2</vt:lpstr>
      <vt:lpstr>AUTRES_ELEMENTS_NATURELS_N</vt:lpstr>
      <vt:lpstr>AUTRES_ELEMENTS_NATURELS_N1</vt:lpstr>
      <vt:lpstr>AUTRES_ELEMENTS_NATURELS_N2</vt:lpstr>
      <vt:lpstr>AUTRES_FOURRAGES_N</vt:lpstr>
      <vt:lpstr>AUTRES_FOURRAGES_N1</vt:lpstr>
      <vt:lpstr>AUTRES_FOURRAGES_N2</vt:lpstr>
      <vt:lpstr>AUTRES_HORS_RUINES_CONV_SURF</vt:lpstr>
      <vt:lpstr>AUTRES_HORS_RUINES_REEL_SURF</vt:lpstr>
      <vt:lpstr>AUTRES_HORS_RUINES_UNITE</vt:lpstr>
      <vt:lpstr>AUTRES_OLEAGINEUX_N</vt:lpstr>
      <vt:lpstr>AUTRES_OLEAGINEUX_N1</vt:lpstr>
      <vt:lpstr>AUTRES_OLEAGINEUX_N2</vt:lpstr>
      <vt:lpstr>AUTRES_PRAIRIES_N</vt:lpstr>
      <vt:lpstr>AUTRES_PRAIRIES_N1</vt:lpstr>
      <vt:lpstr>AUTRES_PRAIRIES_N2</vt:lpstr>
      <vt:lpstr>AUTRES_PRATIQUES</vt:lpstr>
      <vt:lpstr>AUTRES_PROTEAGINEUX_N</vt:lpstr>
      <vt:lpstr>AUTRES_PROTEAGINEUX_N1</vt:lpstr>
      <vt:lpstr>AUTRES_PROTEAGINEUX_N2</vt:lpstr>
      <vt:lpstr>AUTRES_RUINES_CONV_SURF</vt:lpstr>
      <vt:lpstr>AUTRES_RUINES_REEL_SURF</vt:lpstr>
      <vt:lpstr>AUTRES_RUINES_UNITE</vt:lpstr>
      <vt:lpstr>AUTRES_SURF_NON_TRAITEES</vt:lpstr>
      <vt:lpstr>AUTRES_SURFACES_NON_FERTILISEES</vt:lpstr>
      <vt:lpstr>AUTRES_SURFACIQUES_CONV_SURF</vt:lpstr>
      <vt:lpstr>AUTRES_SURFACIQUES_REEL_SURF</vt:lpstr>
      <vt:lpstr>AUTRES_SURFACIQUES_UNITE</vt:lpstr>
      <vt:lpstr>BANDES_CONV_SURF</vt:lpstr>
      <vt:lpstr>BANDES_REEL_SURF</vt:lpstr>
      <vt:lpstr>BANDES_UNITE</vt:lpstr>
      <vt:lpstr>BASSIN_VITICOLE_EXPLOITATION_SIEGE</vt:lpstr>
      <vt:lpstr>BENDES_REEL_SURF</vt:lpstr>
      <vt:lpstr>BETTERAVES_INDUSTRIELLES_N</vt:lpstr>
      <vt:lpstr>BETTERAVES_INDUSTRIELLES_N1</vt:lpstr>
      <vt:lpstr>BETTERAVES_INDUSTRIELLES_N2</vt:lpstr>
      <vt:lpstr>BGA_BALANCE_APRES_ENGRAIS_N</vt:lpstr>
      <vt:lpstr>BGA_BALANCE_APRES_ENGRAIS_N1</vt:lpstr>
      <vt:lpstr>BGA_BALANCE_APRES_ENGRAIS_N2</vt:lpstr>
      <vt:lpstr>BGA_BALANCE_AVANT_ENGRAIS_N</vt:lpstr>
      <vt:lpstr>BGA_BALANCE_AVANT_ENGRAIS_N1</vt:lpstr>
      <vt:lpstr>BGA_BALANCE_AVANT_ENGRAIS_N2</vt:lpstr>
      <vt:lpstr>BGA_ENTREE_E1_1_N</vt:lpstr>
      <vt:lpstr>BGA_ENTREE_E1_1_N1</vt:lpstr>
      <vt:lpstr>BGA_ENTREE_E1_1_N2</vt:lpstr>
      <vt:lpstr>BGA_ENTREE_E1_2_N</vt:lpstr>
      <vt:lpstr>BGA_ENTREE_E1_2_N1</vt:lpstr>
      <vt:lpstr>BGA_ENTREE_E1_2_N2</vt:lpstr>
      <vt:lpstr>BGA_ENTREE_E2_N</vt:lpstr>
      <vt:lpstr>BGA_ENTREE_E2_N1</vt:lpstr>
      <vt:lpstr>BGA_ENTREE_E2_N2</vt:lpstr>
      <vt:lpstr>BGA_ENTREE_E3_N</vt:lpstr>
      <vt:lpstr>BGA_ENTREE_E3_N1</vt:lpstr>
      <vt:lpstr>BGA_ENTREE_E3_N2</vt:lpstr>
      <vt:lpstr>BGA_SORTIE_E1_3_N</vt:lpstr>
      <vt:lpstr>BGA_SORTIE_E1_3_N1</vt:lpstr>
      <vt:lpstr>BGA_SORTIE_E1_3_N2</vt:lpstr>
      <vt:lpstr>BGA_SORTIE_S1_1_N</vt:lpstr>
      <vt:lpstr>BGA_SORTIE_S1_1_N1</vt:lpstr>
      <vt:lpstr>BGA_SORTIE_S1_1_N2</vt:lpstr>
      <vt:lpstr>BGA_SORTIE_S1_2_N</vt:lpstr>
      <vt:lpstr>BGA_SORTIE_S1_2_N1</vt:lpstr>
      <vt:lpstr>BGA_SORTIE_S1_2_N2</vt:lpstr>
      <vt:lpstr>BGA_SORTIE_S1_3_N</vt:lpstr>
      <vt:lpstr>BGA_SORTIE_S1_3_N1</vt:lpstr>
      <vt:lpstr>BGA_SORTIE_S1_3_N2</vt:lpstr>
      <vt:lpstr>BIL_AP_BALANCE_APRES_ENGRAIS_N</vt:lpstr>
      <vt:lpstr>BIL_AP_BALANCE_APRES_ENGRAIS_N1</vt:lpstr>
      <vt:lpstr>BIL_AP_BALANCE_APRES_ENGRAIS_N2</vt:lpstr>
      <vt:lpstr>BIL_AP_BALANCE_AVANT_ENGRAIS_N</vt:lpstr>
      <vt:lpstr>BIL_AP_BALANCE_AVANT_ENGRAIS_N1</vt:lpstr>
      <vt:lpstr>BIL_AP_BALANCE_AVANT_ENGRAIS_N2</vt:lpstr>
      <vt:lpstr>BIL_AP_ENTREE_E1_N</vt:lpstr>
      <vt:lpstr>BIL_AP_ENTREE_E1_N1</vt:lpstr>
      <vt:lpstr>BIL_AP_ENTREE_E1_N2</vt:lpstr>
      <vt:lpstr>BIL_AP_ENTREE_E2_1_N</vt:lpstr>
      <vt:lpstr>BIL_AP_ENTREE_E2_1_N1</vt:lpstr>
      <vt:lpstr>BIL_AP_ENTREE_E2_1_N2</vt:lpstr>
      <vt:lpstr>BIL_AP_ENTREE_E2_2_N</vt:lpstr>
      <vt:lpstr>BIL_AP_ENTREE_E2_2_N1</vt:lpstr>
      <vt:lpstr>BIL_AP_ENTREE_E2_2_N2</vt:lpstr>
      <vt:lpstr>BIL_AP_ENTREE_E2_3_N</vt:lpstr>
      <vt:lpstr>BIL_AP_ENTREE_E2_3_N1</vt:lpstr>
      <vt:lpstr>BIL_AP_ENTREE_E2_3_N2</vt:lpstr>
      <vt:lpstr>BIL_AP_ENTREE_E3_N</vt:lpstr>
      <vt:lpstr>BIL_AP_ENTREE_E3_N1</vt:lpstr>
      <vt:lpstr>BIL_AP_ENTREE_E3_N2</vt:lpstr>
      <vt:lpstr>BIL_AP_ENTREE_E4_N</vt:lpstr>
      <vt:lpstr>BIL_AP_ENTREE_E4_N1</vt:lpstr>
      <vt:lpstr>BIL_AP_ENTREE_E4_N2</vt:lpstr>
      <vt:lpstr>BIL_AP_SORTIE_S1_N</vt:lpstr>
      <vt:lpstr>BIL_AP_SORTIE_S1_N1</vt:lpstr>
      <vt:lpstr>BIL_AP_SORTIE_S1_N2</vt:lpstr>
      <vt:lpstr>BIL_AP_SORTIE_S2_N</vt:lpstr>
      <vt:lpstr>BIL_AP_SORTIE_S2_N1</vt:lpstr>
      <vt:lpstr>BIL_AP_SORTIE_S2_N2</vt:lpstr>
      <vt:lpstr>BIL_AP_SORTIE_S3_N</vt:lpstr>
      <vt:lpstr>BIL_AP_SORTIE_S3_N1</vt:lpstr>
      <vt:lpstr>BIL_AP_SORTIE_S3_N2</vt:lpstr>
      <vt:lpstr>BIL_AP_SORTIE_S4_N</vt:lpstr>
      <vt:lpstr>BIL_AP_SORTIE_S4_N1</vt:lpstr>
      <vt:lpstr>BIL_AP_SORTIE_S4_N2</vt:lpstr>
      <vt:lpstr>BLE_DUR_N</vt:lpstr>
      <vt:lpstr>BLE_DUR_N1</vt:lpstr>
      <vt:lpstr>BLE_DUR_N2</vt:lpstr>
      <vt:lpstr>BLE_TENDRE_N</vt:lpstr>
      <vt:lpstr>BLE_TENDRE_N1</vt:lpstr>
      <vt:lpstr>BLE_TENDRE_N2</vt:lpstr>
      <vt:lpstr>BORDURES_OBL_CONV_ARA</vt:lpstr>
      <vt:lpstr>BORDURES_OBL_REEL_ARA</vt:lpstr>
      <vt:lpstr>BORDURES_OBL_UNITE</vt:lpstr>
      <vt:lpstr>BORDURES_POIDS_CONV_SURF</vt:lpstr>
      <vt:lpstr>BORDURES_POIDS_REEL_SURF</vt:lpstr>
      <vt:lpstr>BORDURES_POIDS_UNITE</vt:lpstr>
      <vt:lpstr>BOSQUETS_CONV_ARA</vt:lpstr>
      <vt:lpstr>BOSQUETS_CONV_SURF</vt:lpstr>
      <vt:lpstr>BOSQUETS_REEL_ARA</vt:lpstr>
      <vt:lpstr>BOSQUETS_REEL_SURF</vt:lpstr>
      <vt:lpstr>BOSQUETS_UNITE</vt:lpstr>
      <vt:lpstr>CALCUL_POINTS_PRATIQUES</vt:lpstr>
      <vt:lpstr>CAMPAGNE_EVALUEE</vt:lpstr>
      <vt:lpstr>cBassinViti</vt:lpstr>
      <vt:lpstr>cCampagneN</vt:lpstr>
      <vt:lpstr>cCampagneN1</vt:lpstr>
      <vt:lpstr>CCampagneN2</vt:lpstr>
      <vt:lpstr>cCMR2</vt:lpstr>
      <vt:lpstr>CHANVRE_LIN_N</vt:lpstr>
      <vt:lpstr>CHANVRE_LIN_N1</vt:lpstr>
      <vt:lpstr>CHANVRE_LIN_N2</vt:lpstr>
      <vt:lpstr>CHEMIN_RAMPE_N</vt:lpstr>
      <vt:lpstr>CHEMIN_RAMPE_N1</vt:lpstr>
      <vt:lpstr>CHEMIN_RAMPE_N2</vt:lpstr>
      <vt:lpstr>cIrriguante</vt:lpstr>
      <vt:lpstr>CODE_A_ACTIVITE_PRINCIPALE</vt:lpstr>
      <vt:lpstr>CODE_A_ACTIVITE_SECOND</vt:lpstr>
      <vt:lpstr>CODE_A_AUTRE_ACTIVITE</vt:lpstr>
      <vt:lpstr>CODE_DEMARCHE_NIV2</vt:lpstr>
      <vt:lpstr>CODE_POSTAL_EXPLOITATION_SIEGE</vt:lpstr>
      <vt:lpstr>CODE_STATUT_JURIDIQUE</vt:lpstr>
      <vt:lpstr>CODE_V_ACTIVITE_PRINCIPALE</vt:lpstr>
      <vt:lpstr>CODE_V_ACTIVITE_SECOND</vt:lpstr>
      <vt:lpstr>CODE_V_AUTRE_ACTIVITE</vt:lpstr>
      <vt:lpstr>COLZA_NAVETTE_N</vt:lpstr>
      <vt:lpstr>COLZA_NAVETTE_N1</vt:lpstr>
      <vt:lpstr>COLZA_NAVETTE_N2</vt:lpstr>
      <vt:lpstr>COMMUNE_EXPLOITATION_SIEGE</vt:lpstr>
      <vt:lpstr>COMPLEMENT_ADRESSE_EXPLOITATION_SIEGE</vt:lpstr>
      <vt:lpstr>CONCERNE_SURF_CULTUREES_ANNUELLES</vt:lpstr>
      <vt:lpstr>CONCERNE_SURF_CULTUREES_PERENNES</vt:lpstr>
      <vt:lpstr>CORRECTION_NOMBRE_POINTS</vt:lpstr>
      <vt:lpstr>COUVERT_VEG_ARBO</vt:lpstr>
      <vt:lpstr>COUVERT_VEG_HORTI</vt:lpstr>
      <vt:lpstr>COUVERT_VEG_VIGNES</vt:lpstr>
      <vt:lpstr>COUVERTURE_HORS_CULTURES_PERENNES</vt:lpstr>
      <vt:lpstr>cRegion</vt:lpstr>
      <vt:lpstr>CRITERE_OBLIGATOIRE</vt:lpstr>
      <vt:lpstr>cSAU</vt:lpstr>
      <vt:lpstr>cTypeAudit</vt:lpstr>
      <vt:lpstr>CULTURE_IRRIGUEE</vt:lpstr>
      <vt:lpstr>CULTURES_HORS_SOL_2_VARIETES</vt:lpstr>
      <vt:lpstr>CULTURES_HORS_SOL_3_VARIETES</vt:lpstr>
      <vt:lpstr>CULTURES_MINEURES_POURCENTAGE_SURF_PPF</vt:lpstr>
      <vt:lpstr>CULTURES_MINEURES_POURCENTAGE_SURF_PPF_AJ_ODP</vt:lpstr>
      <vt:lpstr>CULTURES_MINEURES_RESULTAT_PPF</vt:lpstr>
      <vt:lpstr>CULTURES_MINEURES_RESULTAT_PPF_AJ_ODP</vt:lpstr>
      <vt:lpstr>CULTURES_MINEURES_SURF_UTILISATION_PPF</vt:lpstr>
      <vt:lpstr>CULTURES_MINEURES_SURF_UTILISATION_PPF_AJ</vt:lpstr>
      <vt:lpstr>CVI_EXPLOITATION</vt:lpstr>
      <vt:lpstr>DATE_AUDIT</vt:lpstr>
      <vt:lpstr>DATE_DECISION</vt:lpstr>
      <vt:lpstr>DATE_PERIODE_APPORT</vt:lpstr>
      <vt:lpstr>DATE_SEMIS</vt:lpstr>
      <vt:lpstr>DECISION_AUDIT</vt:lpstr>
      <vt:lpstr>DEMARCHE_COLLECTIVE</vt:lpstr>
      <vt:lpstr>DEMARCHE_NIV2</vt:lpstr>
      <vt:lpstr>DEPARTEMENT_EXPLOITATION_SIEGE</vt:lpstr>
      <vt:lpstr>DEROGATION_CMR1</vt:lpstr>
      <vt:lpstr>DESCRIPTION_MATERIEL_UTILISE</vt:lpstr>
      <vt:lpstr>DESCRIPTION_PRATIQUES_AGRO</vt:lpstr>
      <vt:lpstr>DESHYDRATATION_N</vt:lpstr>
      <vt:lpstr>DESHYDRATATION_N1</vt:lpstr>
      <vt:lpstr>DESHYDRATATION_N2</vt:lpstr>
      <vt:lpstr>DIVERSITE_VIGNE</vt:lpstr>
      <vt:lpstr>DUREE_AUDIT</vt:lpstr>
      <vt:lpstr>ELEMENTS_ARTIFICIELS_N</vt:lpstr>
      <vt:lpstr>ELEMENTS_ARTIFICIELS_N1</vt:lpstr>
      <vt:lpstr>ELEMENTS_ARTIFICIELS_N2</vt:lpstr>
      <vt:lpstr>EMAIL_EXPLOITATION</vt:lpstr>
      <vt:lpstr>ENREGISTREMENT_PRATIQUES_IRRIGATION</vt:lpstr>
      <vt:lpstr>EQUIV_NB_ESPECES_SEMEES_PURES</vt:lpstr>
      <vt:lpstr>EQUIV_PART_PP</vt:lpstr>
      <vt:lpstr>EQUIV_SURF_SEMEES_COMPLEXE</vt:lpstr>
      <vt:lpstr>EQUIV_SURF_SEMEES_GRAMINEES</vt:lpstr>
      <vt:lpstr>EQUIV_SURF_SEMEES_LEGUMINEUSE</vt:lpstr>
      <vt:lpstr>ESPACE_DEUX_SERRES_N</vt:lpstr>
      <vt:lpstr>ESPACE_DEUX_SERRES_N1</vt:lpstr>
      <vt:lpstr>ESPACE_DEUX_SERRES_N2</vt:lpstr>
      <vt:lpstr>ESTIMATION_VOLUME_APPORT</vt:lpstr>
      <vt:lpstr>EXPLOIT_IRRIGANTE</vt:lpstr>
      <vt:lpstr>FACTEUR_DECLENCHANT_IRRIGATION</vt:lpstr>
      <vt:lpstr>FOSSE_CONV_ARA</vt:lpstr>
      <vt:lpstr>FOSSE_CONV_SURF</vt:lpstr>
      <vt:lpstr>FOSSE_REEL_ARA</vt:lpstr>
      <vt:lpstr>FOSSE_REEL_SURF</vt:lpstr>
      <vt:lpstr>FOSSE_UNITE</vt:lpstr>
      <vt:lpstr>FUMIER_N</vt:lpstr>
      <vt:lpstr>FUMIER_N1</vt:lpstr>
      <vt:lpstr>FUMIER_N2</vt:lpstr>
      <vt:lpstr>GC_ANC_PLAFOND_IFT_HERBICIDES</vt:lpstr>
      <vt:lpstr>GC_ANC_PLAFOND_IFT_HORS_HERBICIDES</vt:lpstr>
      <vt:lpstr>GC_ANC_PLANCHER_IFT_HERBICIDES</vt:lpstr>
      <vt:lpstr>GC_ANC_PLANCHER_IFT_HORS_HERBICIDES</vt:lpstr>
      <vt:lpstr>GC_ANCIENNE_NOTATION</vt:lpstr>
      <vt:lpstr>GC_CONDITION_ANCIENNE_NOTATION</vt:lpstr>
      <vt:lpstr>GC_IFT_REALISE_HERBICIDES</vt:lpstr>
      <vt:lpstr>GC_IFT_REALISE_HORS_HERBICIDES</vt:lpstr>
      <vt:lpstr>GC_IFT_REALISE_N_HERBICIDES</vt:lpstr>
      <vt:lpstr>GC_IFT_REALISE_N_HORS_HERBICIDES</vt:lpstr>
      <vt:lpstr>GC_IFT_REALISE_N1_HERBICIDES</vt:lpstr>
      <vt:lpstr>GC_IFT_REALISE_N1_HORS_HERBICIDES</vt:lpstr>
      <vt:lpstr>GC_IFT_REALISE_N2_HERBICIDES</vt:lpstr>
      <vt:lpstr>GC_IFT_REALISE_N2_HORS_HERBICIDES</vt:lpstr>
      <vt:lpstr>GC_MAX_POINTS</vt:lpstr>
      <vt:lpstr>GC_PLAFOND_IFT_HERBICIDES</vt:lpstr>
      <vt:lpstr>GC_PLAFOND_IFT_HORS_HERBICIDES</vt:lpstr>
      <vt:lpstr>GC_PLANCHER_IFT_HERBICIDES</vt:lpstr>
      <vt:lpstr>GC_PLANCHER_IFT_HORS_HERBICIDES</vt:lpstr>
      <vt:lpstr>GC_POURCENTAGE_SURF_CONCERNEE_ODP</vt:lpstr>
      <vt:lpstr>GC_POURCENTAGE_SURF_CONCERNEE_OPI</vt:lpstr>
      <vt:lpstr>GC_POURCENTAGE_SURF_CONCERNEE_PPF_AJ</vt:lpstr>
      <vt:lpstr>GC_RESULTAT</vt:lpstr>
      <vt:lpstr>GC_RESULTAT_ANC_NOTATION_HERBICIDES</vt:lpstr>
      <vt:lpstr>GC_RESULTAT_ANC_NOTATION_HORS_HERBICIDES</vt:lpstr>
      <vt:lpstr>GC_RESULTAT_HERBICIDES</vt:lpstr>
      <vt:lpstr>GC_RESULTAT_HORS_HERBICIDES</vt:lpstr>
      <vt:lpstr>GC_RESULTAT_ODP</vt:lpstr>
      <vt:lpstr>GC_RESULTAT_OPI</vt:lpstr>
      <vt:lpstr>GC_RESULTAT_PPF_AJ</vt:lpstr>
      <vt:lpstr>GC_RESULTAT_UTILISATION_OUTIL_PPF</vt:lpstr>
      <vt:lpstr>GC_SURF</vt:lpstr>
      <vt:lpstr>GC_SURF_UTILISATION_ODP</vt:lpstr>
      <vt:lpstr>GC_SURF_UTILISATION_OPI</vt:lpstr>
      <vt:lpstr>GC_SURF_UTILISATION_PPF</vt:lpstr>
      <vt:lpstr>GC_SURF_UTILISATION_PPF_AJ</vt:lpstr>
      <vt:lpstr>GC_UTILISATION_OUTIL_PPF</vt:lpstr>
      <vt:lpstr>GESCO_NATURE_AUDIT</vt:lpstr>
      <vt:lpstr>GESCO_NOM_SC</vt:lpstr>
      <vt:lpstr>GESCO_SIRET_SC</vt:lpstr>
      <vt:lpstr>HAIE_CONV_ARA</vt:lpstr>
      <vt:lpstr>HAIE_CONV_SURF</vt:lpstr>
      <vt:lpstr>HAIE_REEL_ARA</vt:lpstr>
      <vt:lpstr>HAIE_REEL_SURF</vt:lpstr>
      <vt:lpstr>HAIE_UNITE</vt:lpstr>
      <vt:lpstr>HORS_ZONE_VULNERABLE_COUVERTE</vt:lpstr>
      <vt:lpstr>HORS_ZONE_VULNERABLE_NB_SEMAINES_COUVERT</vt:lpstr>
      <vt:lpstr>HORS_ZONE_VULNERABLE_POURCENT_SAU_HORS_VITI_ARBO_HORTI</vt:lpstr>
      <vt:lpstr>HORS_ZONE_VULNERABLE_POURCENT_SURF_HORS_VITI_ARBO_HORTI</vt:lpstr>
      <vt:lpstr>HORS_ZONE_VULNERABLE_RESPECT_DUREE_REGLEMENTAIRE</vt:lpstr>
      <vt:lpstr>HORS_ZONE_VULNERABLE_SURF_TOTALE_CONCERNEE</vt:lpstr>
      <vt:lpstr>IAE_EXHAUSTIF</vt:lpstr>
      <vt:lpstr>ISOLE_CONV_ARA</vt:lpstr>
      <vt:lpstr>ISOLE_CONV_SURF</vt:lpstr>
      <vt:lpstr>ISOLE_REEL_ARA</vt:lpstr>
      <vt:lpstr>ISOLE_REEL_SURF</vt:lpstr>
      <vt:lpstr>ISOLE_UNITE</vt:lpstr>
      <vt:lpstr>JACHERE_5ANS_MOINS_N</vt:lpstr>
      <vt:lpstr>JACHERE_5ANS_MOINS_N1</vt:lpstr>
      <vt:lpstr>JACHERE_5ANS_MOINS_N2</vt:lpstr>
      <vt:lpstr>JACHERE_6ANS_PLUS_N</vt:lpstr>
      <vt:lpstr>JACHERE_6ANS_PLUS_N1</vt:lpstr>
      <vt:lpstr>JACHERE_6ANS_PLUS_N2</vt:lpstr>
      <vt:lpstr>JACHERE_CONV_ARA</vt:lpstr>
      <vt:lpstr>JACHERE_CONV_SURF</vt:lpstr>
      <vt:lpstr>JACHERE_MELLI_CONV_ARA</vt:lpstr>
      <vt:lpstr>JACHERE_MELLI_CONV_SURF</vt:lpstr>
      <vt:lpstr>JACHERE_MELLI_REEL_ARA</vt:lpstr>
      <vt:lpstr>JACHERE_MELLI_REEL_SURF</vt:lpstr>
      <vt:lpstr>JACHERE_MELLI_UNITE</vt:lpstr>
      <vt:lpstr>JACHERE_NOIRE_N</vt:lpstr>
      <vt:lpstr>JACHERE_NOIRE_N1</vt:lpstr>
      <vt:lpstr>JACHERE_NOIRE_N2</vt:lpstr>
      <vt:lpstr>JACHERE_REEL_ARA</vt:lpstr>
      <vt:lpstr>JACHERE_REEL_SURF</vt:lpstr>
      <vt:lpstr>JACHERE_UNITE</vt:lpstr>
      <vt:lpstr>LEG_FRUITS_2_VARIETES</vt:lpstr>
      <vt:lpstr>LEG_FRUITS_3_VARIETES</vt:lpstr>
      <vt:lpstr>LEG_FRUITS_NB_ESPECES</vt:lpstr>
      <vt:lpstr>LEGUMES_FLEURS_PLEIN_AIR_N</vt:lpstr>
      <vt:lpstr>LEGUMES_FLEURS_PLEIN_AIR_N1</vt:lpstr>
      <vt:lpstr>LEGUMES_FLEURS_PLEIN_AIR_N2</vt:lpstr>
      <vt:lpstr>LEGUMES_FLEURS_SERRE_N</vt:lpstr>
      <vt:lpstr>LEGUMES_FLEURS_SERRE_N1</vt:lpstr>
      <vt:lpstr>LEGUMES_FLEURS_SERRE_N2</vt:lpstr>
      <vt:lpstr>LEGUMES_FLEURS_TUNNEL_N</vt:lpstr>
      <vt:lpstr>LEGUMES_FLEURS_TUNNEL_N1</vt:lpstr>
      <vt:lpstr>LEGUMES_FLEURS_TUNNEL_N2</vt:lpstr>
      <vt:lpstr>LEGUMES_SEC_N</vt:lpstr>
      <vt:lpstr>LEGUMES_SEC_N1</vt:lpstr>
      <vt:lpstr>LEGUMES_SEC_N2</vt:lpstr>
      <vt:lpstr>LISTE_MATERIEL_UTILISE</vt:lpstr>
      <vt:lpstr>LISTE_MATERIELS_METHODES</vt:lpstr>
      <vt:lpstr>LstAOCBeaujolais</vt:lpstr>
      <vt:lpstr>lstDecisionInitial</vt:lpstr>
      <vt:lpstr>lstDecisionRenouvellement</vt:lpstr>
      <vt:lpstr>lstDecisionSuivi</vt:lpstr>
      <vt:lpstr>lstNatureAudit</vt:lpstr>
      <vt:lpstr>LstNordSud</vt:lpstr>
      <vt:lpstr>lstTypeAuditCollectif</vt:lpstr>
      <vt:lpstr>lstTypeAuditIndividuel</vt:lpstr>
      <vt:lpstr>MAIS_FOURRAGE_ENSILAGE_N</vt:lpstr>
      <vt:lpstr>MAIS_FOURRAGE_ENSILAGE_N1</vt:lpstr>
      <vt:lpstr>MAIS_FOURRAGE_ENSILAGE_N2</vt:lpstr>
      <vt:lpstr>MAIS_N</vt:lpstr>
      <vt:lpstr>MAIS_N1</vt:lpstr>
      <vt:lpstr>MAIS_N2</vt:lpstr>
      <vt:lpstr>MARAIS_SALANTS_N</vt:lpstr>
      <vt:lpstr>MARAIS_SALANTS_N1</vt:lpstr>
      <vt:lpstr>MARAIS_SALANTS_N2</vt:lpstr>
      <vt:lpstr>MARE_CONV_ARA</vt:lpstr>
      <vt:lpstr>MARE_CONV_SURF</vt:lpstr>
      <vt:lpstr>MARE_REEL_ARA</vt:lpstr>
      <vt:lpstr>MARE_REEL_SURF</vt:lpstr>
      <vt:lpstr>MARE_UNITE</vt:lpstr>
      <vt:lpstr>MATERIEL_UTILISE</vt:lpstr>
      <vt:lpstr>MAX_NOTE_GLOBALE_IRRIGATION</vt:lpstr>
      <vt:lpstr>MAX_POINTS_APPORTS_FERTILISANTS</vt:lpstr>
      <vt:lpstr>MAX_POINTS_AZOTE_ORGA</vt:lpstr>
      <vt:lpstr>MAX_POINTS_BILAN_AZOTE</vt:lpstr>
      <vt:lpstr>MAX_POINTS_BIODIVERSITE</vt:lpstr>
      <vt:lpstr>MAX_POINTS_CMR</vt:lpstr>
      <vt:lpstr>MAX_POINTS_COUVERT_VEGETAL</vt:lpstr>
      <vt:lpstr>MAX_POINTS_COUVERTURE_SOLS</vt:lpstr>
      <vt:lpstr>MAX_POINTS_DEMARCHE_COLL</vt:lpstr>
      <vt:lpstr>MAX_POINTS_DIVERSITE</vt:lpstr>
      <vt:lpstr>MAX_POINTS_FERTILISATION</vt:lpstr>
      <vt:lpstr>MAX_POINTS_IAE</vt:lpstr>
      <vt:lpstr>MAX_POINTS_LEGUMINEUSES</vt:lpstr>
      <vt:lpstr>MAX_POINTS_MATERIEL_UTILISE</vt:lpstr>
      <vt:lpstr>MAX_POINTS_MENACEES</vt:lpstr>
      <vt:lpstr>MAX_POINTS_METHODES_ALTERNATIVES</vt:lpstr>
      <vt:lpstr>MAX_POINTS_NB_ESPECES_ANIMALES_ELEVEES</vt:lpstr>
      <vt:lpstr>MAX_POINTS_NB_ESPECES_VEG_CULTIVEES</vt:lpstr>
      <vt:lpstr>MAX_POINTS_OAD</vt:lpstr>
      <vt:lpstr>MAX_POINTS_PHYTO</vt:lpstr>
      <vt:lpstr>MAX_POINTS_POIDS_CULTURE_PRINCIPALE</vt:lpstr>
      <vt:lpstr>MAX_POINTS_PRATIQUES</vt:lpstr>
      <vt:lpstr>MAX_POINTS_PRATIQUES_AGRO</vt:lpstr>
      <vt:lpstr>MAX_POINTS_PRESENCE_RUCHES</vt:lpstr>
      <vt:lpstr>MAX_POINTS_QUALITE_BIO_SOL</vt:lpstr>
      <vt:lpstr>MAX_POINTS_QUANTITE_AZOTE</vt:lpstr>
      <vt:lpstr>MAX_POINTS_RECUP_EAU_PLUIE</vt:lpstr>
      <vt:lpstr>MAX_POINTS_RECYCLAGE</vt:lpstr>
      <vt:lpstr>MAX_POINTS_RECYCLAGE_TRAITEMENT</vt:lpstr>
      <vt:lpstr>MAX_POINTS_RECYCLAGE_TRAITEMENT_EAUX_IRRIG</vt:lpstr>
      <vt:lpstr>MAX_POINTS_SAU_NON_FERTILISEE</vt:lpstr>
      <vt:lpstr>MAX_POINTS_SUBST_ACT</vt:lpstr>
      <vt:lpstr>MAX_POINTS_SURF_NON_TRAITEE</vt:lpstr>
      <vt:lpstr>MAX_POINTS_SURVEILLANCE</vt:lpstr>
      <vt:lpstr>MAX_POINTS_TAILLES_PARCELLES</vt:lpstr>
      <vt:lpstr>MAX_POINTS_UTILISATION_MATERIEL</vt:lpstr>
      <vt:lpstr>MAX_POINTS_UTILISATION_OUTILS</vt:lpstr>
      <vt:lpstr>MAX_PRELEVE_ETIAGE</vt:lpstr>
      <vt:lpstr>MELANGES_CULTURE_N</vt:lpstr>
      <vt:lpstr>MELANGES_CULTURE_N1</vt:lpstr>
      <vt:lpstr>MELANGES_CULTURE_N2</vt:lpstr>
      <vt:lpstr>METHODE_CALCUL_RETENUE</vt:lpstr>
      <vt:lpstr>MODE_IRRIGATION</vt:lpstr>
      <vt:lpstr>MUR_CONV_ARA</vt:lpstr>
      <vt:lpstr>MUR_CONV_SURF</vt:lpstr>
      <vt:lpstr>MUR_REEL_ARA</vt:lpstr>
      <vt:lpstr>MUR_REEL_SURF</vt:lpstr>
      <vt:lpstr>MUR_UNITE</vt:lpstr>
      <vt:lpstr>NB_APPORTS_EAU</vt:lpstr>
      <vt:lpstr>NB_ARBO</vt:lpstr>
      <vt:lpstr>NB_AUTRES_CULT_ARABLES</vt:lpstr>
      <vt:lpstr>NB_CAMPAGNE_BILAN_AZOTE</vt:lpstr>
      <vt:lpstr>NB_CAMPAGNE_IFT</vt:lpstr>
      <vt:lpstr>NB_CAMPAGNE_QUANTITE_AZOTE</vt:lpstr>
      <vt:lpstr>NB_CAMPAGNES_CONCERNEES</vt:lpstr>
      <vt:lpstr>NB_CULTURES_FOURRAGERES</vt:lpstr>
      <vt:lpstr>NB_CULTURES_HORS_SOL</vt:lpstr>
      <vt:lpstr>NB_DONNEES_A_ENREGISTRER</vt:lpstr>
      <vt:lpstr>NB_DONNEES_MANQUANTES</vt:lpstr>
      <vt:lpstr>NB_ESPECES_AUTRES</vt:lpstr>
      <vt:lpstr>NB_ESPECES_BOVINES</vt:lpstr>
      <vt:lpstr>NB_ESPECES_CAPRINES</vt:lpstr>
      <vt:lpstr>NB_ESPECES_OVINES</vt:lpstr>
      <vt:lpstr>NB_ESPECES_PORCINES</vt:lpstr>
      <vt:lpstr>NB_ESPECES_SEMEES</vt:lpstr>
      <vt:lpstr>NB_ESPECES_VOLAILLES</vt:lpstr>
      <vt:lpstr>NB_FLEURS</vt:lpstr>
      <vt:lpstr>NB_LEG_FRUITS_HORS_ARBO</vt:lpstr>
      <vt:lpstr>NB_MATERIEL_UTILISE</vt:lpstr>
      <vt:lpstr>NB_OUTILS_EVAL_DEMANDE</vt:lpstr>
      <vt:lpstr>NB_OUTILS_EVAL_OFFRE</vt:lpstr>
      <vt:lpstr>NB_OUTILS_MIXTE</vt:lpstr>
      <vt:lpstr>NB_PARCELLES_IRRIGUEES</vt:lpstr>
      <vt:lpstr>NB_RACES_ANIMALES_MENACEES</vt:lpstr>
      <vt:lpstr>NB_RUCHES</vt:lpstr>
      <vt:lpstr>NB_TYPE_IAE</vt:lpstr>
      <vt:lpstr>NB_VAR_VEG_MENACEES</vt:lpstr>
      <vt:lpstr>NB_VIGNES</vt:lpstr>
      <vt:lpstr>NOM_AUDITEUR</vt:lpstr>
      <vt:lpstr>NOM_CULTURE_PRINCIPALE</vt:lpstr>
      <vt:lpstr>NOM_DEMARCHE_COLLECTIVE</vt:lpstr>
      <vt:lpstr>NOM_EXPLOITANT</vt:lpstr>
      <vt:lpstr>NOMS_MENACEES</vt:lpstr>
      <vt:lpstr>NOTE_GLOBALE_BIODIVERSITE</vt:lpstr>
      <vt:lpstr>NOTE_GLOBALE_FERTILISATION</vt:lpstr>
      <vt:lpstr>NOTE_GLOBALE_IRRIGATION</vt:lpstr>
      <vt:lpstr>NOTE_GLOBALE_PHYTO</vt:lpstr>
      <vt:lpstr>NUMERO_EXPLOITATION_SIEGE</vt:lpstr>
      <vt:lpstr>OBL_HERBE</vt:lpstr>
      <vt:lpstr>OBL_PART_IAE_CONCERNE</vt:lpstr>
      <vt:lpstr>OBL_PRAIRIES</vt:lpstr>
      <vt:lpstr>OBL_SOCLE_ITEM</vt:lpstr>
      <vt:lpstr>OBL_SURF_IAE</vt:lpstr>
      <vt:lpstr>OBL_TERRES_ARA</vt:lpstr>
      <vt:lpstr>ORGA_AUDITEUR</vt:lpstr>
      <vt:lpstr>ORGE_N</vt:lpstr>
      <vt:lpstr>ORGE_N1</vt:lpstr>
      <vt:lpstr>ORGE_N2</vt:lpstr>
      <vt:lpstr>ORIGINE_EAU</vt:lpstr>
      <vt:lpstr>OTEX</vt:lpstr>
      <vt:lpstr>OTEX_CONCERNE</vt:lpstr>
      <vt:lpstr>OUTIL_DIAGNOSTIC</vt:lpstr>
      <vt:lpstr>PANNEAUX_PHOTO_N</vt:lpstr>
      <vt:lpstr>PANNEAUX_PHOTO_N1</vt:lpstr>
      <vt:lpstr>PANNEAUX_PHOTO_N2</vt:lpstr>
      <vt:lpstr>PARCOURS_ENHERBES_VOLAILLES_N</vt:lpstr>
      <vt:lpstr>PARCOURS_ENHERBES_VOLAILLES_N1</vt:lpstr>
      <vt:lpstr>PARCOURS_ENHERBES_VOLAILLES_N2</vt:lpstr>
      <vt:lpstr>PART_ARBO_COUVERTE</vt:lpstr>
      <vt:lpstr>PART_HORTI_HORS_PEPI_COUVERTE</vt:lpstr>
      <vt:lpstr>PART_PRELEVE_ETIAGE</vt:lpstr>
      <vt:lpstr>PART_SAU_HORS_HORTICULTURE</vt:lpstr>
      <vt:lpstr>PART_SAU_HORTICULTURE</vt:lpstr>
      <vt:lpstr>PART_SURF_CULTURES_HORS_SOL</vt:lpstr>
      <vt:lpstr>PART_SURF_HORTICULTURE</vt:lpstr>
      <vt:lpstr>PART_SURF_HS_SYSTEME_PARTIEL</vt:lpstr>
      <vt:lpstr>PART_SURF_HS_SYSTEME_TOTAL</vt:lpstr>
      <vt:lpstr>PART_SURF_IRRIGUEE_EQUIPEE</vt:lpstr>
      <vt:lpstr>PART_SURF_IRRIGUEE_PRATIQUES_AGRO</vt:lpstr>
      <vt:lpstr>PART_SURF_PRAIRIES_PERM</vt:lpstr>
      <vt:lpstr>PART_VIGNES_COUVERTE</vt:lpstr>
      <vt:lpstr>PARTICIPATION_CAMPAGNE_PROSPECTION</vt:lpstr>
      <vt:lpstr>PASSAGE_ENROULEUR_N</vt:lpstr>
      <vt:lpstr>PASSAGE_ENROULEUR_N1</vt:lpstr>
      <vt:lpstr>PASSAGE_ENROULEUR_N2</vt:lpstr>
      <vt:lpstr>PDT_IFT_REALISE_N_HERBICIDES</vt:lpstr>
      <vt:lpstr>PDT_IFT_REALISE_N_HORS_HERBICIDES</vt:lpstr>
      <vt:lpstr>PDT_IFT_REALISE_N1_HERBICIDES</vt:lpstr>
      <vt:lpstr>PDT_IFT_REALISE_N1_HORS_HERBICIDES</vt:lpstr>
      <vt:lpstr>PDT_IFT_REALISE_N2_HERBICIDES</vt:lpstr>
      <vt:lpstr>PDT_IFT_REALISE_N2_HORS_HERBICIDES</vt:lpstr>
      <vt:lpstr>PEUPLERAIE_N</vt:lpstr>
      <vt:lpstr>PEUPLERAIE_N1</vt:lpstr>
      <vt:lpstr>PEUPLERAIE_N2</vt:lpstr>
      <vt:lpstr>PLAFOND_QUANTITE_AZOTE_APPORTEE_N</vt:lpstr>
      <vt:lpstr>PLAFOND_QUANTITE_AZOTE_APPORTEE_N1</vt:lpstr>
      <vt:lpstr>PLAFOND_QUANTITE_AZOTE_APPORTEE_N2</vt:lpstr>
      <vt:lpstr>PLAFOND_RETENU_QUANTITE_AZOTE</vt:lpstr>
      <vt:lpstr>PLAFOND_SUBST_ACT_N</vt:lpstr>
      <vt:lpstr>PLAFOND_SUBST_ACT_N1</vt:lpstr>
      <vt:lpstr>PLAFOND_SUBST_ACT_N2</vt:lpstr>
      <vt:lpstr>PLANCHER_QUANTITE_AZOTE_APPORTEE_N</vt:lpstr>
      <vt:lpstr>PLANCHER_QUANTITE_AZOTE_APPORTEE_N1</vt:lpstr>
      <vt:lpstr>PLANCHER_QUANTITE_AZOTE_APPORTEE_N2</vt:lpstr>
      <vt:lpstr>PLANCHER_RETENU_QUANTITE_AZOTE</vt:lpstr>
      <vt:lpstr>PLANCHER_SUBST_ACT_N</vt:lpstr>
      <vt:lpstr>PLANCHER_SUBST_ACT_N1</vt:lpstr>
      <vt:lpstr>PLANCHER_SUBST_ACT_N2</vt:lpstr>
      <vt:lpstr>POIDS_IAE_TOT_EXPL</vt:lpstr>
      <vt:lpstr>POIDS_PART_IAE</vt:lpstr>
      <vt:lpstr>POIDS_SURF_TOT</vt:lpstr>
      <vt:lpstr>POINTS_HORS_HORTICULTURE</vt:lpstr>
      <vt:lpstr>POINTS_HORTICULTURE</vt:lpstr>
      <vt:lpstr>POINTS_RECUP_EAU_PLUIE</vt:lpstr>
      <vt:lpstr>POINTS_RECYCLAGE_TRAITEMENT</vt:lpstr>
      <vt:lpstr>POINTS_UTILISATION_OUTILS</vt:lpstr>
      <vt:lpstr>POIS_PROTEAGINEUX_N</vt:lpstr>
      <vt:lpstr>POIS_PROTEAGINEUX_N1</vt:lpstr>
      <vt:lpstr>POIS_PROTEAGINEUX_N2</vt:lpstr>
      <vt:lpstr>POMMES_DE_TERRES_N</vt:lpstr>
      <vt:lpstr>POMMES_DE_TERRES_N1</vt:lpstr>
      <vt:lpstr>POMMES_DE_TERRES_N2</vt:lpstr>
      <vt:lpstr>POURCENTAGE_AZOTE_APPORTE</vt:lpstr>
      <vt:lpstr>POURCENTAGE_CULTURES_MINEURES</vt:lpstr>
      <vt:lpstr>POURCENTAGE_SAU_ARBO</vt:lpstr>
      <vt:lpstr>POURCENTAGE_SAU_HORTI</vt:lpstr>
      <vt:lpstr>POURCENTAGE_SAU_NON_TRAITEE</vt:lpstr>
      <vt:lpstr>POURCENTAGE_SAU_VIGNES</vt:lpstr>
      <vt:lpstr>POURCENTAGE_SURF_ARBO</vt:lpstr>
      <vt:lpstr>POURCENTAGE_SURF_CULTURES_HORS_SOL</vt:lpstr>
      <vt:lpstr>POURCENTAGE_SURF_HORTI_EQUIPEE</vt:lpstr>
      <vt:lpstr>POURCENTAGE_SURF_LEG_FRUITS</vt:lpstr>
      <vt:lpstr>POURCENTAGE_SURF_LEGUMINEUSES</vt:lpstr>
      <vt:lpstr>POURCENTAGE_SURF_VIGNES</vt:lpstr>
      <vt:lpstr>POURCENTAGE_SURFACES_NON_FERTILISEES</vt:lpstr>
      <vt:lpstr>PP_FERTILISEES_N</vt:lpstr>
      <vt:lpstr>PP_FERTILISEES_N1</vt:lpstr>
      <vt:lpstr>PP_FERTILISEES_N2</vt:lpstr>
      <vt:lpstr>PP_NON_FERTILISEES_N</vt:lpstr>
      <vt:lpstr>PP_NON_FERTILISEES_N1</vt:lpstr>
      <vt:lpstr>PP_NON_FERTILISEES_N2</vt:lpstr>
      <vt:lpstr>PRAIRIES_CONV_SURF</vt:lpstr>
      <vt:lpstr>PRAIRIES_REEL_SURF</vt:lpstr>
      <vt:lpstr>PRAIRIES_UNITE</vt:lpstr>
      <vt:lpstr>PRISE_EN_COMPTE_CULTURE_MOYENNE</vt:lpstr>
      <vt:lpstr>PROD_COUV_ARBRES_ARBUSTES_EN_POT_N_M01</vt:lpstr>
      <vt:lpstr>PROD_COUV_ARBRES_ARBUSTES_EN_POT_N_M02</vt:lpstr>
      <vt:lpstr>PROD_COUV_ARBRES_ARBUSTES_EN_POT_N_M03</vt:lpstr>
      <vt:lpstr>PROD_COUV_ARBRES_ARBUSTES_EN_POT_N_M04</vt:lpstr>
      <vt:lpstr>PROD_COUV_ARBRES_ARBUSTES_EN_POT_N_M05</vt:lpstr>
      <vt:lpstr>PROD_COUV_ARBRES_ARBUSTES_EN_POT_N_M06</vt:lpstr>
      <vt:lpstr>PROD_COUV_ARBRES_ARBUSTES_EN_POT_N_M07</vt:lpstr>
      <vt:lpstr>PROD_COUV_ARBRES_ARBUSTES_EN_POT_N_M08</vt:lpstr>
      <vt:lpstr>PROD_COUV_ARBRES_ARBUSTES_EN_POT_N_M09</vt:lpstr>
      <vt:lpstr>PROD_COUV_ARBRES_ARBUSTES_EN_POT_N_M10</vt:lpstr>
      <vt:lpstr>PROD_COUV_ARBRES_ARBUSTES_EN_POT_N_M11</vt:lpstr>
      <vt:lpstr>PROD_COUV_ARBRES_ARBUSTES_EN_POT_N_M12</vt:lpstr>
      <vt:lpstr>PROD_COUV_ARBRES_ARBUSTES_EN_POT_N_MOY</vt:lpstr>
      <vt:lpstr>PROD_COUV_ARBRES_ARBUSTES_EN_POT_N1_M01</vt:lpstr>
      <vt:lpstr>PROD_COUV_ARBRES_ARBUSTES_EN_POT_N1_M02</vt:lpstr>
      <vt:lpstr>PROD_COUV_ARBRES_ARBUSTES_EN_POT_N1_M03</vt:lpstr>
      <vt:lpstr>PROD_COUV_ARBRES_ARBUSTES_EN_POT_N1_M04</vt:lpstr>
      <vt:lpstr>PROD_COUV_ARBRES_ARBUSTES_EN_POT_N1_M05</vt:lpstr>
      <vt:lpstr>PROD_COUV_ARBRES_ARBUSTES_EN_POT_N1_M06</vt:lpstr>
      <vt:lpstr>PROD_COUV_ARBRES_ARBUSTES_EN_POT_N1_M07</vt:lpstr>
      <vt:lpstr>PROD_COUV_ARBRES_ARBUSTES_EN_POT_N1_M08</vt:lpstr>
      <vt:lpstr>PROD_COUV_ARBRES_ARBUSTES_EN_POT_N1_M09</vt:lpstr>
      <vt:lpstr>PROD_COUV_ARBRES_ARBUSTES_EN_POT_N1_M10</vt:lpstr>
      <vt:lpstr>PROD_COUV_ARBRES_ARBUSTES_EN_POT_N1_M11</vt:lpstr>
      <vt:lpstr>PROD_COUV_ARBRES_ARBUSTES_EN_POT_N1_M12</vt:lpstr>
      <vt:lpstr>PROD_COUV_ARBRES_ARBUSTES_EN_POT_N1_MOY</vt:lpstr>
      <vt:lpstr>PROD_COUV_ARBRES_ARBUSTES_EN_POT_N2_M01</vt:lpstr>
      <vt:lpstr>PROD_COUV_ARBRES_ARBUSTES_EN_POT_N2_M02</vt:lpstr>
      <vt:lpstr>PROD_COUV_ARBRES_ARBUSTES_EN_POT_N2_M03</vt:lpstr>
      <vt:lpstr>PROD_COUV_ARBRES_ARBUSTES_EN_POT_N2_M04</vt:lpstr>
      <vt:lpstr>PROD_COUV_ARBRES_ARBUSTES_EN_POT_N2_M05</vt:lpstr>
      <vt:lpstr>PROD_COUV_ARBRES_ARBUSTES_EN_POT_N2_M06</vt:lpstr>
      <vt:lpstr>PROD_COUV_ARBRES_ARBUSTES_EN_POT_N2_M07</vt:lpstr>
      <vt:lpstr>PROD_COUV_ARBRES_ARBUSTES_EN_POT_N2_M08</vt:lpstr>
      <vt:lpstr>PROD_COUV_ARBRES_ARBUSTES_EN_POT_N2_M09</vt:lpstr>
      <vt:lpstr>PROD_COUV_ARBRES_ARBUSTES_EN_POT_N2_M10</vt:lpstr>
      <vt:lpstr>PROD_COUV_ARBRES_ARBUSTES_EN_POT_N2_M11</vt:lpstr>
      <vt:lpstr>PROD_COUV_ARBRES_ARBUSTES_EN_POT_N2_M12</vt:lpstr>
      <vt:lpstr>PROD_COUV_ARBRES_ARBUSTES_EN_POT_N2_MOY</vt:lpstr>
      <vt:lpstr>PROD_COUV_AUTRES_ARBRES_EN_POT_N_M01</vt:lpstr>
      <vt:lpstr>PROD_COUV_AUTRES_ARBRES_EN_POT_N_M02</vt:lpstr>
      <vt:lpstr>PROD_COUV_AUTRES_ARBRES_EN_POT_N_M03</vt:lpstr>
      <vt:lpstr>PROD_COUV_AUTRES_ARBRES_EN_POT_N_M04</vt:lpstr>
      <vt:lpstr>PROD_COUV_AUTRES_ARBRES_EN_POT_N_M05</vt:lpstr>
      <vt:lpstr>PROD_COUV_AUTRES_ARBRES_EN_POT_N_M06</vt:lpstr>
      <vt:lpstr>PROD_COUV_AUTRES_ARBRES_EN_POT_N_M07</vt:lpstr>
      <vt:lpstr>PROD_COUV_AUTRES_ARBRES_EN_POT_N_M08</vt:lpstr>
      <vt:lpstr>PROD_COUV_AUTRES_ARBRES_EN_POT_N_M09</vt:lpstr>
      <vt:lpstr>PROD_COUV_AUTRES_ARBRES_EN_POT_N_M10</vt:lpstr>
      <vt:lpstr>PROD_COUV_AUTRES_ARBRES_EN_POT_N_M11</vt:lpstr>
      <vt:lpstr>PROD_COUV_AUTRES_ARBRES_EN_POT_N_M12</vt:lpstr>
      <vt:lpstr>PROD_COUV_AUTRES_ARBRES_EN_POT_N_MOY</vt:lpstr>
      <vt:lpstr>PROD_COUV_AUTRES_ARBRES_EN_POT_N1_M01</vt:lpstr>
      <vt:lpstr>PROD_COUV_AUTRES_ARBRES_EN_POT_N1_M02</vt:lpstr>
      <vt:lpstr>PROD_COUV_AUTRES_ARBRES_EN_POT_N1_M03</vt:lpstr>
      <vt:lpstr>PROD_COUV_AUTRES_ARBRES_EN_POT_N1_M04</vt:lpstr>
      <vt:lpstr>PROD_COUV_AUTRES_ARBRES_EN_POT_N1_M05</vt:lpstr>
      <vt:lpstr>PROD_COUV_AUTRES_ARBRES_EN_POT_N1_M06</vt:lpstr>
      <vt:lpstr>PROD_COUV_AUTRES_ARBRES_EN_POT_N1_M07</vt:lpstr>
      <vt:lpstr>PROD_COUV_AUTRES_ARBRES_EN_POT_N1_M08</vt:lpstr>
      <vt:lpstr>PROD_COUV_AUTRES_ARBRES_EN_POT_N1_M09</vt:lpstr>
      <vt:lpstr>PROD_COUV_AUTRES_ARBRES_EN_POT_N1_M10</vt:lpstr>
      <vt:lpstr>PROD_COUV_AUTRES_ARBRES_EN_POT_N1_M11</vt:lpstr>
      <vt:lpstr>PROD_COUV_AUTRES_ARBRES_EN_POT_N1_M12</vt:lpstr>
      <vt:lpstr>PROD_COUV_AUTRES_ARBRES_EN_POT_N1_MOY</vt:lpstr>
      <vt:lpstr>PROD_COUV_AUTRES_ARBRES_EN_POT_N2_M01</vt:lpstr>
      <vt:lpstr>PROD_COUV_AUTRES_ARBRES_EN_POT_N2_M02</vt:lpstr>
      <vt:lpstr>PROD_COUV_AUTRES_ARBRES_EN_POT_N2_M03</vt:lpstr>
      <vt:lpstr>PROD_COUV_AUTRES_ARBRES_EN_POT_N2_M04</vt:lpstr>
      <vt:lpstr>PROD_COUV_AUTRES_ARBRES_EN_POT_N2_M05</vt:lpstr>
      <vt:lpstr>PROD_COUV_AUTRES_ARBRES_EN_POT_N2_M06</vt:lpstr>
      <vt:lpstr>PROD_COUV_AUTRES_ARBRES_EN_POT_N2_M07</vt:lpstr>
      <vt:lpstr>PROD_COUV_AUTRES_ARBRES_EN_POT_N2_M08</vt:lpstr>
      <vt:lpstr>PROD_COUV_AUTRES_ARBRES_EN_POT_N2_M09</vt:lpstr>
      <vt:lpstr>PROD_COUV_AUTRES_ARBRES_EN_POT_N2_M10</vt:lpstr>
      <vt:lpstr>PROD_COUV_AUTRES_ARBRES_EN_POT_N2_M11</vt:lpstr>
      <vt:lpstr>PROD_COUV_AUTRES_ARBRES_EN_POT_N2_M12</vt:lpstr>
      <vt:lpstr>PROD_COUV_AUTRES_ARBRES_EN_POT_N2_MOY</vt:lpstr>
      <vt:lpstr>PROD_COUV_AUTRES_CULTURES_PLEINE_TERRE_N_M01</vt:lpstr>
      <vt:lpstr>PROD_COUV_AUTRES_CULTURES_PLEINE_TERRE_N_M02</vt:lpstr>
      <vt:lpstr>PROD_COUV_AUTRES_CULTURES_PLEINE_TERRE_N_M03</vt:lpstr>
      <vt:lpstr>PROD_COUV_AUTRES_CULTURES_PLEINE_TERRE_N_M04</vt:lpstr>
      <vt:lpstr>PROD_COUV_AUTRES_CULTURES_PLEINE_TERRE_N_M05</vt:lpstr>
      <vt:lpstr>PROD_COUV_AUTRES_CULTURES_PLEINE_TERRE_N_M06</vt:lpstr>
      <vt:lpstr>PROD_COUV_AUTRES_CULTURES_PLEINE_TERRE_N_M07</vt:lpstr>
      <vt:lpstr>PROD_COUV_AUTRES_CULTURES_PLEINE_TERRE_N_M08</vt:lpstr>
      <vt:lpstr>PROD_COUV_AUTRES_CULTURES_PLEINE_TERRE_N_M09</vt:lpstr>
      <vt:lpstr>PROD_COUV_AUTRES_CULTURES_PLEINE_TERRE_N_M10</vt:lpstr>
      <vt:lpstr>PROD_COUV_AUTRES_CULTURES_PLEINE_TERRE_N_M11</vt:lpstr>
      <vt:lpstr>PROD_COUV_AUTRES_CULTURES_PLEINE_TERRE_N_M12</vt:lpstr>
      <vt:lpstr>PROD_COUV_AUTRES_CULTURES_PLEINE_TERRE_N_MOY</vt:lpstr>
      <vt:lpstr>PROD_COUV_AUTRES_CULTURES_PLEINE_TERRE_N1_M01</vt:lpstr>
      <vt:lpstr>PROD_COUV_AUTRES_CULTURES_PLEINE_TERRE_N1_M02</vt:lpstr>
      <vt:lpstr>PROD_COUV_AUTRES_CULTURES_PLEINE_TERRE_N1_M03</vt:lpstr>
      <vt:lpstr>PROD_COUV_AUTRES_CULTURES_PLEINE_TERRE_N1_M04</vt:lpstr>
      <vt:lpstr>PROD_COUV_AUTRES_CULTURES_PLEINE_TERRE_N1_M05</vt:lpstr>
      <vt:lpstr>PROD_COUV_AUTRES_CULTURES_PLEINE_TERRE_N1_M06</vt:lpstr>
      <vt:lpstr>PROD_COUV_AUTRES_CULTURES_PLEINE_TERRE_N1_M07</vt:lpstr>
      <vt:lpstr>PROD_COUV_AUTRES_CULTURES_PLEINE_TERRE_N1_M08</vt:lpstr>
      <vt:lpstr>PROD_COUV_AUTRES_CULTURES_PLEINE_TERRE_N1_M09</vt:lpstr>
      <vt:lpstr>PROD_COUV_AUTRES_CULTURES_PLEINE_TERRE_N1_M10</vt:lpstr>
      <vt:lpstr>PROD_COUV_AUTRES_CULTURES_PLEINE_TERRE_N1_M11</vt:lpstr>
      <vt:lpstr>PROD_COUV_AUTRES_CULTURES_PLEINE_TERRE_N1_M12</vt:lpstr>
      <vt:lpstr>PROD_COUV_AUTRES_CULTURES_PLEINE_TERRE_N1_MOY</vt:lpstr>
      <vt:lpstr>PROD_COUV_AUTRES_CULTURES_PLEINE_TERRE_N2_M01</vt:lpstr>
      <vt:lpstr>PROD_COUV_AUTRES_CULTURES_PLEINE_TERRE_N2_M02</vt:lpstr>
      <vt:lpstr>PROD_COUV_AUTRES_CULTURES_PLEINE_TERRE_N2_M03</vt:lpstr>
      <vt:lpstr>PROD_COUV_AUTRES_CULTURES_PLEINE_TERRE_N2_M04</vt:lpstr>
      <vt:lpstr>PROD_COUV_AUTRES_CULTURES_PLEINE_TERRE_N2_M05</vt:lpstr>
      <vt:lpstr>PROD_COUV_AUTRES_CULTURES_PLEINE_TERRE_N2_M06</vt:lpstr>
      <vt:lpstr>PROD_COUV_AUTRES_CULTURES_PLEINE_TERRE_N2_M07</vt:lpstr>
      <vt:lpstr>PROD_COUV_AUTRES_CULTURES_PLEINE_TERRE_N2_M08</vt:lpstr>
      <vt:lpstr>PROD_COUV_AUTRES_CULTURES_PLEINE_TERRE_N2_M09</vt:lpstr>
      <vt:lpstr>PROD_COUV_AUTRES_CULTURES_PLEINE_TERRE_N2_M10</vt:lpstr>
      <vt:lpstr>PROD_COUV_AUTRES_CULTURES_PLEINE_TERRE_N2_M11</vt:lpstr>
      <vt:lpstr>PROD_COUV_AUTRES_CULTURES_PLEINE_TERRE_N2_M12</vt:lpstr>
      <vt:lpstr>PROD_COUV_AUTRES_CULTURES_PLEINE_TERRE_N2_MOY</vt:lpstr>
      <vt:lpstr>PROD_COUV_AUTRES_FLEURS_COUPEES_EN_POT_N_M01</vt:lpstr>
      <vt:lpstr>PROD_COUV_AUTRES_FLEURS_COUPEES_EN_POT_N_M02</vt:lpstr>
      <vt:lpstr>PROD_COUV_AUTRES_FLEURS_COUPEES_EN_POT_N_M03</vt:lpstr>
      <vt:lpstr>PROD_COUV_AUTRES_FLEURS_COUPEES_EN_POT_N_M04</vt:lpstr>
      <vt:lpstr>PROD_COUV_AUTRES_FLEURS_COUPEES_EN_POT_N_M05</vt:lpstr>
      <vt:lpstr>PROD_COUV_AUTRES_FLEURS_COUPEES_EN_POT_N_M06</vt:lpstr>
      <vt:lpstr>PROD_COUV_AUTRES_FLEURS_COUPEES_EN_POT_N_M07</vt:lpstr>
      <vt:lpstr>PROD_COUV_AUTRES_FLEURS_COUPEES_EN_POT_N_M08</vt:lpstr>
      <vt:lpstr>PROD_COUV_AUTRES_FLEURS_COUPEES_EN_POT_N_M09</vt:lpstr>
      <vt:lpstr>PROD_COUV_AUTRES_FLEURS_COUPEES_EN_POT_N_M10</vt:lpstr>
      <vt:lpstr>PROD_COUV_AUTRES_FLEURS_COUPEES_EN_POT_N_M11</vt:lpstr>
      <vt:lpstr>PROD_COUV_AUTRES_FLEURS_COUPEES_EN_POT_N_M12</vt:lpstr>
      <vt:lpstr>PROD_COUV_AUTRES_FLEURS_COUPEES_EN_POT_N_MOY</vt:lpstr>
      <vt:lpstr>PROD_COUV_AUTRES_FLEURS_COUPEES_EN_POT_N1_M01</vt:lpstr>
      <vt:lpstr>PROD_COUV_AUTRES_FLEURS_COUPEES_EN_POT_N1_M02</vt:lpstr>
      <vt:lpstr>PROD_COUV_AUTRES_FLEURS_COUPEES_EN_POT_N1_M03</vt:lpstr>
      <vt:lpstr>PROD_COUV_AUTRES_FLEURS_COUPEES_EN_POT_N1_M04</vt:lpstr>
      <vt:lpstr>PROD_COUV_AUTRES_FLEURS_COUPEES_EN_POT_N1_M05</vt:lpstr>
      <vt:lpstr>PROD_COUV_AUTRES_FLEURS_COUPEES_EN_POT_N1_M06</vt:lpstr>
      <vt:lpstr>PROD_COUV_AUTRES_FLEURS_COUPEES_EN_POT_N1_M07</vt:lpstr>
      <vt:lpstr>PROD_COUV_AUTRES_FLEURS_COUPEES_EN_POT_N1_M08</vt:lpstr>
      <vt:lpstr>PROD_COUV_AUTRES_FLEURS_COUPEES_EN_POT_N1_M09</vt:lpstr>
      <vt:lpstr>PROD_COUV_AUTRES_FLEURS_COUPEES_EN_POT_N1_M10</vt:lpstr>
      <vt:lpstr>PROD_COUV_AUTRES_FLEURS_COUPEES_EN_POT_N1_M11</vt:lpstr>
      <vt:lpstr>PROD_COUV_AUTRES_FLEURS_COUPEES_EN_POT_N1_M12</vt:lpstr>
      <vt:lpstr>PROD_COUV_AUTRES_FLEURS_COUPEES_EN_POT_N1_MOY</vt:lpstr>
      <vt:lpstr>PROD_COUV_AUTRES_FLEURS_COUPEES_EN_POT_N2_M01</vt:lpstr>
      <vt:lpstr>PROD_COUV_AUTRES_FLEURS_COUPEES_EN_POT_N2_M02</vt:lpstr>
      <vt:lpstr>PROD_COUV_AUTRES_FLEURS_COUPEES_EN_POT_N2_M03</vt:lpstr>
      <vt:lpstr>PROD_COUV_AUTRES_FLEURS_COUPEES_EN_POT_N2_M04</vt:lpstr>
      <vt:lpstr>PROD_COUV_AUTRES_FLEURS_COUPEES_EN_POT_N2_M05</vt:lpstr>
      <vt:lpstr>PROD_COUV_AUTRES_FLEURS_COUPEES_EN_POT_N2_M06</vt:lpstr>
      <vt:lpstr>PROD_COUV_AUTRES_FLEURS_COUPEES_EN_POT_N2_M07</vt:lpstr>
      <vt:lpstr>PROD_COUV_AUTRES_FLEURS_COUPEES_EN_POT_N2_M08</vt:lpstr>
      <vt:lpstr>PROD_COUV_AUTRES_FLEURS_COUPEES_EN_POT_N2_M09</vt:lpstr>
      <vt:lpstr>PROD_COUV_AUTRES_FLEURS_COUPEES_EN_POT_N2_M10</vt:lpstr>
      <vt:lpstr>PROD_COUV_AUTRES_FLEURS_COUPEES_EN_POT_N2_M11</vt:lpstr>
      <vt:lpstr>PROD_COUV_AUTRES_FLEURS_COUPEES_EN_POT_N2_M12</vt:lpstr>
      <vt:lpstr>PROD_COUV_AUTRES_FLEURS_COUPEES_EN_POT_N2_MOY</vt:lpstr>
      <vt:lpstr>PROD_COUV_FLEURS_COUPEES_PLEINE_TERRE_N_M01</vt:lpstr>
      <vt:lpstr>PROD_COUV_FLEURS_COUPEES_PLEINE_TERRE_N_M02</vt:lpstr>
      <vt:lpstr>PROD_COUV_FLEURS_COUPEES_PLEINE_TERRE_N_M03</vt:lpstr>
      <vt:lpstr>PROD_COUV_FLEURS_COUPEES_PLEINE_TERRE_N_M04</vt:lpstr>
      <vt:lpstr>PROD_COUV_FLEURS_COUPEES_PLEINE_TERRE_N_M05</vt:lpstr>
      <vt:lpstr>PROD_COUV_FLEURS_COUPEES_PLEINE_TERRE_N_M06</vt:lpstr>
      <vt:lpstr>PROD_COUV_FLEURS_COUPEES_PLEINE_TERRE_N_M07</vt:lpstr>
      <vt:lpstr>PROD_COUV_FLEURS_COUPEES_PLEINE_TERRE_N_M08</vt:lpstr>
      <vt:lpstr>PROD_COUV_FLEURS_COUPEES_PLEINE_TERRE_N_M09</vt:lpstr>
      <vt:lpstr>PROD_COUV_FLEURS_COUPEES_PLEINE_TERRE_N_M10</vt:lpstr>
      <vt:lpstr>PROD_COUV_FLEURS_COUPEES_PLEINE_TERRE_N_M11</vt:lpstr>
      <vt:lpstr>PROD_COUV_FLEURS_COUPEES_PLEINE_TERRE_N_M12</vt:lpstr>
      <vt:lpstr>PROD_COUV_FLEURS_COUPEES_PLEINE_TERRE_N_MOY</vt:lpstr>
      <vt:lpstr>PROD_COUV_FLEURS_COUPEES_PLEINE_TERRE_N1_M01</vt:lpstr>
      <vt:lpstr>PROD_COUV_FLEURS_COUPEES_PLEINE_TERRE_N1_M02</vt:lpstr>
      <vt:lpstr>PROD_COUV_FLEURS_COUPEES_PLEINE_TERRE_N1_M03</vt:lpstr>
      <vt:lpstr>PROD_COUV_FLEURS_COUPEES_PLEINE_TERRE_N1_M04</vt:lpstr>
      <vt:lpstr>PROD_COUV_FLEURS_COUPEES_PLEINE_TERRE_N1_M05</vt:lpstr>
      <vt:lpstr>PROD_COUV_FLEURS_COUPEES_PLEINE_TERRE_N1_M06</vt:lpstr>
      <vt:lpstr>PROD_COUV_FLEURS_COUPEES_PLEINE_TERRE_N1_M07</vt:lpstr>
      <vt:lpstr>PROD_COUV_FLEURS_COUPEES_PLEINE_TERRE_N1_M08</vt:lpstr>
      <vt:lpstr>PROD_COUV_FLEURS_COUPEES_PLEINE_TERRE_N1_M09</vt:lpstr>
      <vt:lpstr>PROD_COUV_FLEURS_COUPEES_PLEINE_TERRE_N1_M10</vt:lpstr>
      <vt:lpstr>PROD_COUV_FLEURS_COUPEES_PLEINE_TERRE_N1_M11</vt:lpstr>
      <vt:lpstr>PROD_COUV_FLEURS_COUPEES_PLEINE_TERRE_N1_M12</vt:lpstr>
      <vt:lpstr>PROD_COUV_FLEURS_COUPEES_PLEINE_TERRE_N1_MOY</vt:lpstr>
      <vt:lpstr>PROD_COUV_FLEURS_COUPEES_PLEINE_TERRE_N2_M01</vt:lpstr>
      <vt:lpstr>PROD_COUV_FLEURS_COUPEES_PLEINE_TERRE_N2_M02</vt:lpstr>
      <vt:lpstr>PROD_COUV_FLEURS_COUPEES_PLEINE_TERRE_N2_M03</vt:lpstr>
      <vt:lpstr>PROD_COUV_FLEURS_COUPEES_PLEINE_TERRE_N2_M04</vt:lpstr>
      <vt:lpstr>PROD_COUV_FLEURS_COUPEES_PLEINE_TERRE_N2_M05</vt:lpstr>
      <vt:lpstr>PROD_COUV_FLEURS_COUPEES_PLEINE_TERRE_N2_M06</vt:lpstr>
      <vt:lpstr>PROD_COUV_FLEURS_COUPEES_PLEINE_TERRE_N2_M07</vt:lpstr>
      <vt:lpstr>PROD_COUV_FLEURS_COUPEES_PLEINE_TERRE_N2_M08</vt:lpstr>
      <vt:lpstr>PROD_COUV_FLEURS_COUPEES_PLEINE_TERRE_N2_M09</vt:lpstr>
      <vt:lpstr>PROD_COUV_FLEURS_COUPEES_PLEINE_TERRE_N2_M10</vt:lpstr>
      <vt:lpstr>PROD_COUV_FLEURS_COUPEES_PLEINE_TERRE_N2_M11</vt:lpstr>
      <vt:lpstr>PROD_COUV_FLEURS_COUPEES_PLEINE_TERRE_N2_M12</vt:lpstr>
      <vt:lpstr>PROD_COUV_FLEURS_COUPEES_PLEINE_TERRE_N2_MOY</vt:lpstr>
      <vt:lpstr>PROD_COUV_PLANTES_EN_POT_N_M01</vt:lpstr>
      <vt:lpstr>PROD_COUV_PLANTES_EN_POT_N_M02</vt:lpstr>
      <vt:lpstr>PROD_COUV_PLANTES_EN_POT_N_M03</vt:lpstr>
      <vt:lpstr>PROD_COUV_PLANTES_EN_POT_N_M04</vt:lpstr>
      <vt:lpstr>PROD_COUV_PLANTES_EN_POT_N_M05</vt:lpstr>
      <vt:lpstr>PROD_COUV_PLANTES_EN_POT_N_M06</vt:lpstr>
      <vt:lpstr>PROD_COUV_PLANTES_EN_POT_N_M07</vt:lpstr>
      <vt:lpstr>PROD_COUV_PLANTES_EN_POT_N_M08</vt:lpstr>
      <vt:lpstr>PROD_COUV_PLANTES_EN_POT_N_M09</vt:lpstr>
      <vt:lpstr>PROD_COUV_PLANTES_EN_POT_N_M10</vt:lpstr>
      <vt:lpstr>PROD_COUV_PLANTES_EN_POT_N_M11</vt:lpstr>
      <vt:lpstr>PROD_COUV_PLANTES_EN_POT_N_M12</vt:lpstr>
      <vt:lpstr>PROD_COUV_PLANTES_EN_POT_N_MOY</vt:lpstr>
      <vt:lpstr>PROD_COUV_PLANTES_EN_POT_N1_M01</vt:lpstr>
      <vt:lpstr>PROD_COUV_PLANTES_EN_POT_N1_M02</vt:lpstr>
      <vt:lpstr>PROD_COUV_PLANTES_EN_POT_N1_M03</vt:lpstr>
      <vt:lpstr>PROD_COUV_PLANTES_EN_POT_N1_M04</vt:lpstr>
      <vt:lpstr>PROD_COUV_PLANTES_EN_POT_N1_M05</vt:lpstr>
      <vt:lpstr>PROD_COUV_PLANTES_EN_POT_N1_M06</vt:lpstr>
      <vt:lpstr>PROD_COUV_PLANTES_EN_POT_N1_M07</vt:lpstr>
      <vt:lpstr>PROD_COUV_PLANTES_EN_POT_N1_M08</vt:lpstr>
      <vt:lpstr>PROD_COUV_PLANTES_EN_POT_N1_M09</vt:lpstr>
      <vt:lpstr>PROD_COUV_PLANTES_EN_POT_N1_M10</vt:lpstr>
      <vt:lpstr>PROD_COUV_PLANTES_EN_POT_N1_M11</vt:lpstr>
      <vt:lpstr>PROD_COUV_PLANTES_EN_POT_N1_M12</vt:lpstr>
      <vt:lpstr>PROD_COUV_PLANTES_EN_POT_N1_MOY</vt:lpstr>
      <vt:lpstr>PROD_COUV_PLANTES_EN_POT_N2_M01</vt:lpstr>
      <vt:lpstr>PROD_COUV_PLANTES_EN_POT_N2_M02</vt:lpstr>
      <vt:lpstr>PROD_COUV_PLANTES_EN_POT_N2_M03</vt:lpstr>
      <vt:lpstr>PROD_COUV_PLANTES_EN_POT_N2_M04</vt:lpstr>
      <vt:lpstr>PROD_COUV_PLANTES_EN_POT_N2_M05</vt:lpstr>
      <vt:lpstr>PROD_COUV_PLANTES_EN_POT_N2_M06</vt:lpstr>
      <vt:lpstr>PROD_COUV_PLANTES_EN_POT_N2_M07</vt:lpstr>
      <vt:lpstr>PROD_COUV_PLANTES_EN_POT_N2_M08</vt:lpstr>
      <vt:lpstr>PROD_COUV_PLANTES_EN_POT_N2_M09</vt:lpstr>
      <vt:lpstr>PROD_COUV_PLANTES_EN_POT_N2_M10</vt:lpstr>
      <vt:lpstr>PROD_COUV_PLANTES_EN_POT_N2_M11</vt:lpstr>
      <vt:lpstr>PROD_COUV_PLANTES_EN_POT_N2_M12</vt:lpstr>
      <vt:lpstr>PROD_COUV_PLANTES_EN_POT_N2_MOY</vt:lpstr>
      <vt:lpstr>PROD_COUV_PLANTES_MASSIF_VIVACES_N_M01</vt:lpstr>
      <vt:lpstr>PROD_COUV_PLANTES_MASSIF_VIVACES_N_M02</vt:lpstr>
      <vt:lpstr>PROD_COUV_PLANTES_MASSIF_VIVACES_N_M03</vt:lpstr>
      <vt:lpstr>PROD_COUV_PLANTES_MASSIF_VIVACES_N_M04</vt:lpstr>
      <vt:lpstr>PROD_COUV_PLANTES_MASSIF_VIVACES_N_M05</vt:lpstr>
      <vt:lpstr>PROD_COUV_PLANTES_MASSIF_VIVACES_N_M06</vt:lpstr>
      <vt:lpstr>PROD_COUV_PLANTES_MASSIF_VIVACES_N_M07</vt:lpstr>
      <vt:lpstr>PROD_COUV_PLANTES_MASSIF_VIVACES_N_M08</vt:lpstr>
      <vt:lpstr>PROD_COUV_PLANTES_MASSIF_VIVACES_N_M09</vt:lpstr>
      <vt:lpstr>PROD_COUV_PLANTES_MASSIF_VIVACES_N_M10</vt:lpstr>
      <vt:lpstr>PROD_COUV_PLANTES_MASSIF_VIVACES_N_M11</vt:lpstr>
      <vt:lpstr>PROD_COUV_PLANTES_MASSIF_VIVACES_N_M12</vt:lpstr>
      <vt:lpstr>PROD_COUV_PLANTES_MASSIF_VIVACES_N_MOY</vt:lpstr>
      <vt:lpstr>PROD_COUV_PLANTES_MASSIF_VIVACES_N1_M01</vt:lpstr>
      <vt:lpstr>PROD_COUV_PLANTES_MASSIF_VIVACES_N1_M02</vt:lpstr>
      <vt:lpstr>PROD_COUV_PLANTES_MASSIF_VIVACES_N1_M03</vt:lpstr>
      <vt:lpstr>PROD_COUV_PLANTES_MASSIF_VIVACES_N1_M04</vt:lpstr>
      <vt:lpstr>PROD_COUV_PLANTES_MASSIF_VIVACES_N1_M05</vt:lpstr>
      <vt:lpstr>PROD_COUV_PLANTES_MASSIF_VIVACES_N1_M06</vt:lpstr>
      <vt:lpstr>PROD_COUV_PLANTES_MASSIF_VIVACES_N1_M07</vt:lpstr>
      <vt:lpstr>PROD_COUV_PLANTES_MASSIF_VIVACES_N1_M08</vt:lpstr>
      <vt:lpstr>PROD_COUV_PLANTES_MASSIF_VIVACES_N1_M09</vt:lpstr>
      <vt:lpstr>PROD_COUV_PLANTES_MASSIF_VIVACES_N1_M10</vt:lpstr>
      <vt:lpstr>PROD_COUV_PLANTES_MASSIF_VIVACES_N1_M11</vt:lpstr>
      <vt:lpstr>PROD_COUV_PLANTES_MASSIF_VIVACES_N1_M12</vt:lpstr>
      <vt:lpstr>PROD_COUV_PLANTES_MASSIF_VIVACES_N1_MOY</vt:lpstr>
      <vt:lpstr>PROD_COUV_PLANTES_MASSIF_VIVACES_N2_M01</vt:lpstr>
      <vt:lpstr>PROD_COUV_PLANTES_MASSIF_VIVACES_N2_M02</vt:lpstr>
      <vt:lpstr>PROD_COUV_PLANTES_MASSIF_VIVACES_N2_M03</vt:lpstr>
      <vt:lpstr>PROD_COUV_PLANTES_MASSIF_VIVACES_N2_M04</vt:lpstr>
      <vt:lpstr>PROD_COUV_PLANTES_MASSIF_VIVACES_N2_M05</vt:lpstr>
      <vt:lpstr>PROD_COUV_PLANTES_MASSIF_VIVACES_N2_M06</vt:lpstr>
      <vt:lpstr>PROD_COUV_PLANTES_MASSIF_VIVACES_N2_M07</vt:lpstr>
      <vt:lpstr>PROD_COUV_PLANTES_MASSIF_VIVACES_N2_M08</vt:lpstr>
      <vt:lpstr>PROD_COUV_PLANTES_MASSIF_VIVACES_N2_M09</vt:lpstr>
      <vt:lpstr>PROD_COUV_PLANTES_MASSIF_VIVACES_N2_M10</vt:lpstr>
      <vt:lpstr>PROD_COUV_PLANTES_MASSIF_VIVACES_N2_M11</vt:lpstr>
      <vt:lpstr>PROD_COUV_PLANTES_MASSIF_VIVACES_N2_M12</vt:lpstr>
      <vt:lpstr>PROD_COUV_PLANTES_MASSIF_VIVACES_N2_MOY</vt:lpstr>
      <vt:lpstr>PROD_COUV_PLANTES_MED_EN_POT_N_M01</vt:lpstr>
      <vt:lpstr>PROD_COUV_PLANTES_MED_EN_POT_N_M02</vt:lpstr>
      <vt:lpstr>PROD_COUV_PLANTES_MED_EN_POT_N_M03</vt:lpstr>
      <vt:lpstr>PROD_COUV_PLANTES_MED_EN_POT_N_M04</vt:lpstr>
      <vt:lpstr>PROD_COUV_PLANTES_MED_EN_POT_N_M05</vt:lpstr>
      <vt:lpstr>PROD_COUV_PLANTES_MED_EN_POT_N_M06</vt:lpstr>
      <vt:lpstr>PROD_COUV_PLANTES_MED_EN_POT_N_M07</vt:lpstr>
      <vt:lpstr>PROD_COUV_PLANTES_MED_EN_POT_N_M08</vt:lpstr>
      <vt:lpstr>PROD_COUV_PLANTES_MED_EN_POT_N_M09</vt:lpstr>
      <vt:lpstr>PROD_COUV_PLANTES_MED_EN_POT_N_M10</vt:lpstr>
      <vt:lpstr>PROD_COUV_PLANTES_MED_EN_POT_N_M11</vt:lpstr>
      <vt:lpstr>PROD_COUV_PLANTES_MED_EN_POT_N_M12</vt:lpstr>
      <vt:lpstr>PROD_COUV_PLANTES_MED_EN_POT_N_MOY</vt:lpstr>
      <vt:lpstr>PROD_COUV_PLANTES_MED_EN_POT_N1_M01</vt:lpstr>
      <vt:lpstr>PROD_COUV_PLANTES_MED_EN_POT_N1_M02</vt:lpstr>
      <vt:lpstr>PROD_COUV_PLANTES_MED_EN_POT_N1_M03</vt:lpstr>
      <vt:lpstr>PROD_COUV_PLANTES_MED_EN_POT_N1_M04</vt:lpstr>
      <vt:lpstr>PROD_COUV_PLANTES_MED_EN_POT_N1_M05</vt:lpstr>
      <vt:lpstr>PROD_COUV_PLANTES_MED_EN_POT_N1_M06</vt:lpstr>
      <vt:lpstr>PROD_COUV_PLANTES_MED_EN_POT_N1_M07</vt:lpstr>
      <vt:lpstr>PROD_COUV_PLANTES_MED_EN_POT_N1_M08</vt:lpstr>
      <vt:lpstr>PROD_COUV_PLANTES_MED_EN_POT_N1_M09</vt:lpstr>
      <vt:lpstr>PROD_COUV_PLANTES_MED_EN_POT_N1_M10</vt:lpstr>
      <vt:lpstr>PROD_COUV_PLANTES_MED_EN_POT_N1_M11</vt:lpstr>
      <vt:lpstr>PROD_COUV_PLANTES_MED_EN_POT_N1_M12</vt:lpstr>
      <vt:lpstr>PROD_COUV_PLANTES_MED_EN_POT_N1_MOY</vt:lpstr>
      <vt:lpstr>PROD_COUV_PLANTES_MED_EN_POT_N2_M01</vt:lpstr>
      <vt:lpstr>PROD_COUV_PLANTES_MED_EN_POT_N2_M02</vt:lpstr>
      <vt:lpstr>PROD_COUV_PLANTES_MED_EN_POT_N2_M03</vt:lpstr>
      <vt:lpstr>PROD_COUV_PLANTES_MED_EN_POT_N2_M04</vt:lpstr>
      <vt:lpstr>PROD_COUV_PLANTES_MED_EN_POT_N2_M05</vt:lpstr>
      <vt:lpstr>PROD_COUV_PLANTES_MED_EN_POT_N2_M06</vt:lpstr>
      <vt:lpstr>PROD_COUV_PLANTES_MED_EN_POT_N2_M07</vt:lpstr>
      <vt:lpstr>PROD_COUV_PLANTES_MED_EN_POT_N2_M08</vt:lpstr>
      <vt:lpstr>PROD_COUV_PLANTES_MED_EN_POT_N2_M09</vt:lpstr>
      <vt:lpstr>PROD_COUV_PLANTES_MED_EN_POT_N2_M10</vt:lpstr>
      <vt:lpstr>PROD_COUV_PLANTES_MED_EN_POT_N2_M11</vt:lpstr>
      <vt:lpstr>PROD_COUV_PLANTES_MED_EN_POT_N2_M12</vt:lpstr>
      <vt:lpstr>PROD_COUV_PLANTES_MED_EN_POT_N2_MOY</vt:lpstr>
      <vt:lpstr>PROD_EXT_ARBRES_ARBUSTES_EN_POT_N_M01</vt:lpstr>
      <vt:lpstr>PROD_EXT_ARBRES_ARBUSTES_EN_POT_N_M02</vt:lpstr>
      <vt:lpstr>PROD_EXT_ARBRES_ARBUSTES_EN_POT_N_M03</vt:lpstr>
      <vt:lpstr>PROD_EXT_ARBRES_ARBUSTES_EN_POT_N_M04</vt:lpstr>
      <vt:lpstr>PROD_EXT_ARBRES_ARBUSTES_EN_POT_N_M05</vt:lpstr>
      <vt:lpstr>PROD_EXT_ARBRES_ARBUSTES_EN_POT_N_M06</vt:lpstr>
      <vt:lpstr>PROD_EXT_ARBRES_ARBUSTES_EN_POT_N_M07</vt:lpstr>
      <vt:lpstr>PROD_EXT_ARBRES_ARBUSTES_EN_POT_N_M08</vt:lpstr>
      <vt:lpstr>PROD_EXT_ARBRES_ARBUSTES_EN_POT_N_M09</vt:lpstr>
      <vt:lpstr>PROD_EXT_ARBRES_ARBUSTES_EN_POT_N_M10</vt:lpstr>
      <vt:lpstr>PROD_EXT_ARBRES_ARBUSTES_EN_POT_N_M11</vt:lpstr>
      <vt:lpstr>PROD_EXT_ARBRES_ARBUSTES_EN_POT_N_M12</vt:lpstr>
      <vt:lpstr>PROD_EXT_ARBRES_ARBUSTES_EN_POT_N_MOY</vt:lpstr>
      <vt:lpstr>PROD_EXT_ARBRES_ARBUSTES_EN_POT_N1_M01</vt:lpstr>
      <vt:lpstr>PROD_EXT_ARBRES_ARBUSTES_EN_POT_N1_M02</vt:lpstr>
      <vt:lpstr>PROD_EXT_ARBRES_ARBUSTES_EN_POT_N1_M03</vt:lpstr>
      <vt:lpstr>PROD_EXT_ARBRES_ARBUSTES_EN_POT_N1_M04</vt:lpstr>
      <vt:lpstr>PROD_EXT_ARBRES_ARBUSTES_EN_POT_N1_M05</vt:lpstr>
      <vt:lpstr>PROD_EXT_ARBRES_ARBUSTES_EN_POT_N1_M06</vt:lpstr>
      <vt:lpstr>PROD_EXT_ARBRES_ARBUSTES_EN_POT_N1_M07</vt:lpstr>
      <vt:lpstr>PROD_EXT_ARBRES_ARBUSTES_EN_POT_N1_M08</vt:lpstr>
      <vt:lpstr>PROD_EXT_ARBRES_ARBUSTES_EN_POT_N1_M09</vt:lpstr>
      <vt:lpstr>PROD_EXT_ARBRES_ARBUSTES_EN_POT_N1_M10</vt:lpstr>
      <vt:lpstr>PROD_EXT_ARBRES_ARBUSTES_EN_POT_N1_M11</vt:lpstr>
      <vt:lpstr>PROD_EXT_ARBRES_ARBUSTES_EN_POT_N1_M12</vt:lpstr>
      <vt:lpstr>PROD_EXT_ARBRES_ARBUSTES_EN_POT_N1_MOY</vt:lpstr>
      <vt:lpstr>PROD_EXT_ARBRES_ARBUSTES_EN_POT_N2_M01</vt:lpstr>
      <vt:lpstr>PROD_EXT_ARBRES_ARBUSTES_EN_POT_N2_M02</vt:lpstr>
      <vt:lpstr>PROD_EXT_ARBRES_ARBUSTES_EN_POT_N2_M03</vt:lpstr>
      <vt:lpstr>PROD_EXT_ARBRES_ARBUSTES_EN_POT_N2_M04</vt:lpstr>
      <vt:lpstr>PROD_EXT_ARBRES_ARBUSTES_EN_POT_N2_M05</vt:lpstr>
      <vt:lpstr>PROD_EXT_ARBRES_ARBUSTES_EN_POT_N2_M06</vt:lpstr>
      <vt:lpstr>PROD_EXT_ARBRES_ARBUSTES_EN_POT_N2_M07</vt:lpstr>
      <vt:lpstr>PROD_EXT_ARBRES_ARBUSTES_EN_POT_N2_M08</vt:lpstr>
      <vt:lpstr>PROD_EXT_ARBRES_ARBUSTES_EN_POT_N2_M09</vt:lpstr>
      <vt:lpstr>PROD_EXT_ARBRES_ARBUSTES_EN_POT_N2_M10</vt:lpstr>
      <vt:lpstr>PROD_EXT_ARBRES_ARBUSTES_EN_POT_N2_M11</vt:lpstr>
      <vt:lpstr>PROD_EXT_ARBRES_ARBUSTES_EN_POT_N2_M12</vt:lpstr>
      <vt:lpstr>PROD_EXT_ARBRES_ARBUSTES_EN_POT_N2_MOY</vt:lpstr>
      <vt:lpstr>PROD_EXT_ARBRES_PLEINE_TERRE_N_M01</vt:lpstr>
      <vt:lpstr>PROD_EXT_ARBRES_PLEINE_TERRE_N_M02</vt:lpstr>
      <vt:lpstr>PROD_EXT_ARBRES_PLEINE_TERRE_N_M03</vt:lpstr>
      <vt:lpstr>PROD_EXT_ARBRES_PLEINE_TERRE_N_M04</vt:lpstr>
      <vt:lpstr>PROD_EXT_ARBRES_PLEINE_TERRE_N_M05</vt:lpstr>
      <vt:lpstr>PROD_EXT_ARBRES_PLEINE_TERRE_N_M06</vt:lpstr>
      <vt:lpstr>PROD_EXT_ARBRES_PLEINE_TERRE_N_M07</vt:lpstr>
      <vt:lpstr>PROD_EXT_ARBRES_PLEINE_TERRE_N_M08</vt:lpstr>
      <vt:lpstr>PROD_EXT_ARBRES_PLEINE_TERRE_N_M09</vt:lpstr>
      <vt:lpstr>PROD_EXT_ARBRES_PLEINE_TERRE_N_M10</vt:lpstr>
      <vt:lpstr>PROD_EXT_ARBRES_PLEINE_TERRE_N_M11</vt:lpstr>
      <vt:lpstr>PROD_EXT_ARBRES_PLEINE_TERRE_N_M12</vt:lpstr>
      <vt:lpstr>PROD_EXT_ARBRES_PLEINE_TERRE_N_MOY</vt:lpstr>
      <vt:lpstr>PROD_EXT_ARBRES_PLEINE_TERRE_N1_M01</vt:lpstr>
      <vt:lpstr>PROD_EXT_ARBRES_PLEINE_TERRE_N1_M02</vt:lpstr>
      <vt:lpstr>PROD_EXT_ARBRES_PLEINE_TERRE_N1_M03</vt:lpstr>
      <vt:lpstr>PROD_EXT_ARBRES_PLEINE_TERRE_N1_M04</vt:lpstr>
      <vt:lpstr>PROD_EXT_ARBRES_PLEINE_TERRE_N1_M05</vt:lpstr>
      <vt:lpstr>PROD_EXT_ARBRES_PLEINE_TERRE_N1_M06</vt:lpstr>
      <vt:lpstr>PROD_EXT_ARBRES_PLEINE_TERRE_N1_M07</vt:lpstr>
      <vt:lpstr>PROD_EXT_ARBRES_PLEINE_TERRE_N1_M08</vt:lpstr>
      <vt:lpstr>PROD_EXT_ARBRES_PLEINE_TERRE_N1_M09</vt:lpstr>
      <vt:lpstr>PROD_EXT_ARBRES_PLEINE_TERRE_N1_M10</vt:lpstr>
      <vt:lpstr>PROD_EXT_ARBRES_PLEINE_TERRE_N1_M11</vt:lpstr>
      <vt:lpstr>PROD_EXT_ARBRES_PLEINE_TERRE_N1_M12</vt:lpstr>
      <vt:lpstr>PROD_EXT_ARBRES_PLEINE_TERRE_N1_MOY</vt:lpstr>
      <vt:lpstr>PROD_EXT_ARBRES_PLEINE_TERRE_N2_M01</vt:lpstr>
      <vt:lpstr>PROD_EXT_ARBRES_PLEINE_TERRE_N2_M02</vt:lpstr>
      <vt:lpstr>PROD_EXT_ARBRES_PLEINE_TERRE_N2_M03</vt:lpstr>
      <vt:lpstr>PROD_EXT_ARBRES_PLEINE_TERRE_N2_M04</vt:lpstr>
      <vt:lpstr>PROD_EXT_ARBRES_PLEINE_TERRE_N2_M05</vt:lpstr>
      <vt:lpstr>PROD_EXT_ARBRES_PLEINE_TERRE_N2_M06</vt:lpstr>
      <vt:lpstr>PROD_EXT_ARBRES_PLEINE_TERRE_N2_M07</vt:lpstr>
      <vt:lpstr>PROD_EXT_ARBRES_PLEINE_TERRE_N2_M08</vt:lpstr>
      <vt:lpstr>PROD_EXT_ARBRES_PLEINE_TERRE_N2_M09</vt:lpstr>
      <vt:lpstr>PROD_EXT_ARBRES_PLEINE_TERRE_N2_M10</vt:lpstr>
      <vt:lpstr>PROD_EXT_ARBRES_PLEINE_TERRE_N2_M11</vt:lpstr>
      <vt:lpstr>PROD_EXT_ARBRES_PLEINE_TERRE_N2_M12</vt:lpstr>
      <vt:lpstr>PROD_EXT_ARBRES_PLEINE_TERRE_N2_MOY</vt:lpstr>
      <vt:lpstr>PROD_EXT_AUTRES_ARBRES_EN_POT_N_M01</vt:lpstr>
      <vt:lpstr>PROD_EXT_AUTRES_ARBRES_EN_POT_N_M02</vt:lpstr>
      <vt:lpstr>PROD_EXT_AUTRES_ARBRES_EN_POT_N_M03</vt:lpstr>
      <vt:lpstr>PROD_EXT_AUTRES_ARBRES_EN_POT_N_M04</vt:lpstr>
      <vt:lpstr>PROD_EXT_AUTRES_ARBRES_EN_POT_N_M05</vt:lpstr>
      <vt:lpstr>PROD_EXT_AUTRES_ARBRES_EN_POT_N_M06</vt:lpstr>
      <vt:lpstr>PROD_EXT_AUTRES_ARBRES_EN_POT_N_M07</vt:lpstr>
      <vt:lpstr>PROD_EXT_AUTRES_ARBRES_EN_POT_N_M08</vt:lpstr>
      <vt:lpstr>PROD_EXT_AUTRES_ARBRES_EN_POT_N_M09</vt:lpstr>
      <vt:lpstr>PROD_EXT_AUTRES_ARBRES_EN_POT_N_M10</vt:lpstr>
      <vt:lpstr>PROD_EXT_AUTRES_ARBRES_EN_POT_N_M11</vt:lpstr>
      <vt:lpstr>PROD_EXT_AUTRES_ARBRES_EN_POT_N_M12</vt:lpstr>
      <vt:lpstr>PROD_EXT_AUTRES_ARBRES_EN_POT_N_MOY</vt:lpstr>
      <vt:lpstr>PROD_EXT_AUTRES_ARBRES_EN_POT_N1_M01</vt:lpstr>
      <vt:lpstr>PROD_EXT_AUTRES_ARBRES_EN_POT_N1_M02</vt:lpstr>
      <vt:lpstr>PROD_EXT_AUTRES_ARBRES_EN_POT_N1_M03</vt:lpstr>
      <vt:lpstr>PROD_EXT_AUTRES_ARBRES_EN_POT_N1_M04</vt:lpstr>
      <vt:lpstr>PROD_EXT_AUTRES_ARBRES_EN_POT_N1_M05</vt:lpstr>
      <vt:lpstr>PROD_EXT_AUTRES_ARBRES_EN_POT_N1_M06</vt:lpstr>
      <vt:lpstr>PROD_EXT_AUTRES_ARBRES_EN_POT_N1_M07</vt:lpstr>
      <vt:lpstr>PROD_EXT_AUTRES_ARBRES_EN_POT_N1_M08</vt:lpstr>
      <vt:lpstr>PROD_EXT_AUTRES_ARBRES_EN_POT_N1_M09</vt:lpstr>
      <vt:lpstr>PROD_EXT_AUTRES_ARBRES_EN_POT_N1_M10</vt:lpstr>
      <vt:lpstr>PROD_EXT_AUTRES_ARBRES_EN_POT_N1_M11</vt:lpstr>
      <vt:lpstr>PROD_EXT_AUTRES_ARBRES_EN_POT_N1_M12</vt:lpstr>
      <vt:lpstr>PROD_EXT_AUTRES_ARBRES_EN_POT_N1_MOY</vt:lpstr>
      <vt:lpstr>PROD_EXT_AUTRES_ARBRES_EN_POT_N2_M01</vt:lpstr>
      <vt:lpstr>PROD_EXT_AUTRES_ARBRES_EN_POT_N2_M02</vt:lpstr>
      <vt:lpstr>PROD_EXT_AUTRES_ARBRES_EN_POT_N2_M03</vt:lpstr>
      <vt:lpstr>PROD_EXT_AUTRES_ARBRES_EN_POT_N2_M04</vt:lpstr>
      <vt:lpstr>PROD_EXT_AUTRES_ARBRES_EN_POT_N2_M05</vt:lpstr>
      <vt:lpstr>PROD_EXT_AUTRES_ARBRES_EN_POT_N2_M06</vt:lpstr>
      <vt:lpstr>PROD_EXT_AUTRES_ARBRES_EN_POT_N2_M07</vt:lpstr>
      <vt:lpstr>PROD_EXT_AUTRES_ARBRES_EN_POT_N2_M08</vt:lpstr>
      <vt:lpstr>PROD_EXT_AUTRES_ARBRES_EN_POT_N2_M09</vt:lpstr>
      <vt:lpstr>PROD_EXT_AUTRES_ARBRES_EN_POT_N2_M10</vt:lpstr>
      <vt:lpstr>PROD_EXT_AUTRES_ARBRES_EN_POT_N2_M11</vt:lpstr>
      <vt:lpstr>PROD_EXT_AUTRES_ARBRES_EN_POT_N2_M12</vt:lpstr>
      <vt:lpstr>PROD_EXT_AUTRES_ARBRES_EN_POT_N2_MOY</vt:lpstr>
      <vt:lpstr>PROD_EXT_AUTRES_CULTURES_PLEINE_TERRE_N_M01</vt:lpstr>
      <vt:lpstr>PROD_EXT_AUTRES_CULTURES_PLEINE_TERRE_N_M02</vt:lpstr>
      <vt:lpstr>PROD_EXT_AUTRES_CULTURES_PLEINE_TERRE_N_M03</vt:lpstr>
      <vt:lpstr>PROD_EXT_AUTRES_CULTURES_PLEINE_TERRE_N_M04</vt:lpstr>
      <vt:lpstr>PROD_EXT_AUTRES_CULTURES_PLEINE_TERRE_N_M05</vt:lpstr>
      <vt:lpstr>PROD_EXT_AUTRES_CULTURES_PLEINE_TERRE_N_M06</vt:lpstr>
      <vt:lpstr>PROD_EXT_AUTRES_CULTURES_PLEINE_TERRE_N_M07</vt:lpstr>
      <vt:lpstr>PROD_EXT_AUTRES_CULTURES_PLEINE_TERRE_N_M08</vt:lpstr>
      <vt:lpstr>PROD_EXT_AUTRES_CULTURES_PLEINE_TERRE_N_M09</vt:lpstr>
      <vt:lpstr>PROD_EXT_AUTRES_CULTURES_PLEINE_TERRE_N_M10</vt:lpstr>
      <vt:lpstr>PROD_EXT_AUTRES_CULTURES_PLEINE_TERRE_N_M11</vt:lpstr>
      <vt:lpstr>PROD_EXT_AUTRES_CULTURES_PLEINE_TERRE_N_M12</vt:lpstr>
      <vt:lpstr>PROD_EXT_AUTRES_CULTURES_PLEINE_TERRE_N_MOY</vt:lpstr>
      <vt:lpstr>PROD_EXT_AUTRES_CULTURES_PLEINE_TERRE_N1_M01</vt:lpstr>
      <vt:lpstr>PROD_EXT_AUTRES_CULTURES_PLEINE_TERRE_N1_M02</vt:lpstr>
      <vt:lpstr>PROD_EXT_AUTRES_CULTURES_PLEINE_TERRE_N1_M03</vt:lpstr>
      <vt:lpstr>PROD_EXT_AUTRES_CULTURES_PLEINE_TERRE_N1_M04</vt:lpstr>
      <vt:lpstr>PROD_EXT_AUTRES_CULTURES_PLEINE_TERRE_N1_M05</vt:lpstr>
      <vt:lpstr>PROD_EXT_AUTRES_CULTURES_PLEINE_TERRE_N1_M06</vt:lpstr>
      <vt:lpstr>PROD_EXT_AUTRES_CULTURES_PLEINE_TERRE_N1_M07</vt:lpstr>
      <vt:lpstr>PROD_EXT_AUTRES_CULTURES_PLEINE_TERRE_N1_M08</vt:lpstr>
      <vt:lpstr>PROD_EXT_AUTRES_CULTURES_PLEINE_TERRE_N1_M09</vt:lpstr>
      <vt:lpstr>PROD_EXT_AUTRES_CULTURES_PLEINE_TERRE_N1_M10</vt:lpstr>
      <vt:lpstr>PROD_EXT_AUTRES_CULTURES_PLEINE_TERRE_N1_M11</vt:lpstr>
      <vt:lpstr>PROD_EXT_AUTRES_CULTURES_PLEINE_TERRE_N1_M12</vt:lpstr>
      <vt:lpstr>PROD_EXT_AUTRES_CULTURES_PLEINE_TERRE_N1_MOY</vt:lpstr>
      <vt:lpstr>PROD_EXT_AUTRES_CULTURES_PLEINE_TERRE_N2_M01</vt:lpstr>
      <vt:lpstr>PROD_EXT_AUTRES_CULTURES_PLEINE_TERRE_N2_M02</vt:lpstr>
      <vt:lpstr>PROD_EXT_AUTRES_CULTURES_PLEINE_TERRE_N2_M03</vt:lpstr>
      <vt:lpstr>PROD_EXT_AUTRES_CULTURES_PLEINE_TERRE_N2_M04</vt:lpstr>
      <vt:lpstr>PROD_EXT_AUTRES_CULTURES_PLEINE_TERRE_N2_M05</vt:lpstr>
      <vt:lpstr>PROD_EXT_AUTRES_CULTURES_PLEINE_TERRE_N2_M06</vt:lpstr>
      <vt:lpstr>PROD_EXT_AUTRES_CULTURES_PLEINE_TERRE_N2_M07</vt:lpstr>
      <vt:lpstr>PROD_EXT_AUTRES_CULTURES_PLEINE_TERRE_N2_M08</vt:lpstr>
      <vt:lpstr>PROD_EXT_AUTRES_CULTURES_PLEINE_TERRE_N2_M09</vt:lpstr>
      <vt:lpstr>PROD_EXT_AUTRES_CULTURES_PLEINE_TERRE_N2_M10</vt:lpstr>
      <vt:lpstr>PROD_EXT_AUTRES_CULTURES_PLEINE_TERRE_N2_M11</vt:lpstr>
      <vt:lpstr>PROD_EXT_AUTRES_CULTURES_PLEINE_TERRE_N2_M12</vt:lpstr>
      <vt:lpstr>PROD_EXT_AUTRES_CULTURES_PLEINE_TERRE_N2_MOY</vt:lpstr>
      <vt:lpstr>PROD_EXT_BULBES_PLEINE_TERRE_N_M01</vt:lpstr>
      <vt:lpstr>PROD_EXT_BULBES_PLEINE_TERRE_N_M02</vt:lpstr>
      <vt:lpstr>PROD_EXT_BULBES_PLEINE_TERRE_N_M03</vt:lpstr>
      <vt:lpstr>PROD_EXT_BULBES_PLEINE_TERRE_N_M04</vt:lpstr>
      <vt:lpstr>PROD_EXT_BULBES_PLEINE_TERRE_N_M05</vt:lpstr>
      <vt:lpstr>PROD_EXT_BULBES_PLEINE_TERRE_N_M06</vt:lpstr>
      <vt:lpstr>PROD_EXT_BULBES_PLEINE_TERRE_N_M07</vt:lpstr>
      <vt:lpstr>PROD_EXT_BULBES_PLEINE_TERRE_N_M08</vt:lpstr>
      <vt:lpstr>PROD_EXT_BULBES_PLEINE_TERRE_N_M09</vt:lpstr>
      <vt:lpstr>PROD_EXT_BULBES_PLEINE_TERRE_N_M10</vt:lpstr>
      <vt:lpstr>PROD_EXT_BULBES_PLEINE_TERRE_N_M11</vt:lpstr>
      <vt:lpstr>PROD_EXT_BULBES_PLEINE_TERRE_N_M12</vt:lpstr>
      <vt:lpstr>PROD_EXT_BULBES_PLEINE_TERRE_N_MOY</vt:lpstr>
      <vt:lpstr>PROD_EXT_BULBES_PLEINE_TERRE_N1_M01</vt:lpstr>
      <vt:lpstr>PROD_EXT_BULBES_PLEINE_TERRE_N1_M02</vt:lpstr>
      <vt:lpstr>PROD_EXT_BULBES_PLEINE_TERRE_N1_M03</vt:lpstr>
      <vt:lpstr>PROD_EXT_BULBES_PLEINE_TERRE_N1_M04</vt:lpstr>
      <vt:lpstr>PROD_EXT_BULBES_PLEINE_TERRE_N1_M05</vt:lpstr>
      <vt:lpstr>PROD_EXT_BULBES_PLEINE_TERRE_N1_M06</vt:lpstr>
      <vt:lpstr>PROD_EXT_BULBES_PLEINE_TERRE_N1_M07</vt:lpstr>
      <vt:lpstr>PROD_EXT_BULBES_PLEINE_TERRE_N1_M08</vt:lpstr>
      <vt:lpstr>PROD_EXT_BULBES_PLEINE_TERRE_N1_M09</vt:lpstr>
      <vt:lpstr>PROD_EXT_BULBES_PLEINE_TERRE_N1_M10</vt:lpstr>
      <vt:lpstr>PROD_EXT_BULBES_PLEINE_TERRE_N1_M11</vt:lpstr>
      <vt:lpstr>PROD_EXT_BULBES_PLEINE_TERRE_N1_M12</vt:lpstr>
      <vt:lpstr>PROD_EXT_BULBES_PLEINE_TERRE_N1_MOY</vt:lpstr>
      <vt:lpstr>PROD_EXT_BULBES_PLEINE_TERRE_N2_M01</vt:lpstr>
      <vt:lpstr>PROD_EXT_BULBES_PLEINE_TERRE_N2_M02</vt:lpstr>
      <vt:lpstr>PROD_EXT_BULBES_PLEINE_TERRE_N2_M03</vt:lpstr>
      <vt:lpstr>PROD_EXT_BULBES_PLEINE_TERRE_N2_M04</vt:lpstr>
      <vt:lpstr>PROD_EXT_BULBES_PLEINE_TERRE_N2_M05</vt:lpstr>
      <vt:lpstr>PROD_EXT_BULBES_PLEINE_TERRE_N2_M06</vt:lpstr>
      <vt:lpstr>PROD_EXT_BULBES_PLEINE_TERRE_N2_M07</vt:lpstr>
      <vt:lpstr>PROD_EXT_BULBES_PLEINE_TERRE_N2_M08</vt:lpstr>
      <vt:lpstr>PROD_EXT_BULBES_PLEINE_TERRE_N2_M09</vt:lpstr>
      <vt:lpstr>PROD_EXT_BULBES_PLEINE_TERRE_N2_M10</vt:lpstr>
      <vt:lpstr>PROD_EXT_BULBES_PLEINE_TERRE_N2_M11</vt:lpstr>
      <vt:lpstr>PROD_EXT_BULBES_PLEINE_TERRE_N2_M12</vt:lpstr>
      <vt:lpstr>PROD_EXT_BULBES_PLEINE_TERRE_N2_MOY</vt:lpstr>
      <vt:lpstr>PROD_EXT_CHRYSANTHEME_EN_POT_N_M01</vt:lpstr>
      <vt:lpstr>PROD_EXT_CHRYSANTHEME_EN_POT_N_M02</vt:lpstr>
      <vt:lpstr>PROD_EXT_CHRYSANTHEME_EN_POT_N_M03</vt:lpstr>
      <vt:lpstr>PROD_EXT_CHRYSANTHEME_EN_POT_N_M04</vt:lpstr>
      <vt:lpstr>PROD_EXT_CHRYSANTHEME_EN_POT_N_M05</vt:lpstr>
      <vt:lpstr>PROD_EXT_CHRYSANTHEME_EN_POT_N_M06</vt:lpstr>
      <vt:lpstr>PROD_EXT_CHRYSANTHEME_EN_POT_N_M07</vt:lpstr>
      <vt:lpstr>PROD_EXT_CHRYSANTHEME_EN_POT_N_M08</vt:lpstr>
      <vt:lpstr>PROD_EXT_CHRYSANTHEME_EN_POT_N_M09</vt:lpstr>
      <vt:lpstr>PROD_EXT_CHRYSANTHEME_EN_POT_N_M10</vt:lpstr>
      <vt:lpstr>PROD_EXT_CHRYSANTHEME_EN_POT_N_M11</vt:lpstr>
      <vt:lpstr>PROD_EXT_CHRYSANTHEME_EN_POT_N_M12</vt:lpstr>
      <vt:lpstr>PROD_EXT_CHRYSANTHEME_EN_POT_N_MOY</vt:lpstr>
      <vt:lpstr>PROD_EXT_CHRYSANTHEME_EN_POT_N1_M01</vt:lpstr>
      <vt:lpstr>PROD_EXT_CHRYSANTHEME_EN_POT_N1_M02</vt:lpstr>
      <vt:lpstr>PROD_EXT_CHRYSANTHEME_EN_POT_N1_M03</vt:lpstr>
      <vt:lpstr>PROD_EXT_CHRYSANTHEME_EN_POT_N1_M04</vt:lpstr>
      <vt:lpstr>PROD_EXT_CHRYSANTHEME_EN_POT_N1_M05</vt:lpstr>
      <vt:lpstr>PROD_EXT_CHRYSANTHEME_EN_POT_N1_M06</vt:lpstr>
      <vt:lpstr>PROD_EXT_CHRYSANTHEME_EN_POT_N1_M07</vt:lpstr>
      <vt:lpstr>PROD_EXT_CHRYSANTHEME_EN_POT_N1_M08</vt:lpstr>
      <vt:lpstr>PROD_EXT_CHRYSANTHEME_EN_POT_N1_M09</vt:lpstr>
      <vt:lpstr>PROD_EXT_CHRYSANTHEME_EN_POT_N1_M10</vt:lpstr>
      <vt:lpstr>PROD_EXT_CHRYSANTHEME_EN_POT_N1_M11</vt:lpstr>
      <vt:lpstr>PROD_EXT_CHRYSANTHEME_EN_POT_N1_M12</vt:lpstr>
      <vt:lpstr>PROD_EXT_CHRYSANTHEME_EN_POT_N1_MOY</vt:lpstr>
      <vt:lpstr>PROD_EXT_CHRYSANTHEME_EN_POT_N2_M01</vt:lpstr>
      <vt:lpstr>PROD_EXT_CHRYSANTHEME_EN_POT_N2_M02</vt:lpstr>
      <vt:lpstr>PROD_EXT_CHRYSANTHEME_EN_POT_N2_M03</vt:lpstr>
      <vt:lpstr>PROD_EXT_CHRYSANTHEME_EN_POT_N2_M04</vt:lpstr>
      <vt:lpstr>PROD_EXT_CHRYSANTHEME_EN_POT_N2_M05</vt:lpstr>
      <vt:lpstr>PROD_EXT_CHRYSANTHEME_EN_POT_N2_M06</vt:lpstr>
      <vt:lpstr>PROD_EXT_CHRYSANTHEME_EN_POT_N2_M07</vt:lpstr>
      <vt:lpstr>PROD_EXT_CHRYSANTHEME_EN_POT_N2_M08</vt:lpstr>
      <vt:lpstr>PROD_EXT_CHRYSANTHEME_EN_POT_N2_M09</vt:lpstr>
      <vt:lpstr>PROD_EXT_CHRYSANTHEME_EN_POT_N2_M10</vt:lpstr>
      <vt:lpstr>PROD_EXT_CHRYSANTHEME_EN_POT_N2_M11</vt:lpstr>
      <vt:lpstr>PROD_EXT_CHRYSANTHEME_EN_POT_N2_M12</vt:lpstr>
      <vt:lpstr>PROD_EXT_CHRYSANTHEME_EN_POT_N2_MOY</vt:lpstr>
      <vt:lpstr>PROD_EXT_FLEURS_ETE_PLEINE_TERRE_N_M01</vt:lpstr>
      <vt:lpstr>PROD_EXT_FLEURS_ETE_PLEINE_TERRE_N_M02</vt:lpstr>
      <vt:lpstr>PROD_EXT_FLEURS_ETE_PLEINE_TERRE_N_M03</vt:lpstr>
      <vt:lpstr>PROD_EXT_FLEURS_ETE_PLEINE_TERRE_N_M04</vt:lpstr>
      <vt:lpstr>PROD_EXT_FLEURS_ETE_PLEINE_TERRE_N_M05</vt:lpstr>
      <vt:lpstr>PROD_EXT_FLEURS_ETE_PLEINE_TERRE_N_M06</vt:lpstr>
      <vt:lpstr>PROD_EXT_FLEURS_ETE_PLEINE_TERRE_N_M07</vt:lpstr>
      <vt:lpstr>PROD_EXT_FLEURS_ETE_PLEINE_TERRE_N_M08</vt:lpstr>
      <vt:lpstr>PROD_EXT_FLEURS_ETE_PLEINE_TERRE_N_M09</vt:lpstr>
      <vt:lpstr>PROD_EXT_FLEURS_ETE_PLEINE_TERRE_N_M10</vt:lpstr>
      <vt:lpstr>PROD_EXT_FLEURS_ETE_PLEINE_TERRE_N_M11</vt:lpstr>
      <vt:lpstr>PROD_EXT_FLEURS_ETE_PLEINE_TERRE_N_M12</vt:lpstr>
      <vt:lpstr>PROD_EXT_FLEURS_ETE_PLEINE_TERRE_N_MOY</vt:lpstr>
      <vt:lpstr>PROD_EXT_FLEURS_ETE_PLEINE_TERRE_N1_M01</vt:lpstr>
      <vt:lpstr>PROD_EXT_FLEURS_ETE_PLEINE_TERRE_N1_M02</vt:lpstr>
      <vt:lpstr>PROD_EXT_FLEURS_ETE_PLEINE_TERRE_N1_M03</vt:lpstr>
      <vt:lpstr>PROD_EXT_FLEURS_ETE_PLEINE_TERRE_N1_M04</vt:lpstr>
      <vt:lpstr>PROD_EXT_FLEURS_ETE_PLEINE_TERRE_N1_M05</vt:lpstr>
      <vt:lpstr>PROD_EXT_FLEURS_ETE_PLEINE_TERRE_N1_M06</vt:lpstr>
      <vt:lpstr>PROD_EXT_FLEURS_ETE_PLEINE_TERRE_N1_M07</vt:lpstr>
      <vt:lpstr>PROD_EXT_FLEURS_ETE_PLEINE_TERRE_N1_M08</vt:lpstr>
      <vt:lpstr>PROD_EXT_FLEURS_ETE_PLEINE_TERRE_N1_M09</vt:lpstr>
      <vt:lpstr>PROD_EXT_FLEURS_ETE_PLEINE_TERRE_N1_M10</vt:lpstr>
      <vt:lpstr>PROD_EXT_FLEURS_ETE_PLEINE_TERRE_N1_M11</vt:lpstr>
      <vt:lpstr>PROD_EXT_FLEURS_ETE_PLEINE_TERRE_N1_M12</vt:lpstr>
      <vt:lpstr>PROD_EXT_FLEURS_ETE_PLEINE_TERRE_N1_MOY</vt:lpstr>
      <vt:lpstr>PROD_EXT_FLEURS_ETE_PLEINE_TERRE_N2_M01</vt:lpstr>
      <vt:lpstr>PROD_EXT_FLEURS_ETE_PLEINE_TERRE_N2_M02</vt:lpstr>
      <vt:lpstr>PROD_EXT_FLEURS_ETE_PLEINE_TERRE_N2_M03</vt:lpstr>
      <vt:lpstr>PROD_EXT_FLEURS_ETE_PLEINE_TERRE_N2_M04</vt:lpstr>
      <vt:lpstr>PROD_EXT_FLEURS_ETE_PLEINE_TERRE_N2_M05</vt:lpstr>
      <vt:lpstr>PROD_EXT_FLEURS_ETE_PLEINE_TERRE_N2_M06</vt:lpstr>
      <vt:lpstr>PROD_EXT_FLEURS_ETE_PLEINE_TERRE_N2_M07</vt:lpstr>
      <vt:lpstr>PROD_EXT_FLEURS_ETE_PLEINE_TERRE_N2_M08</vt:lpstr>
      <vt:lpstr>PROD_EXT_FLEURS_ETE_PLEINE_TERRE_N2_M09</vt:lpstr>
      <vt:lpstr>PROD_EXT_FLEURS_ETE_PLEINE_TERRE_N2_M10</vt:lpstr>
      <vt:lpstr>PROD_EXT_FLEURS_ETE_PLEINE_TERRE_N2_M11</vt:lpstr>
      <vt:lpstr>PROD_EXT_FLEURS_ETE_PLEINE_TERRE_N2_M12</vt:lpstr>
      <vt:lpstr>PROD_EXT_FLEURS_ETE_PLEINE_TERRE_N2_MOY</vt:lpstr>
      <vt:lpstr>PROD_EXT_FRUITIERS_PLEINE_TERRE_N_M01</vt:lpstr>
      <vt:lpstr>PROD_EXT_FRUITIERS_PLEINE_TERRE_N_M02</vt:lpstr>
      <vt:lpstr>PROD_EXT_FRUITIERS_PLEINE_TERRE_N_M03</vt:lpstr>
      <vt:lpstr>PROD_EXT_FRUITIERS_PLEINE_TERRE_N_M04</vt:lpstr>
      <vt:lpstr>PROD_EXT_FRUITIERS_PLEINE_TERRE_N_M05</vt:lpstr>
      <vt:lpstr>PROD_EXT_FRUITIERS_PLEINE_TERRE_N_M06</vt:lpstr>
      <vt:lpstr>PROD_EXT_FRUITIERS_PLEINE_TERRE_N_M07</vt:lpstr>
      <vt:lpstr>PROD_EXT_FRUITIERS_PLEINE_TERRE_N_M08</vt:lpstr>
      <vt:lpstr>PROD_EXT_FRUITIERS_PLEINE_TERRE_N_M09</vt:lpstr>
      <vt:lpstr>PROD_EXT_FRUITIERS_PLEINE_TERRE_N_M10</vt:lpstr>
      <vt:lpstr>PROD_EXT_FRUITIERS_PLEINE_TERRE_N_M11</vt:lpstr>
      <vt:lpstr>PROD_EXT_FRUITIERS_PLEINE_TERRE_N_M12</vt:lpstr>
      <vt:lpstr>PROD_EXT_FRUITIERS_PLEINE_TERRE_N_MOY</vt:lpstr>
      <vt:lpstr>PROD_EXT_FRUITIERS_PLEINE_TERRE_N1_M01</vt:lpstr>
      <vt:lpstr>PROD_EXT_FRUITIERS_PLEINE_TERRE_N1_M02</vt:lpstr>
      <vt:lpstr>PROD_EXT_FRUITIERS_PLEINE_TERRE_N1_M03</vt:lpstr>
      <vt:lpstr>PROD_EXT_FRUITIERS_PLEINE_TERRE_N1_M04</vt:lpstr>
      <vt:lpstr>PROD_EXT_FRUITIERS_PLEINE_TERRE_N1_M05</vt:lpstr>
      <vt:lpstr>PROD_EXT_FRUITIERS_PLEINE_TERRE_N1_M06</vt:lpstr>
      <vt:lpstr>PROD_EXT_FRUITIERS_PLEINE_TERRE_N1_M07</vt:lpstr>
      <vt:lpstr>PROD_EXT_FRUITIERS_PLEINE_TERRE_N1_M08</vt:lpstr>
      <vt:lpstr>PROD_EXT_FRUITIERS_PLEINE_TERRE_N1_M09</vt:lpstr>
      <vt:lpstr>PROD_EXT_FRUITIERS_PLEINE_TERRE_N1_M10</vt:lpstr>
      <vt:lpstr>PROD_EXT_FRUITIERS_PLEINE_TERRE_N1_M11</vt:lpstr>
      <vt:lpstr>PROD_EXT_FRUITIERS_PLEINE_TERRE_N1_M12</vt:lpstr>
      <vt:lpstr>PROD_EXT_FRUITIERS_PLEINE_TERRE_N1_MOY</vt:lpstr>
      <vt:lpstr>PROD_EXT_FRUITIERS_PLEINE_TERRE_N2_M01</vt:lpstr>
      <vt:lpstr>PROD_EXT_FRUITIERS_PLEINE_TERRE_N2_M02</vt:lpstr>
      <vt:lpstr>PROD_EXT_FRUITIERS_PLEINE_TERRE_N2_M03</vt:lpstr>
      <vt:lpstr>PROD_EXT_FRUITIERS_PLEINE_TERRE_N2_M04</vt:lpstr>
      <vt:lpstr>PROD_EXT_FRUITIERS_PLEINE_TERRE_N2_M05</vt:lpstr>
      <vt:lpstr>PROD_EXT_FRUITIERS_PLEINE_TERRE_N2_M06</vt:lpstr>
      <vt:lpstr>PROD_EXT_FRUITIERS_PLEINE_TERRE_N2_M07</vt:lpstr>
      <vt:lpstr>PROD_EXT_FRUITIERS_PLEINE_TERRE_N2_M08</vt:lpstr>
      <vt:lpstr>PROD_EXT_FRUITIERS_PLEINE_TERRE_N2_M09</vt:lpstr>
      <vt:lpstr>PROD_EXT_FRUITIERS_PLEINE_TERRE_N2_M10</vt:lpstr>
      <vt:lpstr>PROD_EXT_FRUITIERS_PLEINE_TERRE_N2_M11</vt:lpstr>
      <vt:lpstr>PROD_EXT_FRUITIERS_PLEINE_TERRE_N2_M12</vt:lpstr>
      <vt:lpstr>PROD_EXT_FRUITIERS_PLEINE_TERRE_N2_MOY</vt:lpstr>
      <vt:lpstr>PROD_EXT_PLANTES_EN_POT_N_M01</vt:lpstr>
      <vt:lpstr>PROD_EXT_PLANTES_EN_POT_N_M02</vt:lpstr>
      <vt:lpstr>PROD_EXT_PLANTES_EN_POT_N_M03</vt:lpstr>
      <vt:lpstr>PROD_EXT_PLANTES_EN_POT_N_M04</vt:lpstr>
      <vt:lpstr>PROD_EXT_PLANTES_EN_POT_N_M05</vt:lpstr>
      <vt:lpstr>PROD_EXT_PLANTES_EN_POT_N_M06</vt:lpstr>
      <vt:lpstr>PROD_EXT_PLANTES_EN_POT_N_M07</vt:lpstr>
      <vt:lpstr>PROD_EXT_PLANTES_EN_POT_N_M08</vt:lpstr>
      <vt:lpstr>PROD_EXT_PLANTES_EN_POT_N_M09</vt:lpstr>
      <vt:lpstr>PROD_EXT_PLANTES_EN_POT_N_M10</vt:lpstr>
      <vt:lpstr>PROD_EXT_PLANTES_EN_POT_N_M11</vt:lpstr>
      <vt:lpstr>PROD_EXT_PLANTES_EN_POT_N_M12</vt:lpstr>
      <vt:lpstr>PROD_EXT_PLANTES_EN_POT_N_MOY</vt:lpstr>
      <vt:lpstr>PROD_EXT_PLANTES_EN_POT_N1_M01</vt:lpstr>
      <vt:lpstr>PROD_EXT_PLANTES_EN_POT_N1_M02</vt:lpstr>
      <vt:lpstr>PROD_EXT_PLANTES_EN_POT_N1_M03</vt:lpstr>
      <vt:lpstr>PROD_EXT_PLANTES_EN_POT_N1_M04</vt:lpstr>
      <vt:lpstr>PROD_EXT_PLANTES_EN_POT_N1_M05</vt:lpstr>
      <vt:lpstr>PROD_EXT_PLANTES_EN_POT_N1_M06</vt:lpstr>
      <vt:lpstr>PROD_EXT_PLANTES_EN_POT_N1_M07</vt:lpstr>
      <vt:lpstr>PROD_EXT_PLANTES_EN_POT_N1_M08</vt:lpstr>
      <vt:lpstr>PROD_EXT_PLANTES_EN_POT_N1_M09</vt:lpstr>
      <vt:lpstr>PROD_EXT_PLANTES_EN_POT_N1_M10</vt:lpstr>
      <vt:lpstr>PROD_EXT_PLANTES_EN_POT_N1_M11</vt:lpstr>
      <vt:lpstr>PROD_EXT_PLANTES_EN_POT_N1_M12</vt:lpstr>
      <vt:lpstr>PROD_EXT_PLANTES_EN_POT_N1_MOY</vt:lpstr>
      <vt:lpstr>PROD_EXT_PLANTES_EN_POT_N2_M01</vt:lpstr>
      <vt:lpstr>PROD_EXT_PLANTES_EN_POT_N2_M02</vt:lpstr>
      <vt:lpstr>PROD_EXT_PLANTES_EN_POT_N2_M03</vt:lpstr>
      <vt:lpstr>PROD_EXT_PLANTES_EN_POT_N2_M04</vt:lpstr>
      <vt:lpstr>PROD_EXT_PLANTES_EN_POT_N2_M05</vt:lpstr>
      <vt:lpstr>PROD_EXT_PLANTES_EN_POT_N2_M06</vt:lpstr>
      <vt:lpstr>PROD_EXT_PLANTES_EN_POT_N2_M07</vt:lpstr>
      <vt:lpstr>PROD_EXT_PLANTES_EN_POT_N2_M08</vt:lpstr>
      <vt:lpstr>PROD_EXT_PLANTES_EN_POT_N2_M09</vt:lpstr>
      <vt:lpstr>PROD_EXT_PLANTES_EN_POT_N2_M10</vt:lpstr>
      <vt:lpstr>PROD_EXT_PLANTES_EN_POT_N2_M11</vt:lpstr>
      <vt:lpstr>PROD_EXT_PLANTES_EN_POT_N2_M12</vt:lpstr>
      <vt:lpstr>PROD_EXT_PLANTES_EN_POT_N2_MOY</vt:lpstr>
      <vt:lpstr>PROD_EXT_PLANTES_MED_EN_POT_N_M01</vt:lpstr>
      <vt:lpstr>PROD_EXT_PLANTES_MED_EN_POT_N_M02</vt:lpstr>
      <vt:lpstr>PROD_EXT_PLANTES_MED_EN_POT_N_M03</vt:lpstr>
      <vt:lpstr>PROD_EXT_PLANTES_MED_EN_POT_N_M04</vt:lpstr>
      <vt:lpstr>PROD_EXT_PLANTES_MED_EN_POT_N_M05</vt:lpstr>
      <vt:lpstr>PROD_EXT_PLANTES_MED_EN_POT_N_M06</vt:lpstr>
      <vt:lpstr>PROD_EXT_PLANTES_MED_EN_POT_N_M07</vt:lpstr>
      <vt:lpstr>PROD_EXT_PLANTES_MED_EN_POT_N_M08</vt:lpstr>
      <vt:lpstr>PROD_EXT_PLANTES_MED_EN_POT_N_M09</vt:lpstr>
      <vt:lpstr>PROD_EXT_PLANTES_MED_EN_POT_N_M10</vt:lpstr>
      <vt:lpstr>PROD_EXT_PLANTES_MED_EN_POT_N_M11</vt:lpstr>
      <vt:lpstr>PROD_EXT_PLANTES_MED_EN_POT_N_M12</vt:lpstr>
      <vt:lpstr>PROD_EXT_PLANTES_MED_EN_POT_N_MOY</vt:lpstr>
      <vt:lpstr>PROD_EXT_PLANTES_MED_EN_POT_N1_M01</vt:lpstr>
      <vt:lpstr>PROD_EXT_PLANTES_MED_EN_POT_N1_M02</vt:lpstr>
      <vt:lpstr>PROD_EXT_PLANTES_MED_EN_POT_N1_M03</vt:lpstr>
      <vt:lpstr>PROD_EXT_PLANTES_MED_EN_POT_N1_M04</vt:lpstr>
      <vt:lpstr>PROD_EXT_PLANTES_MED_EN_POT_N1_M05</vt:lpstr>
      <vt:lpstr>PROD_EXT_PLANTES_MED_EN_POT_N1_M06</vt:lpstr>
      <vt:lpstr>PROD_EXT_PLANTES_MED_EN_POT_N1_M07</vt:lpstr>
      <vt:lpstr>PROD_EXT_PLANTES_MED_EN_POT_N1_M08</vt:lpstr>
      <vt:lpstr>PROD_EXT_PLANTES_MED_EN_POT_N1_M09</vt:lpstr>
      <vt:lpstr>PROD_EXT_PLANTES_MED_EN_POT_N1_M10</vt:lpstr>
      <vt:lpstr>PROD_EXT_PLANTES_MED_EN_POT_N1_M11</vt:lpstr>
      <vt:lpstr>PROD_EXT_PLANTES_MED_EN_POT_N1_M12</vt:lpstr>
      <vt:lpstr>PROD_EXT_PLANTES_MED_EN_POT_N1_MOY</vt:lpstr>
      <vt:lpstr>PROD_EXT_PLANTES_MED_EN_POT_N2_M01</vt:lpstr>
      <vt:lpstr>PROD_EXT_PLANTES_MED_EN_POT_N2_M02</vt:lpstr>
      <vt:lpstr>PROD_EXT_PLANTES_MED_EN_POT_N2_M03</vt:lpstr>
      <vt:lpstr>PROD_EXT_PLANTES_MED_EN_POT_N2_M04</vt:lpstr>
      <vt:lpstr>PROD_EXT_PLANTES_MED_EN_POT_N2_M05</vt:lpstr>
      <vt:lpstr>PROD_EXT_PLANTES_MED_EN_POT_N2_M06</vt:lpstr>
      <vt:lpstr>PROD_EXT_PLANTES_MED_EN_POT_N2_M07</vt:lpstr>
      <vt:lpstr>PROD_EXT_PLANTES_MED_EN_POT_N2_M08</vt:lpstr>
      <vt:lpstr>PROD_EXT_PLANTES_MED_EN_POT_N2_M09</vt:lpstr>
      <vt:lpstr>PROD_EXT_PLANTES_MED_EN_POT_N2_M10</vt:lpstr>
      <vt:lpstr>PROD_EXT_PLANTES_MED_EN_POT_N2_M11</vt:lpstr>
      <vt:lpstr>PROD_EXT_PLANTES_MED_EN_POT_N2_M12</vt:lpstr>
      <vt:lpstr>PROD_EXT_PLANTES_MED_EN_POT_N2_MOY</vt:lpstr>
      <vt:lpstr>PROD_EXT_PLANTES_VIVACES_EN_POT_N_M01</vt:lpstr>
      <vt:lpstr>PROD_EXT_PLANTES_VIVACES_EN_POT_N_M02</vt:lpstr>
      <vt:lpstr>PROD_EXT_PLANTES_VIVACES_EN_POT_N_M03</vt:lpstr>
      <vt:lpstr>PROD_EXT_PLANTES_VIVACES_EN_POT_N_M04</vt:lpstr>
      <vt:lpstr>PROD_EXT_PLANTES_VIVACES_EN_POT_N_M05</vt:lpstr>
      <vt:lpstr>PROD_EXT_PLANTES_VIVACES_EN_POT_N_M06</vt:lpstr>
      <vt:lpstr>PROD_EXT_PLANTES_VIVACES_EN_POT_N_M07</vt:lpstr>
      <vt:lpstr>PROD_EXT_PLANTES_VIVACES_EN_POT_N_M08</vt:lpstr>
      <vt:lpstr>PROD_EXT_PLANTES_VIVACES_EN_POT_N_M09</vt:lpstr>
      <vt:lpstr>PROD_EXT_PLANTES_VIVACES_EN_POT_N_M10</vt:lpstr>
      <vt:lpstr>PROD_EXT_PLANTES_VIVACES_EN_POT_N_M11</vt:lpstr>
      <vt:lpstr>PROD_EXT_PLANTES_VIVACES_EN_POT_N_M12</vt:lpstr>
      <vt:lpstr>PROD_EXT_PLANTES_VIVACES_EN_POT_N_MOY</vt:lpstr>
      <vt:lpstr>PROD_EXT_PLANTES_VIVACES_EN_POT_N1_M01</vt:lpstr>
      <vt:lpstr>PROD_EXT_PLANTES_VIVACES_EN_POT_N1_M02</vt:lpstr>
      <vt:lpstr>PROD_EXT_PLANTES_VIVACES_EN_POT_N1_M03</vt:lpstr>
      <vt:lpstr>PROD_EXT_PLANTES_VIVACES_EN_POT_N1_M04</vt:lpstr>
      <vt:lpstr>PROD_EXT_PLANTES_VIVACES_EN_POT_N1_M05</vt:lpstr>
      <vt:lpstr>PROD_EXT_PLANTES_VIVACES_EN_POT_N1_M06</vt:lpstr>
      <vt:lpstr>PROD_EXT_PLANTES_VIVACES_EN_POT_N1_M07</vt:lpstr>
      <vt:lpstr>PROD_EXT_PLANTES_VIVACES_EN_POT_N1_M08</vt:lpstr>
      <vt:lpstr>PROD_EXT_PLANTES_VIVACES_EN_POT_N1_M09</vt:lpstr>
      <vt:lpstr>PROD_EXT_PLANTES_VIVACES_EN_POT_N1_M10</vt:lpstr>
      <vt:lpstr>PROD_EXT_PLANTES_VIVACES_EN_POT_N1_M11</vt:lpstr>
      <vt:lpstr>PROD_EXT_PLANTES_VIVACES_EN_POT_N1_M12</vt:lpstr>
      <vt:lpstr>PROD_EXT_PLANTES_VIVACES_EN_POT_N1_MOY</vt:lpstr>
      <vt:lpstr>PROD_EXT_PLANTES_VIVACES_EN_POT_N2_M01</vt:lpstr>
      <vt:lpstr>PROD_EXT_PLANTES_VIVACES_EN_POT_N2_M02</vt:lpstr>
      <vt:lpstr>PROD_EXT_PLANTES_VIVACES_EN_POT_N2_M03</vt:lpstr>
      <vt:lpstr>PROD_EXT_PLANTES_VIVACES_EN_POT_N2_M04</vt:lpstr>
      <vt:lpstr>PROD_EXT_PLANTES_VIVACES_EN_POT_N2_M05</vt:lpstr>
      <vt:lpstr>PROD_EXT_PLANTES_VIVACES_EN_POT_N2_M06</vt:lpstr>
      <vt:lpstr>PROD_EXT_PLANTES_VIVACES_EN_POT_N2_M07</vt:lpstr>
      <vt:lpstr>PROD_EXT_PLANTES_VIVACES_EN_POT_N2_M08</vt:lpstr>
      <vt:lpstr>PROD_EXT_PLANTES_VIVACES_EN_POT_N2_M09</vt:lpstr>
      <vt:lpstr>PROD_EXT_PLANTES_VIVACES_EN_POT_N2_M10</vt:lpstr>
      <vt:lpstr>PROD_EXT_PLANTES_VIVACES_EN_POT_N2_M11</vt:lpstr>
      <vt:lpstr>PROD_EXT_PLANTES_VIVACES_EN_POT_N2_M12</vt:lpstr>
      <vt:lpstr>PROD_EXT_PLANTES_VIVACES_EN_POT_N2_MOY</vt:lpstr>
      <vt:lpstr>PROD_EXT_PLANTES_VIVACES_PLEINE_TERRE_N_M01</vt:lpstr>
      <vt:lpstr>PROD_EXT_PLANTES_VIVACES_PLEINE_TERRE_N_M02</vt:lpstr>
      <vt:lpstr>PROD_EXT_PLANTES_VIVACES_PLEINE_TERRE_N_M03</vt:lpstr>
      <vt:lpstr>PROD_EXT_PLANTES_VIVACES_PLEINE_TERRE_N_M04</vt:lpstr>
      <vt:lpstr>PROD_EXT_PLANTES_VIVACES_PLEINE_TERRE_N_M05</vt:lpstr>
      <vt:lpstr>PROD_EXT_PLANTES_VIVACES_PLEINE_TERRE_N_M06</vt:lpstr>
      <vt:lpstr>PROD_EXT_PLANTES_VIVACES_PLEINE_TERRE_N_M07</vt:lpstr>
      <vt:lpstr>PROD_EXT_PLANTES_VIVACES_PLEINE_TERRE_N_M08</vt:lpstr>
      <vt:lpstr>PROD_EXT_PLANTES_VIVACES_PLEINE_TERRE_N_M09</vt:lpstr>
      <vt:lpstr>PROD_EXT_PLANTES_VIVACES_PLEINE_TERRE_N_M10</vt:lpstr>
      <vt:lpstr>PROD_EXT_PLANTES_VIVACES_PLEINE_TERRE_N_M11</vt:lpstr>
      <vt:lpstr>PROD_EXT_PLANTES_VIVACES_PLEINE_TERRE_N_M12</vt:lpstr>
      <vt:lpstr>PROD_EXT_PLANTES_VIVACES_PLEINE_TERRE_N_MOY</vt:lpstr>
      <vt:lpstr>PROD_EXT_PLANTES_VIVACES_PLEINE_TERRE_N1_M01</vt:lpstr>
      <vt:lpstr>PROD_EXT_PLANTES_VIVACES_PLEINE_TERRE_N1_M02</vt:lpstr>
      <vt:lpstr>PROD_EXT_PLANTES_VIVACES_PLEINE_TERRE_N1_M03</vt:lpstr>
      <vt:lpstr>PROD_EXT_PLANTES_VIVACES_PLEINE_TERRE_N1_M04</vt:lpstr>
      <vt:lpstr>PROD_EXT_PLANTES_VIVACES_PLEINE_TERRE_N1_M05</vt:lpstr>
      <vt:lpstr>PROD_EXT_PLANTES_VIVACES_PLEINE_TERRE_N1_M06</vt:lpstr>
      <vt:lpstr>PROD_EXT_PLANTES_VIVACES_PLEINE_TERRE_N1_M07</vt:lpstr>
      <vt:lpstr>PROD_EXT_PLANTES_VIVACES_PLEINE_TERRE_N1_M08</vt:lpstr>
      <vt:lpstr>PROD_EXT_PLANTES_VIVACES_PLEINE_TERRE_N1_M09</vt:lpstr>
      <vt:lpstr>PROD_EXT_PLANTES_VIVACES_PLEINE_TERRE_N1_M10</vt:lpstr>
      <vt:lpstr>PROD_EXT_PLANTES_VIVACES_PLEINE_TERRE_N1_M11</vt:lpstr>
      <vt:lpstr>PROD_EXT_PLANTES_VIVACES_PLEINE_TERRE_N1_M12</vt:lpstr>
      <vt:lpstr>PROD_EXT_PLANTES_VIVACES_PLEINE_TERRE_N1_MOY</vt:lpstr>
      <vt:lpstr>PROD_EXT_PLANTES_VIVACES_PLEINE_TERRE_N2_M01</vt:lpstr>
      <vt:lpstr>PROD_EXT_PLANTES_VIVACES_PLEINE_TERRE_N2_M02</vt:lpstr>
      <vt:lpstr>PROD_EXT_PLANTES_VIVACES_PLEINE_TERRE_N2_M03</vt:lpstr>
      <vt:lpstr>PROD_EXT_PLANTES_VIVACES_PLEINE_TERRE_N2_M04</vt:lpstr>
      <vt:lpstr>PROD_EXT_PLANTES_VIVACES_PLEINE_TERRE_N2_M05</vt:lpstr>
      <vt:lpstr>PROD_EXT_PLANTES_VIVACES_PLEINE_TERRE_N2_M06</vt:lpstr>
      <vt:lpstr>PROD_EXT_PLANTES_VIVACES_PLEINE_TERRE_N2_M07</vt:lpstr>
      <vt:lpstr>PROD_EXT_PLANTES_VIVACES_PLEINE_TERRE_N2_M08</vt:lpstr>
      <vt:lpstr>PROD_EXT_PLANTES_VIVACES_PLEINE_TERRE_N2_M09</vt:lpstr>
      <vt:lpstr>PROD_EXT_PLANTES_VIVACES_PLEINE_TERRE_N2_M10</vt:lpstr>
      <vt:lpstr>PROD_EXT_PLANTES_VIVACES_PLEINE_TERRE_N2_M11</vt:lpstr>
      <vt:lpstr>PROD_EXT_PLANTES_VIVACES_PLEINE_TERRE_N2_M12</vt:lpstr>
      <vt:lpstr>PROD_EXT_PLANTES_VIVACES_PLEINE_TERRE_N2_MOY</vt:lpstr>
      <vt:lpstr>PROD_EXT_ROSIER_PLEINE_TERRE_N_M01</vt:lpstr>
      <vt:lpstr>PROD_EXT_ROSIER_PLEINE_TERRE_N_M02</vt:lpstr>
      <vt:lpstr>PROD_EXT_ROSIER_PLEINE_TERRE_N_M03</vt:lpstr>
      <vt:lpstr>PROD_EXT_ROSIER_PLEINE_TERRE_N_M04</vt:lpstr>
      <vt:lpstr>PROD_EXT_ROSIER_PLEINE_TERRE_N_M05</vt:lpstr>
      <vt:lpstr>PROD_EXT_ROSIER_PLEINE_TERRE_N_M06</vt:lpstr>
      <vt:lpstr>PROD_EXT_ROSIER_PLEINE_TERRE_N_M07</vt:lpstr>
      <vt:lpstr>PROD_EXT_ROSIER_PLEINE_TERRE_N_M08</vt:lpstr>
      <vt:lpstr>PROD_EXT_ROSIER_PLEINE_TERRE_N_M09</vt:lpstr>
      <vt:lpstr>PROD_EXT_ROSIER_PLEINE_TERRE_N_M10</vt:lpstr>
      <vt:lpstr>PROD_EXT_ROSIER_PLEINE_TERRE_N_M11</vt:lpstr>
      <vt:lpstr>PROD_EXT_ROSIER_PLEINE_TERRE_N_M12</vt:lpstr>
      <vt:lpstr>PROD_EXT_ROSIER_PLEINE_TERRE_N_MOY</vt:lpstr>
      <vt:lpstr>PROD_EXT_ROSIER_PLEINE_TERRE_N1_M01</vt:lpstr>
      <vt:lpstr>PROD_EXT_ROSIER_PLEINE_TERRE_N1_M02</vt:lpstr>
      <vt:lpstr>PROD_EXT_ROSIER_PLEINE_TERRE_N1_M03</vt:lpstr>
      <vt:lpstr>PROD_EXT_ROSIER_PLEINE_TERRE_N1_M04</vt:lpstr>
      <vt:lpstr>PROD_EXT_ROSIER_PLEINE_TERRE_N1_M05</vt:lpstr>
      <vt:lpstr>PROD_EXT_ROSIER_PLEINE_TERRE_N1_M06</vt:lpstr>
      <vt:lpstr>PROD_EXT_ROSIER_PLEINE_TERRE_N1_M07</vt:lpstr>
      <vt:lpstr>PROD_EXT_ROSIER_PLEINE_TERRE_N1_M08</vt:lpstr>
      <vt:lpstr>PROD_EXT_ROSIER_PLEINE_TERRE_N1_M09</vt:lpstr>
      <vt:lpstr>PROD_EXT_ROSIER_PLEINE_TERRE_N1_M10</vt:lpstr>
      <vt:lpstr>PROD_EXT_ROSIER_PLEINE_TERRE_N1_M11</vt:lpstr>
      <vt:lpstr>PROD_EXT_ROSIER_PLEINE_TERRE_N1_M12</vt:lpstr>
      <vt:lpstr>PROD_EXT_ROSIER_PLEINE_TERRE_N1_MOY</vt:lpstr>
      <vt:lpstr>PROD_EXT_ROSIER_PLEINE_TERRE_N2_M01</vt:lpstr>
      <vt:lpstr>PROD_EXT_ROSIER_PLEINE_TERRE_N2_M02</vt:lpstr>
      <vt:lpstr>PROD_EXT_ROSIER_PLEINE_TERRE_N2_M03</vt:lpstr>
      <vt:lpstr>PROD_EXT_ROSIER_PLEINE_TERRE_N2_M04</vt:lpstr>
      <vt:lpstr>PROD_EXT_ROSIER_PLEINE_TERRE_N2_M05</vt:lpstr>
      <vt:lpstr>PROD_EXT_ROSIER_PLEINE_TERRE_N2_M06</vt:lpstr>
      <vt:lpstr>PROD_EXT_ROSIER_PLEINE_TERRE_N2_M07</vt:lpstr>
      <vt:lpstr>PROD_EXT_ROSIER_PLEINE_TERRE_N2_M08</vt:lpstr>
      <vt:lpstr>PROD_EXT_ROSIER_PLEINE_TERRE_N2_M09</vt:lpstr>
      <vt:lpstr>PROD_EXT_ROSIER_PLEINE_TERRE_N2_M10</vt:lpstr>
      <vt:lpstr>PROD_EXT_ROSIER_PLEINE_TERRE_N2_M11</vt:lpstr>
      <vt:lpstr>PROD_EXT_ROSIER_PLEINE_TERRE_N2_M12</vt:lpstr>
      <vt:lpstr>PROD_EXT_ROSIER_PLEINE_TERRE_N2_MOY</vt:lpstr>
      <vt:lpstr>PROD_OSIER_N</vt:lpstr>
      <vt:lpstr>PROD_OSIER_N1</vt:lpstr>
      <vt:lpstr>PROD_OSIER_N2</vt:lpstr>
      <vt:lpstr>PRORATA_SURF_CULTURES_ANNUELLES_CONCERNEES</vt:lpstr>
      <vt:lpstr>PRORATA_SURF_CULTURES_PERENNES_CONCERNEES</vt:lpstr>
      <vt:lpstr>PT_GRAMINEE_PURE_N</vt:lpstr>
      <vt:lpstr>PT_GRAMINEE_PURE_N1</vt:lpstr>
      <vt:lpstr>PT_GRAMINEE_PURE_N2</vt:lpstr>
      <vt:lpstr>PT_LEGUMINEUSE_PURE_N</vt:lpstr>
      <vt:lpstr>PT_LEGUMINEUSE_PURE_N1</vt:lpstr>
      <vt:lpstr>PT_LEGUMINEUSE_PURE_N2</vt:lpstr>
      <vt:lpstr>PT_MELANGE_COMPLEXE_N</vt:lpstr>
      <vt:lpstr>PT_MELANGE_COMPLEXE_N1</vt:lpstr>
      <vt:lpstr>PT_MELANGE_COMPLEXE_N2</vt:lpstr>
      <vt:lpstr>PT_MELANGE_GRAMINEE_N</vt:lpstr>
      <vt:lpstr>PT_MELANGE_GRAMINEE_N1</vt:lpstr>
      <vt:lpstr>PT_MELANGE_GRAMINEE_N2</vt:lpstr>
      <vt:lpstr>PT_MELANGE_LEGUMINEUSE_N</vt:lpstr>
      <vt:lpstr>PT_MELANGE_LEGUMINEUSE_N1</vt:lpstr>
      <vt:lpstr>PT_MELANGE_LEGUMINEUSE_N2</vt:lpstr>
      <vt:lpstr>QUANTITE_AZOTE_APPORTEE_N</vt:lpstr>
      <vt:lpstr>QUANTITE_AZOTE_APPORTEE_N1</vt:lpstr>
      <vt:lpstr>QUANTITE_AZOTE_APPORTEE_N2</vt:lpstr>
      <vt:lpstr>QUANTITE_AZOTE_MINERAL</vt:lpstr>
      <vt:lpstr>QUANTITE_AZOTE_ORGA</vt:lpstr>
      <vt:lpstr>QUANTITE_SUBST_ACT_N</vt:lpstr>
      <vt:lpstr>QUANTITE_SUBST_ACT_N1</vt:lpstr>
      <vt:lpstr>QUANTITE_SUBST_ACT_N2</vt:lpstr>
      <vt:lpstr>QUANTITE_TOTALE_AZOTE</vt:lpstr>
      <vt:lpstr>QUANTITE_TOTALE_AZOTE_APPORTEE</vt:lpstr>
      <vt:lpstr>QUANTITE_TOTALE_SUBST_ACT</vt:lpstr>
      <vt:lpstr>RAISOC_EXPLOITATION</vt:lpstr>
      <vt:lpstr>RATIO_6HA_PERM_SAU</vt:lpstr>
      <vt:lpstr>RATIO_CULTURE_PPLE_SAU</vt:lpstr>
      <vt:lpstr>RATIO_SURFACE_IRRIGUEE</vt:lpstr>
      <vt:lpstr>RECUP_EAU_PLUIE</vt:lpstr>
      <vt:lpstr>RECY_POURCENTAGE_EAUX_IRRIG</vt:lpstr>
      <vt:lpstr>RECY_POURCENTAGE_SYSTEME_PARTIEL</vt:lpstr>
      <vt:lpstr>RECY_POURCENTAGE_SYSTEME_TOTAL</vt:lpstr>
      <vt:lpstr>RECY_SURF_CONCERNEE</vt:lpstr>
      <vt:lpstr>RECY_SYSTEME_TRAIT_PARTIEL</vt:lpstr>
      <vt:lpstr>RECY_SYSTEME_TRAIT_TOTAL</vt:lpstr>
      <vt:lpstr>RECY_VOLUME_EAU_IRRIG</vt:lpstr>
      <vt:lpstr>RECY_VOLUME_EAU_RECYCLE</vt:lpstr>
      <vt:lpstr>REF_ANNUAIRE</vt:lpstr>
      <vt:lpstr>REGION_EXPLOITATION_SIEGE</vt:lpstr>
      <vt:lpstr>RENDEMENT_PARCELLE</vt:lpstr>
      <vt:lpstr>RESULTAT_AUDIT</vt:lpstr>
      <vt:lpstr>RESULTAT_AZOTE_ORGA</vt:lpstr>
      <vt:lpstr>RESULTAT_BILAN_AZOTE</vt:lpstr>
      <vt:lpstr>RESULTAT_BILAN_IAE</vt:lpstr>
      <vt:lpstr>RESULTAT_CAMPAGNE_COLLECTIVE</vt:lpstr>
      <vt:lpstr>RESULTAT_COLLECTE_DONNEES</vt:lpstr>
      <vt:lpstr>RESULTAT_COUVERT_VEGETAL</vt:lpstr>
      <vt:lpstr>RESULTAT_COUVERTURE_SOLS</vt:lpstr>
      <vt:lpstr>RESULTAT_CULTURES_HORS_SOL</vt:lpstr>
      <vt:lpstr>RESULTAT_DIAGNOSTIC_PRECOCE</vt:lpstr>
      <vt:lpstr>RESULTAT_DIVERSITE</vt:lpstr>
      <vt:lpstr>RESULTAT_DIVERSITE_ARBO</vt:lpstr>
      <vt:lpstr>RESULTAT_DIVERSITE_IAE</vt:lpstr>
      <vt:lpstr>RESULTAT_DIVERSITE_LEG_FRUITS</vt:lpstr>
      <vt:lpstr>RESULTAT_DIVERSITE_VIGNE</vt:lpstr>
      <vt:lpstr>RESULTAT_EAUX_IRRIG</vt:lpstr>
      <vt:lpstr>RESULTAT_HERBICIDES_CMR2</vt:lpstr>
      <vt:lpstr>RESULTAT_HORS_ZONE_VULNERABLE_HORS_VITI_ARBO_HORTI</vt:lpstr>
      <vt:lpstr>RESULTAT_HORS_ZONE_VULNERABLE_SAU_HORS_VITI_ARBO_HORTI</vt:lpstr>
      <vt:lpstr>RESULTAT_LEGUMINEUSES</vt:lpstr>
      <vt:lpstr>RESULTAT_MATERIEL_UTILISE</vt:lpstr>
      <vt:lpstr>RESULTAT_METHODES_ALTERNATIVES</vt:lpstr>
      <vt:lpstr>RESULTAT_NB_ESPECES_ANIMALES_ELEVEES</vt:lpstr>
      <vt:lpstr>RESULTAT_NB_ESPECES_VEG_CULTIVEES</vt:lpstr>
      <vt:lpstr>RESULTAT_NON_HERBICIDES_CMR2</vt:lpstr>
      <vt:lpstr>RESULTAT_OAD</vt:lpstr>
      <vt:lpstr>RESULTAT_PART_ARBO</vt:lpstr>
      <vt:lpstr>RESULTAT_PART_CULTURES_HORS_SOL</vt:lpstr>
      <vt:lpstr>RESULTAT_PART_LEG_FRUITS</vt:lpstr>
      <vt:lpstr>RESULTAT_PART_VIGNES</vt:lpstr>
      <vt:lpstr>RESULTAT_POIDS_CULTURE_PRINCIPALE</vt:lpstr>
      <vt:lpstr>RESULTAT_POIDS_IAE</vt:lpstr>
      <vt:lpstr>RESULTAT_PRESENCE_RUCHES</vt:lpstr>
      <vt:lpstr>RESULTAT_PRORATA_APPORTS_FERTILISANTS</vt:lpstr>
      <vt:lpstr>RESULTAT_PRORATA_SUBST_ACT</vt:lpstr>
      <vt:lpstr>RESULTAT_QUALITE_BIO_SOL</vt:lpstr>
      <vt:lpstr>RESULTAT_QUANTITE_AZOTE</vt:lpstr>
      <vt:lpstr>RESULTAT_RACES_ANIMALES_MENACEES</vt:lpstr>
      <vt:lpstr>RESULTAT_RECYCLAGE</vt:lpstr>
      <vt:lpstr>RESULTAT_RECYCLAGE_TRAITEMENT_EAUX_IRRIG</vt:lpstr>
      <vt:lpstr>RESULTAT_SAU_ARBO</vt:lpstr>
      <vt:lpstr>RESULTAT_SAU_HORTI</vt:lpstr>
      <vt:lpstr>RESULTAT_SAU_NON_FERTILISEE</vt:lpstr>
      <vt:lpstr>RESULTAT_SAU_VIGNES</vt:lpstr>
      <vt:lpstr>RESULTAT_SOLDE_MOYEN_BILAN</vt:lpstr>
      <vt:lpstr>RESULTAT_SUBST_ACT</vt:lpstr>
      <vt:lpstr>RESULTAT_SURF_ARBO_COUVERTE</vt:lpstr>
      <vt:lpstr>RESULTAT_SURF_HORTI_COUVERTE</vt:lpstr>
      <vt:lpstr>RESULTAT_SURF_HS_SYSTEME_PARTIEL</vt:lpstr>
      <vt:lpstr>RESULTAT_SURF_HS_SYSTEME_TOTAL</vt:lpstr>
      <vt:lpstr>RESULTAT_SURF_NON_TRAITEE</vt:lpstr>
      <vt:lpstr>RESULTAT_SURF_VIGNES_COUVERTE</vt:lpstr>
      <vt:lpstr>RESULTAT_SURVEILLANCE</vt:lpstr>
      <vt:lpstr>RESULTAT_SYSTEME_PARTIEL</vt:lpstr>
      <vt:lpstr>RESULTAT_SYSTEME_TOTAL</vt:lpstr>
      <vt:lpstr>RESULTAT_TAILLE_PARCELLES</vt:lpstr>
      <vt:lpstr>RESULTAT_TOTAL_APPORTS_FERTILISANTS</vt:lpstr>
      <vt:lpstr>RESULTAT_TOTAL_CULTURES_MINEURES</vt:lpstr>
      <vt:lpstr>RESULTAT_TOTAL_CULTURES_PRINCIPALES</vt:lpstr>
      <vt:lpstr>RESULTAT_TOTAL_POINTS</vt:lpstr>
      <vt:lpstr>RESULTAT_TOTAL_POINTS_MENACEES</vt:lpstr>
      <vt:lpstr>RESULTAT_VAR_VEG_MENACEES</vt:lpstr>
      <vt:lpstr>RESULTAT_ZONE_VULNERABLE_SAU_HORS_VITI_ARBO_HORTI</vt:lpstr>
      <vt:lpstr>RESULTAT_ZONE_VULNERABLE_SURF_HORS_VITI_ARBO_HORTI</vt:lpstr>
      <vt:lpstr>RESULTATS_POINTS_DEMARCHE_COLL</vt:lpstr>
      <vt:lpstr>RESULTATS_POINTS_PRATIQUES</vt:lpstr>
      <vt:lpstr>RESULTATS_POINTS_PRATIQUES_AGRO</vt:lpstr>
      <vt:lpstr>RESULTATS_POINTS_UTILISATION_MATERIEL</vt:lpstr>
      <vt:lpstr>RESULTATS_PRELEVE_ETIAGE</vt:lpstr>
      <vt:lpstr>RIZ_N</vt:lpstr>
      <vt:lpstr>RIZ_N1</vt:lpstr>
      <vt:lpstr>RIZ_N2</vt:lpstr>
      <vt:lpstr>SAU_CULTIVEE_HORTI_HORS_SOL_N_M01</vt:lpstr>
      <vt:lpstr>SAU_CULTIVEE_HORTI_HORS_SOL_N_M02</vt:lpstr>
      <vt:lpstr>SAU_CULTIVEE_HORTI_HORS_SOL_N_M03</vt:lpstr>
      <vt:lpstr>SAU_CULTIVEE_HORTI_HORS_SOL_N_M04</vt:lpstr>
      <vt:lpstr>SAU_CULTIVEE_HORTI_HORS_SOL_N_M05</vt:lpstr>
      <vt:lpstr>SAU_CULTIVEE_HORTI_HORS_SOL_N_M06</vt:lpstr>
      <vt:lpstr>SAU_CULTIVEE_HORTI_HORS_SOL_N_M07</vt:lpstr>
      <vt:lpstr>SAU_CULTIVEE_HORTI_HORS_SOL_N_M08</vt:lpstr>
      <vt:lpstr>SAU_CULTIVEE_HORTI_HORS_SOL_N_M09</vt:lpstr>
      <vt:lpstr>SAU_CULTIVEE_HORTI_HORS_SOL_N_M10</vt:lpstr>
      <vt:lpstr>SAU_CULTIVEE_HORTI_HORS_SOL_N_M11</vt:lpstr>
      <vt:lpstr>SAU_CULTIVEE_HORTI_HORS_SOL_N_M12</vt:lpstr>
      <vt:lpstr>SAU_CULTIVEE_HORTI_HORS_SOL_N_MOY</vt:lpstr>
      <vt:lpstr>SAU_CULTIVEE_HORTI_HORS_SOL_N1_M01</vt:lpstr>
      <vt:lpstr>SAU_CULTIVEE_HORTI_HORS_SOL_N1_M02</vt:lpstr>
      <vt:lpstr>SAU_CULTIVEE_HORTI_HORS_SOL_N1_M03</vt:lpstr>
      <vt:lpstr>SAU_CULTIVEE_HORTI_HORS_SOL_N1_M04</vt:lpstr>
      <vt:lpstr>SAU_CULTIVEE_HORTI_HORS_SOL_N1_M05</vt:lpstr>
      <vt:lpstr>SAU_CULTIVEE_HORTI_HORS_SOL_N1_M06</vt:lpstr>
      <vt:lpstr>SAU_CULTIVEE_HORTI_HORS_SOL_N1_M07</vt:lpstr>
      <vt:lpstr>SAU_CULTIVEE_HORTI_HORS_SOL_N1_M08</vt:lpstr>
      <vt:lpstr>SAU_CULTIVEE_HORTI_HORS_SOL_N1_M09</vt:lpstr>
      <vt:lpstr>SAU_CULTIVEE_HORTI_HORS_SOL_N1_M10</vt:lpstr>
      <vt:lpstr>SAU_CULTIVEE_HORTI_HORS_SOL_N1_M11</vt:lpstr>
      <vt:lpstr>SAU_CULTIVEE_HORTI_HORS_SOL_N1_M12</vt:lpstr>
      <vt:lpstr>SAU_CULTIVEE_HORTI_HORS_SOL_N1_MOY</vt:lpstr>
      <vt:lpstr>SAU_CULTIVEE_HORTI_HORS_SOL_N2_M01</vt:lpstr>
      <vt:lpstr>SAU_CULTIVEE_HORTI_HORS_SOL_N2_M02</vt:lpstr>
      <vt:lpstr>SAU_CULTIVEE_HORTI_HORS_SOL_N2_M03</vt:lpstr>
      <vt:lpstr>SAU_CULTIVEE_HORTI_HORS_SOL_N2_M04</vt:lpstr>
      <vt:lpstr>SAU_CULTIVEE_HORTI_HORS_SOL_N2_M05</vt:lpstr>
      <vt:lpstr>SAU_CULTIVEE_HORTI_HORS_SOL_N2_M06</vt:lpstr>
      <vt:lpstr>SAU_CULTIVEE_HORTI_HORS_SOL_N2_M07</vt:lpstr>
      <vt:lpstr>SAU_CULTIVEE_HORTI_HORS_SOL_N2_M08</vt:lpstr>
      <vt:lpstr>SAU_CULTIVEE_HORTI_HORS_SOL_N2_M09</vt:lpstr>
      <vt:lpstr>SAU_CULTIVEE_HORTI_HORS_SOL_N2_M10</vt:lpstr>
      <vt:lpstr>SAU_CULTIVEE_HORTI_HORS_SOL_N2_M11</vt:lpstr>
      <vt:lpstr>SAU_CULTIVEE_HORTI_HORS_SOL_N2_M12</vt:lpstr>
      <vt:lpstr>SAU_CULTIVEE_HORTI_HORS_SOL_N2_MOY</vt:lpstr>
      <vt:lpstr>SAU_CULTIVEE_HORTI_PEPINIERE_N_M01</vt:lpstr>
      <vt:lpstr>SAU_CULTIVEE_HORTI_PEPINIERE_N_M02</vt:lpstr>
      <vt:lpstr>SAU_CULTIVEE_HORTI_PEPINIERE_N_M03</vt:lpstr>
      <vt:lpstr>SAU_CULTIVEE_HORTI_PEPINIERE_N_M04</vt:lpstr>
      <vt:lpstr>SAU_CULTIVEE_HORTI_PEPINIERE_N_M05</vt:lpstr>
      <vt:lpstr>SAU_CULTIVEE_HORTI_PEPINIERE_N_M06</vt:lpstr>
      <vt:lpstr>SAU_CULTIVEE_HORTI_PEPINIERE_N_M07</vt:lpstr>
      <vt:lpstr>SAU_CULTIVEE_HORTI_PEPINIERE_N_M08</vt:lpstr>
      <vt:lpstr>SAU_CULTIVEE_HORTI_PEPINIERE_N_M09</vt:lpstr>
      <vt:lpstr>SAU_CULTIVEE_HORTI_PEPINIERE_N_M10</vt:lpstr>
      <vt:lpstr>SAU_CULTIVEE_HORTI_PEPINIERE_N_M11</vt:lpstr>
      <vt:lpstr>SAU_CULTIVEE_HORTI_PEPINIERE_N_M12</vt:lpstr>
      <vt:lpstr>SAU_CULTIVEE_HORTI_PEPINIERE_N_MOY</vt:lpstr>
      <vt:lpstr>SAU_CULTIVEE_HORTI_PEPINIERE_N1_M01</vt:lpstr>
      <vt:lpstr>SAU_CULTIVEE_HORTI_PEPINIERE_N1_M02</vt:lpstr>
      <vt:lpstr>SAU_CULTIVEE_HORTI_PEPINIERE_N1_M03</vt:lpstr>
      <vt:lpstr>SAU_CULTIVEE_HORTI_PEPINIERE_N1_M04</vt:lpstr>
      <vt:lpstr>SAU_CULTIVEE_HORTI_PEPINIERE_N1_M05</vt:lpstr>
      <vt:lpstr>SAU_CULTIVEE_HORTI_PEPINIERE_N1_M06</vt:lpstr>
      <vt:lpstr>SAU_CULTIVEE_HORTI_PEPINIERE_N1_M07</vt:lpstr>
      <vt:lpstr>SAU_CULTIVEE_HORTI_PEPINIERE_N1_M08</vt:lpstr>
      <vt:lpstr>SAU_CULTIVEE_HORTI_PEPINIERE_N1_M09</vt:lpstr>
      <vt:lpstr>SAU_CULTIVEE_HORTI_PEPINIERE_N1_M10</vt:lpstr>
      <vt:lpstr>SAU_CULTIVEE_HORTI_PEPINIERE_N1_M11</vt:lpstr>
      <vt:lpstr>SAU_CULTIVEE_HORTI_PEPINIERE_N1_M12</vt:lpstr>
      <vt:lpstr>SAU_CULTIVEE_HORTI_PEPINIERE_N1_MOY</vt:lpstr>
      <vt:lpstr>SAU_CULTIVEE_HORTI_PEPINIERE_N2_M01</vt:lpstr>
      <vt:lpstr>SAU_CULTIVEE_HORTI_PEPINIERE_N2_M02</vt:lpstr>
      <vt:lpstr>SAU_CULTIVEE_HORTI_PEPINIERE_N2_M03</vt:lpstr>
      <vt:lpstr>SAU_CULTIVEE_HORTI_PEPINIERE_N2_M04</vt:lpstr>
      <vt:lpstr>SAU_CULTIVEE_HORTI_PEPINIERE_N2_M05</vt:lpstr>
      <vt:lpstr>SAU_CULTIVEE_HORTI_PEPINIERE_N2_M06</vt:lpstr>
      <vt:lpstr>SAU_CULTIVEE_HORTI_PEPINIERE_N2_M07</vt:lpstr>
      <vt:lpstr>SAU_CULTIVEE_HORTI_PEPINIERE_N2_M08</vt:lpstr>
      <vt:lpstr>SAU_CULTIVEE_HORTI_PEPINIERE_N2_M09</vt:lpstr>
      <vt:lpstr>SAU_CULTIVEE_HORTI_PEPINIERE_N2_M10</vt:lpstr>
      <vt:lpstr>SAU_CULTIVEE_HORTI_PEPINIERE_N2_M11</vt:lpstr>
      <vt:lpstr>SAU_CULTIVEE_HORTI_PEPINIERE_N2_M12</vt:lpstr>
      <vt:lpstr>SAU_CULTIVEE_HORTI_PEPINIERE_N2_MOY</vt:lpstr>
      <vt:lpstr>SAU_HORS_PRAIRIES_PERM</vt:lpstr>
      <vt:lpstr>SAU_N</vt:lpstr>
      <vt:lpstr>SAU_N1</vt:lpstr>
      <vt:lpstr>SAU_N2</vt:lpstr>
      <vt:lpstr>SAU_TOTAL_HORTI_HORS_SOL_N_M01</vt:lpstr>
      <vt:lpstr>SAU_TOTAL_HORTI_HORS_SOL_N_M02</vt:lpstr>
      <vt:lpstr>SAU_TOTAL_HORTI_HORS_SOL_N_M03</vt:lpstr>
      <vt:lpstr>SAU_TOTAL_HORTI_HORS_SOL_N_M04</vt:lpstr>
      <vt:lpstr>SAU_TOTAL_HORTI_HORS_SOL_N_M05</vt:lpstr>
      <vt:lpstr>SAU_TOTAL_HORTI_HORS_SOL_N_M06</vt:lpstr>
      <vt:lpstr>SAU_TOTAL_HORTI_HORS_SOL_N_M07</vt:lpstr>
      <vt:lpstr>SAU_TOTAL_HORTI_HORS_SOL_N_M08</vt:lpstr>
      <vt:lpstr>SAU_TOTAL_HORTI_HORS_SOL_N_M09</vt:lpstr>
      <vt:lpstr>SAU_TOTAL_HORTI_HORS_SOL_N_M10</vt:lpstr>
      <vt:lpstr>SAU_TOTAL_HORTI_HORS_SOL_N_M11</vt:lpstr>
      <vt:lpstr>SAU_TOTAL_HORTI_HORS_SOL_N_M12</vt:lpstr>
      <vt:lpstr>SAU_TOTAL_HORTI_HORS_SOL_N_MOY</vt:lpstr>
      <vt:lpstr>SAU_TOTAL_HORTI_HORS_SOL_N1_M01</vt:lpstr>
      <vt:lpstr>SAU_TOTAL_HORTI_HORS_SOL_N1_M02</vt:lpstr>
      <vt:lpstr>SAU_TOTAL_HORTI_HORS_SOL_N1_M03</vt:lpstr>
      <vt:lpstr>SAU_TOTAL_HORTI_HORS_SOL_N1_M04</vt:lpstr>
      <vt:lpstr>SAU_TOTAL_HORTI_HORS_SOL_N1_M05</vt:lpstr>
      <vt:lpstr>SAU_TOTAL_HORTI_HORS_SOL_N1_M06</vt:lpstr>
      <vt:lpstr>SAU_TOTAL_HORTI_HORS_SOL_N1_M07</vt:lpstr>
      <vt:lpstr>SAU_TOTAL_HORTI_HORS_SOL_N1_M08</vt:lpstr>
      <vt:lpstr>SAU_TOTAL_HORTI_HORS_SOL_N1_M09</vt:lpstr>
      <vt:lpstr>SAU_TOTAL_HORTI_HORS_SOL_N1_M10</vt:lpstr>
      <vt:lpstr>SAU_TOTAL_HORTI_HORS_SOL_N1_M11</vt:lpstr>
      <vt:lpstr>SAU_TOTAL_HORTI_HORS_SOL_N1_M12</vt:lpstr>
      <vt:lpstr>SAU_TOTAL_HORTI_HORS_SOL_N1_MOY</vt:lpstr>
      <vt:lpstr>SAU_TOTAL_HORTI_HORS_SOL_N2_M01</vt:lpstr>
      <vt:lpstr>SAU_TOTAL_HORTI_HORS_SOL_N2_M02</vt:lpstr>
      <vt:lpstr>SAU_TOTAL_HORTI_HORS_SOL_N2_M03</vt:lpstr>
      <vt:lpstr>SAU_TOTAL_HORTI_HORS_SOL_N2_M04</vt:lpstr>
      <vt:lpstr>SAU_TOTAL_HORTI_HORS_SOL_N2_M05</vt:lpstr>
      <vt:lpstr>SAU_TOTAL_HORTI_HORS_SOL_N2_M06</vt:lpstr>
      <vt:lpstr>SAU_TOTAL_HORTI_HORS_SOL_N2_M07</vt:lpstr>
      <vt:lpstr>SAU_TOTAL_HORTI_HORS_SOL_N2_M08</vt:lpstr>
      <vt:lpstr>SAU_TOTAL_HORTI_HORS_SOL_N2_M09</vt:lpstr>
      <vt:lpstr>SAU_TOTAL_HORTI_HORS_SOL_N2_M10</vt:lpstr>
      <vt:lpstr>SAU_TOTAL_HORTI_HORS_SOL_N2_M11</vt:lpstr>
      <vt:lpstr>SAU_TOTAL_HORTI_HORS_SOL_N2_M12</vt:lpstr>
      <vt:lpstr>SAU_TOTAL_HORTI_HORS_SOL_N2_MOY</vt:lpstr>
      <vt:lpstr>SAU_TOTALE_HORTI_PEPINIERE_N_M01</vt:lpstr>
      <vt:lpstr>SAU_TOTALE_HORTI_PEPINIERE_N_M02</vt:lpstr>
      <vt:lpstr>SAU_TOTALE_HORTI_PEPINIERE_N_M03</vt:lpstr>
      <vt:lpstr>SAU_TOTALE_HORTI_PEPINIERE_N_M04</vt:lpstr>
      <vt:lpstr>SAU_TOTALE_HORTI_PEPINIERE_N_M05</vt:lpstr>
      <vt:lpstr>SAU_TOTALE_HORTI_PEPINIERE_N_M06</vt:lpstr>
      <vt:lpstr>SAU_TOTALE_HORTI_PEPINIERE_N_M07</vt:lpstr>
      <vt:lpstr>SAU_TOTALE_HORTI_PEPINIERE_N_M08</vt:lpstr>
      <vt:lpstr>SAU_TOTALE_HORTI_PEPINIERE_N_M09</vt:lpstr>
      <vt:lpstr>SAU_TOTALE_HORTI_PEPINIERE_N_M10</vt:lpstr>
      <vt:lpstr>SAU_TOTALE_HORTI_PEPINIERE_N_M11</vt:lpstr>
      <vt:lpstr>SAU_TOTALE_HORTI_PEPINIERE_N_M12</vt:lpstr>
      <vt:lpstr>SAU_TOTALE_HORTI_PEPINIERE_N_MOY</vt:lpstr>
      <vt:lpstr>SAU_TOTALE_HORTI_PEPINIERE_N1_M01</vt:lpstr>
      <vt:lpstr>SAU_TOTALE_HORTI_PEPINIERE_N1_M02</vt:lpstr>
      <vt:lpstr>SAU_TOTALE_HORTI_PEPINIERE_N1_M03</vt:lpstr>
      <vt:lpstr>SAU_TOTALE_HORTI_PEPINIERE_N1_M04</vt:lpstr>
      <vt:lpstr>SAU_TOTALE_HORTI_PEPINIERE_N1_M05</vt:lpstr>
      <vt:lpstr>SAU_TOTALE_HORTI_PEPINIERE_N1_M06</vt:lpstr>
      <vt:lpstr>SAU_TOTALE_HORTI_PEPINIERE_N1_M07</vt:lpstr>
      <vt:lpstr>SAU_TOTALE_HORTI_PEPINIERE_N1_M08</vt:lpstr>
      <vt:lpstr>SAU_TOTALE_HORTI_PEPINIERE_N1_M09</vt:lpstr>
      <vt:lpstr>SAU_TOTALE_HORTI_PEPINIERE_N1_M10</vt:lpstr>
      <vt:lpstr>SAU_TOTALE_HORTI_PEPINIERE_N1_M11</vt:lpstr>
      <vt:lpstr>SAU_TOTALE_HORTI_PEPINIERE_N1_M12</vt:lpstr>
      <vt:lpstr>SAU_TOTALE_HORTI_PEPINIERE_N1_MOY</vt:lpstr>
      <vt:lpstr>SAU_TOTALE_HORTI_PEPINIERE_N2_M01</vt:lpstr>
      <vt:lpstr>SAU_TOTALE_HORTI_PEPINIERE_N2_M02</vt:lpstr>
      <vt:lpstr>SAU_TOTALE_HORTI_PEPINIERE_N2_M03</vt:lpstr>
      <vt:lpstr>SAU_TOTALE_HORTI_PEPINIERE_N2_M04</vt:lpstr>
      <vt:lpstr>SAU_TOTALE_HORTI_PEPINIERE_N2_M05</vt:lpstr>
      <vt:lpstr>SAU_TOTALE_HORTI_PEPINIERE_N2_M06</vt:lpstr>
      <vt:lpstr>SAU_TOTALE_HORTI_PEPINIERE_N2_M07</vt:lpstr>
      <vt:lpstr>SAU_TOTALE_HORTI_PEPINIERE_N2_M08</vt:lpstr>
      <vt:lpstr>SAU_TOTALE_HORTI_PEPINIERE_N2_M09</vt:lpstr>
      <vt:lpstr>SAU_TOTALE_HORTI_PEPINIERE_N2_M10</vt:lpstr>
      <vt:lpstr>SAU_TOTALE_HORTI_PEPINIERE_N2_M11</vt:lpstr>
      <vt:lpstr>SAU_TOTALE_HORTI_PEPINIERE_N2_M12</vt:lpstr>
      <vt:lpstr>SAU_TOTALE_HORTI_PEPINIERE_N2_MOY</vt:lpstr>
      <vt:lpstr>SEPARATION_CULTURE_MARAICHAGE_N</vt:lpstr>
      <vt:lpstr>SEPARATION_CULTURE_MARAICHAGE_N1</vt:lpstr>
      <vt:lpstr>SEPARATION_CULTURE_MARAICHAGE_N2</vt:lpstr>
      <vt:lpstr>SEPARATION_CULTURE_PROD_SEMENCE_N</vt:lpstr>
      <vt:lpstr>SEPARATION_CULTURE_PROD_SEMENCE_N1</vt:lpstr>
      <vt:lpstr>SEPARATION_CULTURE_PROD_SEMENCE_N2</vt:lpstr>
      <vt:lpstr>SIRET_EXPLOITATION</vt:lpstr>
      <vt:lpstr>SITE_INTERNET_EXPLOITATION</vt:lpstr>
      <vt:lpstr>SNA_N</vt:lpstr>
      <vt:lpstr>SNA_N1</vt:lpstr>
      <vt:lpstr>SNA_N2</vt:lpstr>
      <vt:lpstr>SNE_N</vt:lpstr>
      <vt:lpstr>SNE_N1</vt:lpstr>
      <vt:lpstr>SNE_N2</vt:lpstr>
      <vt:lpstr>SOJA_N</vt:lpstr>
      <vt:lpstr>SOJA_N1</vt:lpstr>
      <vt:lpstr>SOJA_N2</vt:lpstr>
      <vt:lpstr>SOL_NU_N</vt:lpstr>
      <vt:lpstr>SOL_NU_N1</vt:lpstr>
      <vt:lpstr>SOL_NU_N2</vt:lpstr>
      <vt:lpstr>SOLDE_MOYEN_BILAN</vt:lpstr>
      <vt:lpstr>SOMME_AUTRES_CULTURES</vt:lpstr>
      <vt:lpstr>SOMME_CULTURES_ARABLES</vt:lpstr>
      <vt:lpstr>SOMME_PARCELLES_INF_6HA</vt:lpstr>
      <vt:lpstr>STATUT_JURIDIQUE</vt:lpstr>
      <vt:lpstr>SUBST_ACT_PLAFOND_RETENU</vt:lpstr>
      <vt:lpstr>SUBST_ACT_PLANCHER_RETENU</vt:lpstr>
      <vt:lpstr>SUPERFICIE_TOTALE_IRRIGABLE</vt:lpstr>
      <vt:lpstr>SUPERFICIE_TOTALE_IRRIGUEE</vt:lpstr>
      <vt:lpstr>SURF_CULTURES_ANNUELLES_CONCERNEE</vt:lpstr>
      <vt:lpstr>SURF_CULTURES_MINEURES</vt:lpstr>
      <vt:lpstr>SURF_CULTURES_PERENNES_CONCERNEE</vt:lpstr>
      <vt:lpstr>SURF_FOUILLES_N</vt:lpstr>
      <vt:lpstr>SURF_FOUILLES_N1</vt:lpstr>
      <vt:lpstr>SURF_FOUILLES_N2</vt:lpstr>
      <vt:lpstr>SURF_HORS_SOL_NON_CULTIVEE_N_M01</vt:lpstr>
      <vt:lpstr>SURF_HORS_SOL_NON_CULTIVEE_N_M02</vt:lpstr>
      <vt:lpstr>SURF_HORS_SOL_NON_CULTIVEE_N_M03</vt:lpstr>
      <vt:lpstr>SURF_HORS_SOL_NON_CULTIVEE_N_M04</vt:lpstr>
      <vt:lpstr>SURF_HORS_SOL_NON_CULTIVEE_N_M05</vt:lpstr>
      <vt:lpstr>SURF_HORS_SOL_NON_CULTIVEE_N_M06</vt:lpstr>
      <vt:lpstr>SURF_HORS_SOL_NON_CULTIVEE_N_M07</vt:lpstr>
      <vt:lpstr>SURF_HORS_SOL_NON_CULTIVEE_N_M08</vt:lpstr>
      <vt:lpstr>SURF_HORS_SOL_NON_CULTIVEE_N_M09</vt:lpstr>
      <vt:lpstr>SURF_HORS_SOL_NON_CULTIVEE_N_M10</vt:lpstr>
      <vt:lpstr>SURF_HORS_SOL_NON_CULTIVEE_N_M11</vt:lpstr>
      <vt:lpstr>SURF_HORS_SOL_NON_CULTIVEE_N_M12</vt:lpstr>
      <vt:lpstr>SURF_HORS_SOL_NON_CULTIVEE_N_MOY</vt:lpstr>
      <vt:lpstr>SURF_HORS_SOL_NON_CULTIVEE_N1_M01</vt:lpstr>
      <vt:lpstr>SURF_HORS_SOL_NON_CULTIVEE_N1_M02</vt:lpstr>
      <vt:lpstr>SURF_HORS_SOL_NON_CULTIVEE_N1_M03</vt:lpstr>
      <vt:lpstr>SURF_HORS_SOL_NON_CULTIVEE_N1_M04</vt:lpstr>
      <vt:lpstr>SURF_HORS_SOL_NON_CULTIVEE_N1_M05</vt:lpstr>
      <vt:lpstr>SURF_HORS_SOL_NON_CULTIVEE_N1_M06</vt:lpstr>
      <vt:lpstr>SURF_HORS_SOL_NON_CULTIVEE_N1_M07</vt:lpstr>
      <vt:lpstr>SURF_HORS_SOL_NON_CULTIVEE_N1_M08</vt:lpstr>
      <vt:lpstr>SURF_HORS_SOL_NON_CULTIVEE_N1_M09</vt:lpstr>
      <vt:lpstr>SURF_HORS_SOL_NON_CULTIVEE_N1_M10</vt:lpstr>
      <vt:lpstr>SURF_HORS_SOL_NON_CULTIVEE_N1_M11</vt:lpstr>
      <vt:lpstr>SURF_HORS_SOL_NON_CULTIVEE_N1_M12</vt:lpstr>
      <vt:lpstr>SURF_HORS_SOL_NON_CULTIVEE_N1_MOY</vt:lpstr>
      <vt:lpstr>SURF_HORS_SOL_NON_CULTIVEE_N2_M01</vt:lpstr>
      <vt:lpstr>SURF_HORS_SOL_NON_CULTIVEE_N2_M02</vt:lpstr>
      <vt:lpstr>SURF_HORS_SOL_NON_CULTIVEE_N2_M03</vt:lpstr>
      <vt:lpstr>SURF_HORS_SOL_NON_CULTIVEE_N2_M04</vt:lpstr>
      <vt:lpstr>SURF_HORS_SOL_NON_CULTIVEE_N2_M05</vt:lpstr>
      <vt:lpstr>SURF_HORS_SOL_NON_CULTIVEE_N2_M06</vt:lpstr>
      <vt:lpstr>SURF_HORS_SOL_NON_CULTIVEE_N2_M07</vt:lpstr>
      <vt:lpstr>SURF_HORS_SOL_NON_CULTIVEE_N2_M08</vt:lpstr>
      <vt:lpstr>SURF_HORS_SOL_NON_CULTIVEE_N2_M09</vt:lpstr>
      <vt:lpstr>SURF_HORS_SOL_NON_CULTIVEE_N2_M10</vt:lpstr>
      <vt:lpstr>SURF_HORS_SOL_NON_CULTIVEE_N2_M11</vt:lpstr>
      <vt:lpstr>SURF_HORS_SOL_NON_CULTIVEE_N2_M12</vt:lpstr>
      <vt:lpstr>SURF_HORS_SOL_NON_CULTIVEE_N2_MOY</vt:lpstr>
      <vt:lpstr>SURF_HORTI_EQUIPEE</vt:lpstr>
      <vt:lpstr>SURF_HORTICULTURE</vt:lpstr>
      <vt:lpstr>SURF_HS_RECYCL_TRAIT_PARTIEL</vt:lpstr>
      <vt:lpstr>SURF_HS_RECYCL_TRAIT_TOTAL</vt:lpstr>
      <vt:lpstr>SURF_IRRIGUEE</vt:lpstr>
      <vt:lpstr>SURF_IRRIGUEE_AVEC_MATERIEL</vt:lpstr>
      <vt:lpstr>SURF_IRRIGUEE_AVEC_PRATIQUES_AGRO</vt:lpstr>
      <vt:lpstr>SURF_LEGUMINEUSES_INTER_RANGS</vt:lpstr>
      <vt:lpstr>SURF_PP_LEGUMINEUSES</vt:lpstr>
      <vt:lpstr>SURF_PP_NON_TRAITEES</vt:lpstr>
      <vt:lpstr>SURF_PRAIRIES_PERM</vt:lpstr>
      <vt:lpstr>SURF_PROTEAGINEUX</vt:lpstr>
      <vt:lpstr>SURF_REELLES_IAE</vt:lpstr>
      <vt:lpstr>SURF_TOT_EXP_N</vt:lpstr>
      <vt:lpstr>SURF_TOT_EXP_N1</vt:lpstr>
      <vt:lpstr>SURF_TOT_EXP_N2</vt:lpstr>
      <vt:lpstr>SURF_TOT_NON_CULTIVEE_N_M01</vt:lpstr>
      <vt:lpstr>SURF_TOT_NON_CULTIVEE_N_M02</vt:lpstr>
      <vt:lpstr>SURF_TOT_NON_CULTIVEE_N_M03</vt:lpstr>
      <vt:lpstr>SURF_TOT_NON_CULTIVEE_N_M04</vt:lpstr>
      <vt:lpstr>SURF_TOT_NON_CULTIVEE_N_M05</vt:lpstr>
      <vt:lpstr>SURF_TOT_NON_CULTIVEE_N_M06</vt:lpstr>
      <vt:lpstr>SURF_TOT_NON_CULTIVEE_N_M07</vt:lpstr>
      <vt:lpstr>SURF_TOT_NON_CULTIVEE_N_M08</vt:lpstr>
      <vt:lpstr>SURF_TOT_NON_CULTIVEE_N_M09</vt:lpstr>
      <vt:lpstr>SURF_TOT_NON_CULTIVEE_N_M10</vt:lpstr>
      <vt:lpstr>SURF_TOT_NON_CULTIVEE_N_M11</vt:lpstr>
      <vt:lpstr>SURF_TOT_NON_CULTIVEE_N_M12</vt:lpstr>
      <vt:lpstr>SURF_TOT_NON_CULTIVEE_N_MOY</vt:lpstr>
      <vt:lpstr>SURF_TOT_NON_CULTIVEE_N1_M01</vt:lpstr>
      <vt:lpstr>SURF_TOT_NON_CULTIVEE_N1_M02</vt:lpstr>
      <vt:lpstr>SURF_TOT_NON_CULTIVEE_N1_M03</vt:lpstr>
      <vt:lpstr>SURF_TOT_NON_CULTIVEE_N1_M04</vt:lpstr>
      <vt:lpstr>SURF_TOT_NON_CULTIVEE_N1_M05</vt:lpstr>
      <vt:lpstr>SURF_TOT_NON_CULTIVEE_N1_M06</vt:lpstr>
      <vt:lpstr>SURF_TOT_NON_CULTIVEE_N1_M07</vt:lpstr>
      <vt:lpstr>SURF_TOT_NON_CULTIVEE_N1_M08</vt:lpstr>
      <vt:lpstr>SURF_TOT_NON_CULTIVEE_N1_M09</vt:lpstr>
      <vt:lpstr>SURF_TOT_NON_CULTIVEE_N1_M10</vt:lpstr>
      <vt:lpstr>SURF_TOT_NON_CULTIVEE_N1_M11</vt:lpstr>
      <vt:lpstr>SURF_TOT_NON_CULTIVEE_N1_M12</vt:lpstr>
      <vt:lpstr>SURF_TOT_NON_CULTIVEE_N1_MOY</vt:lpstr>
      <vt:lpstr>SURF_TOT_NON_CULTIVEE_N2_M01</vt:lpstr>
      <vt:lpstr>SURF_TOT_NON_CULTIVEE_N2_M02</vt:lpstr>
      <vt:lpstr>SURF_TOT_NON_CULTIVEE_N2_M03</vt:lpstr>
      <vt:lpstr>SURF_TOT_NON_CULTIVEE_N2_M04</vt:lpstr>
      <vt:lpstr>SURF_TOT_NON_CULTIVEE_N2_M05</vt:lpstr>
      <vt:lpstr>SURF_TOT_NON_CULTIVEE_N2_M06</vt:lpstr>
      <vt:lpstr>SURF_TOT_NON_CULTIVEE_N2_M07</vt:lpstr>
      <vt:lpstr>SURF_TOT_NON_CULTIVEE_N2_M08</vt:lpstr>
      <vt:lpstr>SURF_TOT_NON_CULTIVEE_N2_M09</vt:lpstr>
      <vt:lpstr>SURF_TOT_NON_CULTIVEE_N2_M10</vt:lpstr>
      <vt:lpstr>SURF_TOT_NON_CULTIVEE_N2_M11</vt:lpstr>
      <vt:lpstr>SURF_TOT_NON_CULTIVEE_N2_M12</vt:lpstr>
      <vt:lpstr>SURF_TOT_NON_CULTIVEE_N2_MOY</vt:lpstr>
      <vt:lpstr>SURF_TOTALE_CULTURES_ANNUELLES</vt:lpstr>
      <vt:lpstr>SURF_TOTALE_CULTURES_PERENNES</vt:lpstr>
      <vt:lpstr>SURF_TOTALE_NON_TRAITEE</vt:lpstr>
      <vt:lpstr>SURF_TRAVAUX_N</vt:lpstr>
      <vt:lpstr>SURF_TRAVAUX_N1</vt:lpstr>
      <vt:lpstr>SURF_TRAVAUX_N2</vt:lpstr>
      <vt:lpstr>SURF_VIGNE_ARRACHEE_N</vt:lpstr>
      <vt:lpstr>SURF_VIGNE_ARRACHEE_N1</vt:lpstr>
      <vt:lpstr>SURF_VIGNE_ARRACHEE_N2</vt:lpstr>
      <vt:lpstr>SURFACE_COUVERTE_HORTI_PEPI</vt:lpstr>
      <vt:lpstr>SURFACE_CULTURE_PRINCIPALE</vt:lpstr>
      <vt:lpstr>SURVEILLANCE_ACTIVE_POURCENTAGE_CONCERNE</vt:lpstr>
      <vt:lpstr>TEST_BECHE</vt:lpstr>
      <vt:lpstr>TOT_NB_ESPECES</vt:lpstr>
      <vt:lpstr>TOTAL_ARBORICULTURE_N</vt:lpstr>
      <vt:lpstr>TOTAL_ARBORICULTURE_N1</vt:lpstr>
      <vt:lpstr>TOTAL_ARBORICULTURE_N2</vt:lpstr>
      <vt:lpstr>TOTAL_CEREALES_N</vt:lpstr>
      <vt:lpstr>TOTAL_CEREALES_N1</vt:lpstr>
      <vt:lpstr>TOTAL_CEREALES_N2</vt:lpstr>
      <vt:lpstr>TOTAL_CMR</vt:lpstr>
      <vt:lpstr>TOTAL_CP_GC</vt:lpstr>
      <vt:lpstr>TOTAL_CP_VAM</vt:lpstr>
      <vt:lpstr>TOTAL_CULTURES_INDUSTRIELLES_N</vt:lpstr>
      <vt:lpstr>TOTAL_CULTURES_INDUSTRIELLES_N1</vt:lpstr>
      <vt:lpstr>TOTAL_CULTURES_INDUSTRIELLES_N2</vt:lpstr>
      <vt:lpstr>TOTAL_ESPECES_ELEVEES</vt:lpstr>
      <vt:lpstr>TOTAL_FIBRES_JACHERES_N</vt:lpstr>
      <vt:lpstr>TOTAL_FIBRES_JACHERES_N1</vt:lpstr>
      <vt:lpstr>TOTAL_FIBRES_JACHERES_N2</vt:lpstr>
      <vt:lpstr>TOTAL_FOURRAGES_N</vt:lpstr>
      <vt:lpstr>TOTAL_FOURRAGES_N1</vt:lpstr>
      <vt:lpstr>TOTAL_FOURRAGES_N2</vt:lpstr>
      <vt:lpstr>TOTAL_LEGUMES_FLEURS_FRUITS_N</vt:lpstr>
      <vt:lpstr>TOTAL_LEGUMES_FLEURS_FRUITS_N1</vt:lpstr>
      <vt:lpstr>TOTAL_LEGUMES_FLEURS_FRUITS_N2</vt:lpstr>
      <vt:lpstr>TOTAL_MAX_POINTS</vt:lpstr>
      <vt:lpstr>TOTAL_OLEAGINEUX_N</vt:lpstr>
      <vt:lpstr>TOTAL_OLEAGINEUX_N1</vt:lpstr>
      <vt:lpstr>TOTAL_OLEAGINEUX_N2</vt:lpstr>
      <vt:lpstr>TOTAL_PROTEAGINEUX_LEGUMINEUSES_N</vt:lpstr>
      <vt:lpstr>TOTAL_PROTEAGINEUX_LEGUMINEUSES_N1</vt:lpstr>
      <vt:lpstr>TOTAL_PROTEAGINEUX_LEGUMINEUSES_N2</vt:lpstr>
      <vt:lpstr>TOTAL_RESULTAT</vt:lpstr>
      <vt:lpstr>TOTAL_RUCHES</vt:lpstr>
      <vt:lpstr>TOTAL_SAU_HORS_VITI_ARBO_HORTI</vt:lpstr>
      <vt:lpstr>TOTAL_SURF</vt:lpstr>
      <vt:lpstr>TOTAL_SURF_ARBO_CULTURES_PERENNES</vt:lpstr>
      <vt:lpstr>TOTAL_SURF_BLE</vt:lpstr>
      <vt:lpstr>TOTAL_SURF_GC</vt:lpstr>
      <vt:lpstr>TOTAL_SURF_HORTI_HORS_PEPI</vt:lpstr>
      <vt:lpstr>TOTAL_SURF_LEGUMINEUSES</vt:lpstr>
      <vt:lpstr>TOTAL_SURF_VIGNE_ARBO_MARAICHAGE</vt:lpstr>
      <vt:lpstr>TOTAL_SURFACE_LEG</vt:lpstr>
      <vt:lpstr>TOTAL_SURFACES_HERBE_N</vt:lpstr>
      <vt:lpstr>TOTAL_SURFACES_HERBE_N1</vt:lpstr>
      <vt:lpstr>TOTAL_SURFACES_HERBE_N2</vt:lpstr>
      <vt:lpstr>TOTAL_SURFACES_NON_FERTILISEES</vt:lpstr>
      <vt:lpstr>TOURNESOL_N</vt:lpstr>
      <vt:lpstr>TOURNESOL_N1</vt:lpstr>
      <vt:lpstr>TOURNESOL_N2</vt:lpstr>
      <vt:lpstr>TOURNIERE_N</vt:lpstr>
      <vt:lpstr>TOURNIERE_N1</vt:lpstr>
      <vt:lpstr>TOURNIERE_N2</vt:lpstr>
      <vt:lpstr>TOUTES_CULTURES_HORS_SOL_N</vt:lpstr>
      <vt:lpstr>TOUTES_CULTURES_HORS_SOL_N1</vt:lpstr>
      <vt:lpstr>TOUTES_CULTURES_HORS_SOL_N2</vt:lpstr>
      <vt:lpstr>TRITICALE_N</vt:lpstr>
      <vt:lpstr>TRITICALE_N1</vt:lpstr>
      <vt:lpstr>TRITICALE_N2</vt:lpstr>
      <vt:lpstr>TYPE_AUDIT</vt:lpstr>
      <vt:lpstr>TYPE_CERTIF</vt:lpstr>
      <vt:lpstr>UTILISATION_CMR1</vt:lpstr>
      <vt:lpstr>UTILISATION_HERBICIDES_CMR2</vt:lpstr>
      <vt:lpstr>UTILISATION_NON_HERBICIDES_CMR2</vt:lpstr>
      <vt:lpstr>V_ACTIVITE_PRINCIPALE</vt:lpstr>
      <vt:lpstr>V_ACTIVITE_SECOND</vt:lpstr>
      <vt:lpstr>V_AUTRE_ACTIVITE</vt:lpstr>
      <vt:lpstr>VARIETE_IRRIGUEE</vt:lpstr>
      <vt:lpstr>VEGETAUX_NATURELS_N</vt:lpstr>
      <vt:lpstr>VEGETAUX_NATURELS_N1</vt:lpstr>
      <vt:lpstr>VEGETAUX_NATURELS_N2</vt:lpstr>
      <vt:lpstr>VENTE_DIRECTE</vt:lpstr>
      <vt:lpstr>VERGER_CHOIX01</vt:lpstr>
      <vt:lpstr>VERGER_CHOIX01_N</vt:lpstr>
      <vt:lpstr>VERGER_CHOIX01_N1</vt:lpstr>
      <vt:lpstr>VERGER_CHOIX01_N2</vt:lpstr>
      <vt:lpstr>VERGER_CHOIX02</vt:lpstr>
      <vt:lpstr>VERGER_CHOIX02_N</vt:lpstr>
      <vt:lpstr>VERGER_CHOIX02_N1</vt:lpstr>
      <vt:lpstr>VERGER_CHOIX02_N2</vt:lpstr>
      <vt:lpstr>VERGER_CHOIX03</vt:lpstr>
      <vt:lpstr>VERGER_CHOIX03_N</vt:lpstr>
      <vt:lpstr>VERGER_CHOIX03_N1</vt:lpstr>
      <vt:lpstr>VERGER_CHOIX03_N2</vt:lpstr>
      <vt:lpstr>VERGER_CHOIX04</vt:lpstr>
      <vt:lpstr>VERGER_CHOIX04_N</vt:lpstr>
      <vt:lpstr>VERGER_CHOIX04_N1</vt:lpstr>
      <vt:lpstr>VERGER_CHOIX04_N2</vt:lpstr>
      <vt:lpstr>VERGER_CHOIX05</vt:lpstr>
      <vt:lpstr>VERGER_CHOIX05_N</vt:lpstr>
      <vt:lpstr>VERGER_CHOIX05_N1</vt:lpstr>
      <vt:lpstr>VERGER_CHOIX05_N2</vt:lpstr>
      <vt:lpstr>VERGER_CHOIX06</vt:lpstr>
      <vt:lpstr>VERGER_CHOIX06_N</vt:lpstr>
      <vt:lpstr>VERGER_CHOIX06_N1</vt:lpstr>
      <vt:lpstr>VERGER_CHOIX06_N2</vt:lpstr>
      <vt:lpstr>VERGER_CHOIX07</vt:lpstr>
      <vt:lpstr>VERGER_CHOIX07_N</vt:lpstr>
      <vt:lpstr>VERGER_CHOIX07_N1</vt:lpstr>
      <vt:lpstr>VERGER_CHOIX07_N2</vt:lpstr>
      <vt:lpstr>VERGER_CHOIX08</vt:lpstr>
      <vt:lpstr>VERGER_CHOIX08_N</vt:lpstr>
      <vt:lpstr>VERGER_CHOIX08_N1</vt:lpstr>
      <vt:lpstr>VERGER_CHOIX08_N2</vt:lpstr>
      <vt:lpstr>VERGER_CHOIX09</vt:lpstr>
      <vt:lpstr>VERGER_CHOIX09_N</vt:lpstr>
      <vt:lpstr>VERGER_CHOIX09_N1</vt:lpstr>
      <vt:lpstr>VERGER_CHOIX09_N2</vt:lpstr>
      <vt:lpstr>VERGER_CHOIX10</vt:lpstr>
      <vt:lpstr>VERGER_CHOIX10_N</vt:lpstr>
      <vt:lpstr>VERGER_CHOIX10_N1</vt:lpstr>
      <vt:lpstr>VERGER_CHOIX10_N2</vt:lpstr>
      <vt:lpstr>VERGER_CHOIX11</vt:lpstr>
      <vt:lpstr>VERGER_CHOIX11_N</vt:lpstr>
      <vt:lpstr>VERGER_CHOIX11_N1</vt:lpstr>
      <vt:lpstr>VERGER_CHOIX11_N2</vt:lpstr>
      <vt:lpstr>VERGER_CHOIX12</vt:lpstr>
      <vt:lpstr>VERGER_CHOIX12_N</vt:lpstr>
      <vt:lpstr>VERGER_CHOIX12_N1</vt:lpstr>
      <vt:lpstr>VERGER_CHOIX12_N2</vt:lpstr>
      <vt:lpstr>VERGER_CHOIX13</vt:lpstr>
      <vt:lpstr>VERGER_CHOIX13_N</vt:lpstr>
      <vt:lpstr>VERGER_CHOIX13_N1</vt:lpstr>
      <vt:lpstr>VERGER_CHOIX13_N2</vt:lpstr>
      <vt:lpstr>VERGER_CHOIX14</vt:lpstr>
      <vt:lpstr>VERGER_CHOIX14_N</vt:lpstr>
      <vt:lpstr>VERGER_CHOIX14_N1</vt:lpstr>
      <vt:lpstr>VERGER_CHOIX14_N2</vt:lpstr>
      <vt:lpstr>VERGER_CHOIX15</vt:lpstr>
      <vt:lpstr>VERGER_CHOIX15_N</vt:lpstr>
      <vt:lpstr>VERGER_CHOIX15_N1</vt:lpstr>
      <vt:lpstr>VERGER_CHOIX15_N2</vt:lpstr>
      <vt:lpstr>VERGER_CONV_SURF</vt:lpstr>
      <vt:lpstr>VERGER_REEL_SURF</vt:lpstr>
      <vt:lpstr>VERGER_UNITE</vt:lpstr>
      <vt:lpstr>VERSION_REFERENTIEL</vt:lpstr>
      <vt:lpstr>VERSION_TRAME</vt:lpstr>
      <vt:lpstr>VIGNE_ANC_PLAFOND_IFT_HERBICIDES</vt:lpstr>
      <vt:lpstr>VIGNE_ANC_PLAFOND_IFT_HORS_HERBICIDES</vt:lpstr>
      <vt:lpstr>VIGNE_ANC_PLANCHER_IFT_HERBICIDES</vt:lpstr>
      <vt:lpstr>VIGNE_ANC_PLANCHER_IFT_HORS_HERBICIDES</vt:lpstr>
      <vt:lpstr>VIGNE_ANCIENNE_NOTATION</vt:lpstr>
      <vt:lpstr>VIGNE_CONDITION_ANCIENNE_NOTATION</vt:lpstr>
      <vt:lpstr>VIGNE_IFT_REALISE_HERBICIDES</vt:lpstr>
      <vt:lpstr>VIGNE_IFT_REALISE_HORS_HERBICIDES</vt:lpstr>
      <vt:lpstr>VIGNE_IFT_REALISE_N_HERBICIDES</vt:lpstr>
      <vt:lpstr>VIGNE_IFT_REALISE_N_HORS_HERBICIDES</vt:lpstr>
      <vt:lpstr>VIGNE_IFT_REALISE_N1_HERBICIDES</vt:lpstr>
      <vt:lpstr>VIGNE_IFT_REALISE_N1_HORS_HERBICIDES</vt:lpstr>
      <vt:lpstr>VIGNE_IFT_REALISE_N2_HERBICIDES</vt:lpstr>
      <vt:lpstr>VIGNE_IFT_REALISE_N2_HORS_HERBICIDES</vt:lpstr>
      <vt:lpstr>VIGNE_MAX_POINTS</vt:lpstr>
      <vt:lpstr>VIGNE_PLAFOND_IFT_HERBICIDES</vt:lpstr>
      <vt:lpstr>VIGNE_PLAFOND_IFT_HORS_HERBICIDES</vt:lpstr>
      <vt:lpstr>VIGNE_PLANCHER_IFT_HERBICIDES</vt:lpstr>
      <vt:lpstr>VIGNE_PLANCHER_IFT_HORS_HERBICIDES</vt:lpstr>
      <vt:lpstr>VIGNE_POURCENTAGE_SURF_CONCERNEE_PPF</vt:lpstr>
      <vt:lpstr>VIGNE_POURCENTAGE_SURF_CONCERNEE_PPF_AJ_ODP</vt:lpstr>
      <vt:lpstr>VIGNE_RESULTAT</vt:lpstr>
      <vt:lpstr>VIGNE_RESULTAT_ANC_NOTATION_HERBICIDES</vt:lpstr>
      <vt:lpstr>VIGNE_RESULTAT_ANC_NOTATION_HORS_HERBICIDES</vt:lpstr>
      <vt:lpstr>VIGNE_RESULTAT_HERBICIDES</vt:lpstr>
      <vt:lpstr>VIGNE_RESULTAT_HORS_HERBICIDES</vt:lpstr>
      <vt:lpstr>VIGNE_RESULTAT_PPF</vt:lpstr>
      <vt:lpstr>VIGNE_RESULTAT_PPF_AJ_ODP</vt:lpstr>
      <vt:lpstr>VIGNE_SURF</vt:lpstr>
      <vt:lpstr>VIGNE_SURF_UTILISATION_ODP</vt:lpstr>
      <vt:lpstr>VIGNE_SURF_UTILISATION_PPF</vt:lpstr>
      <vt:lpstr>VIGNE_SURF_UTILISATION_PPF_AJ</vt:lpstr>
      <vt:lpstr>VIGNES_N</vt:lpstr>
      <vt:lpstr>VIGNES_N1</vt:lpstr>
      <vt:lpstr>VIGNES_N2</vt:lpstr>
      <vt:lpstr>VOL_PRELEVE_ETIAGE</vt:lpstr>
      <vt:lpstr>VOL_PRELEVE_HORS_ETIAGE</vt:lpstr>
      <vt:lpstr>VOL_TOTAL_EAU</vt:lpstr>
      <vt:lpstr>ZDH_N</vt:lpstr>
      <vt:lpstr>ZDH_N1</vt:lpstr>
      <vt:lpstr>ZDH_N2</vt:lpstr>
      <vt:lpstr>SYNTHESE!Zone_d_impression</vt:lpstr>
      <vt:lpstr>ZONE_STOCKAGE_N</vt:lpstr>
      <vt:lpstr>ZONE_STOCKAGE_N1</vt:lpstr>
      <vt:lpstr>ZONE_STOCKAGE_N2</vt:lpstr>
      <vt:lpstr>ZONE_VULNERABLE_COUVERTE</vt:lpstr>
      <vt:lpstr>ZONE_VULNERABLE_NB_SEMAINES_COUVERT</vt:lpstr>
      <vt:lpstr>ZONE_VULNERABLE_POURCENT_SAU_HORS_VITI_ARBO_HORTI</vt:lpstr>
      <vt:lpstr>ZONE_VULNERABLE_POURCENT_SURF_HORS_VITI_ARBO_HORTI</vt:lpstr>
      <vt:lpstr>ZONE_VULNERABLE_RESPECT_DUREE_REGLEMENTAIRE</vt:lpstr>
      <vt:lpstr>ZONE_VULNERABLE_SURF_TOTALE_CONCERNEE</vt:lpstr>
      <vt:lpstr>ZONES_HERBACEES_CONV_SURF</vt:lpstr>
      <vt:lpstr>ZONES_HERBACEES_REEL_SURF</vt:lpstr>
      <vt:lpstr>ZONES_HERBACEES_UNITE</vt:lpstr>
      <vt:lpstr>ZONES_HUMIDES_CONV_SURF</vt:lpstr>
      <vt:lpstr>ZONES_HUMIDES_REEL_SURF</vt:lpstr>
      <vt:lpstr>ZONES_HUMIDES_UNITE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Petit</dc:creator>
  <cp:lastModifiedBy>Alicia ROUGE</cp:lastModifiedBy>
  <cp:lastPrinted>2022-11-21T07:40:24Z</cp:lastPrinted>
  <dcterms:created xsi:type="dcterms:W3CDTF">2022-07-05T08:44:17Z</dcterms:created>
  <dcterms:modified xsi:type="dcterms:W3CDTF">2024-07-16T07:44:49Z</dcterms:modified>
</cp:coreProperties>
</file>